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5416" windowWidth="13365" windowHeight="10545" tabRatio="825" activeTab="0"/>
  </bookViews>
  <sheets>
    <sheet name="Összefoglaló" sheetId="1" r:id="rId1"/>
    <sheet name="1.Onbe" sheetId="2" r:id="rId2"/>
    <sheet name="2.Onki" sheetId="3" r:id="rId3"/>
    <sheet name="3.Inbe" sheetId="4" r:id="rId4"/>
    <sheet name="4.Inbe" sheetId="5" r:id="rId5"/>
    <sheet name="5.Inki" sheetId="6" r:id="rId6"/>
    <sheet name="6.Önk.műk." sheetId="7" r:id="rId7"/>
    <sheet name="7.Beruh." sheetId="8" r:id="rId8"/>
    <sheet name="8.Felúj." sheetId="9" r:id="rId9"/>
    <sheet name="9.képv" sheetId="10" r:id="rId10"/>
    <sheet name="10.Mérleg" sheetId="11" r:id="rId11"/>
    <sheet name="11.Létszám" sheetId="12" r:id="rId12"/>
  </sheets>
  <externalReferences>
    <externalReference r:id="rId15"/>
  </externalReferences>
  <definedNames>
    <definedName name="_4._sz._sor_részletezése">#REF!</definedName>
    <definedName name="_xlnm.Print_Titles" localSheetId="1">'1.Onbe'!$5:$7</definedName>
    <definedName name="_xlnm.Print_Titles" localSheetId="11">'11.Létszám'!$5:$5</definedName>
    <definedName name="_xlnm.Print_Titles" localSheetId="2">'2.Onki'!$5:$7</definedName>
    <definedName name="_xlnm.Print_Titles" localSheetId="3">'3.Inbe'!$4:$7</definedName>
    <definedName name="_xlnm.Print_Titles" localSheetId="4">'4.Inbe'!$4:$7</definedName>
    <definedName name="_xlnm.Print_Titles" localSheetId="5">'5.Inki'!$5:$8</definedName>
    <definedName name="_xlnm.Print_Titles" localSheetId="6">'6.Önk.műk.'!$3:$6</definedName>
    <definedName name="_xlnm.Print_Titles" localSheetId="7">'7.Beruh.'!$4:$7</definedName>
    <definedName name="_xlnm.Print_Titles" localSheetId="8">'8.Felúj.'!$4:$6</definedName>
    <definedName name="_xlnm.Print_Titles" localSheetId="9">'9.képv'!$4:$7</definedName>
    <definedName name="_xlnm.Print_Titles" localSheetId="0">'Összefoglaló'!$5:$7</definedName>
    <definedName name="_xlnm.Print_Area" localSheetId="1">'1.Onbe'!$A$1:$L$81</definedName>
    <definedName name="_xlnm.Print_Area" localSheetId="10">'10.Mérleg'!$A$1:$H$31</definedName>
    <definedName name="_xlnm.Print_Area" localSheetId="11">'11.Létszám'!$A$1:$G$38</definedName>
    <definedName name="_xlnm.Print_Area" localSheetId="2">'2.Onki'!$A$1:$L$44</definedName>
    <definedName name="_xlnm.Print_Area" localSheetId="3">'3.Inbe'!$A$1:$N$225</definedName>
    <definedName name="_xlnm.Print_Area" localSheetId="4">'4.Inbe'!$A$1:$I$38</definedName>
    <definedName name="_xlnm.Print_Area" localSheetId="5">'5.Inki'!$A$1:$Q$387</definedName>
    <definedName name="_xlnm.Print_Area" localSheetId="6">'6.Önk.műk.'!$A$1:$N$630</definedName>
    <definedName name="_xlnm.Print_Area" localSheetId="7">'7.Beruh.'!$A$1:$M$710</definedName>
    <definedName name="_xlnm.Print_Area" localSheetId="8">'8.Felúj.'!$A$1:$K$188</definedName>
    <definedName name="_xlnm.Print_Area" localSheetId="9">'9.képv'!$A$1:$Q$46</definedName>
    <definedName name="_xlnm.Print_Area" localSheetId="0">'Összefoglaló'!$A$1:$E$394</definedName>
  </definedNames>
  <calcPr fullCalcOnLoad="1"/>
</workbook>
</file>

<file path=xl/sharedStrings.xml><?xml version="1.0" encoding="utf-8"?>
<sst xmlns="http://schemas.openxmlformats.org/spreadsheetml/2006/main" count="3605" uniqueCount="1192">
  <si>
    <t>Kertek és Kolostorok működtetése</t>
  </si>
  <si>
    <t>Városi kiemelt fesztiválok</t>
  </si>
  <si>
    <t>Városi lap kiadásai</t>
  </si>
  <si>
    <t>MINDÖSSZESEN:</t>
  </si>
  <si>
    <t>Kamatkiadások</t>
  </si>
  <si>
    <t>Veszprém Megyei Jogú Város Önkormányzata</t>
  </si>
  <si>
    <t>Egyéb   eszköz beszerzések</t>
  </si>
  <si>
    <t xml:space="preserve">Veszprém integrált településfejlesztés, belváros funkcióbővítő rehabilitációja I/B ütem </t>
  </si>
  <si>
    <t>1-17</t>
  </si>
  <si>
    <t>17-18</t>
  </si>
  <si>
    <t>18</t>
  </si>
  <si>
    <t>Veszprémi multifunkcionális közösségi központ kialakítása - AGÓRA Veszprém TIOP-1.2.1.A-12/1-2013-0001</t>
  </si>
  <si>
    <t>Észak-déli közlekedési főtengely kialakítása - Új gyűjtő út kiépítése Veszprémben KDOP-4.2.1/B-11-2012-0032.</t>
  </si>
  <si>
    <t>A gyermekvédelmi szolgáltatások fejlesztése Veszprémben TIOP-3.4.1.B-11/1-2012-0005.</t>
  </si>
  <si>
    <t>Szociális városrehabilitáció Veszprémben KDOP-3.1.1/D2-13-k2-2013-0002.</t>
  </si>
  <si>
    <t>Veszprém város intermodális pályaudvar kialakítás és kapcsolódó közösségi közlekedési fejlesztések (KÖZOP -5.5.0-09-11.)</t>
  </si>
  <si>
    <t>Térfigyelő rendszer bővítése  II. ütem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</si>
  <si>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</si>
  <si>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</si>
  <si>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V á l a s z t ó k e r ü l e t</t>
  </si>
  <si>
    <t>Beruh.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</si>
  <si>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</si>
  <si>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</si>
  <si>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</si>
  <si>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</si>
  <si>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</si>
  <si>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</si>
  <si>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</si>
  <si>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</si>
  <si>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</si>
  <si>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</si>
  <si>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</si>
  <si>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</si>
  <si>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</si>
  <si>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</si>
  <si>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</si>
  <si>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</si>
  <si>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</si>
  <si>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</si>
  <si>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</si>
  <si>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</si>
  <si>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>eredeti ei. + pénzmaradvány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</si>
  <si>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</si>
  <si>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</si>
  <si>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</si>
  <si>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</si>
  <si>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</si>
  <si>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</si>
  <si>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</si>
  <si>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</si>
  <si>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</si>
  <si>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módosított előirányzat össz.</t>
  </si>
  <si>
    <t>A 2014. évi választókerületi alap megoszlása feladatonként</t>
  </si>
  <si>
    <t>Alsóvárosi temető I. világháborús kegyeleti emlékpark II. ütem</t>
  </si>
  <si>
    <t>Budapest út-Bajcsy Zs. u.-Mártírok útja-Brusznyai u. jelzőlámpás közl. csomópont körforgalmú csomóponttá történő átalakítása kiviteli- és közbeszerzési terveinek elkészítése</t>
  </si>
  <si>
    <t>Remete utcai híd átépítésének tervezése engedélyezése és kivitelezése</t>
  </si>
  <si>
    <t>Fenyves u.-Erdész u. közötti gyalogos átkötés kialakítása</t>
  </si>
  <si>
    <t>Játszótérépítések</t>
  </si>
  <si>
    <t>Varga u. - Kalmár tér parkoló építése</t>
  </si>
  <si>
    <t>Veszprém külterület 0231-8. hrsz-ú reptér melletti ingatlan tőrlesztő részlet</t>
  </si>
  <si>
    <t>Műhelyház céljára ingatlan vásárlása</t>
  </si>
  <si>
    <t>I.</t>
  </si>
  <si>
    <t>II.</t>
  </si>
  <si>
    <t>15 db Szoftver Office8-Win8</t>
  </si>
  <si>
    <t>28 db Takarító kocsi (2 vödrös)</t>
  </si>
  <si>
    <t>10 db Porszívó</t>
  </si>
  <si>
    <t>Szárítógép</t>
  </si>
  <si>
    <t>2 db hűtőszekrény</t>
  </si>
  <si>
    <t>2 db tálalókocsi</t>
  </si>
  <si>
    <t>Hűtőszekrény</t>
  </si>
  <si>
    <t>Színészház kazán javítás</t>
  </si>
  <si>
    <t>Bakonyi Ház Alpha pályázat önrész</t>
  </si>
  <si>
    <t>ebből: ÁFA bevételek és visszatérülések</t>
  </si>
  <si>
    <t>NKA pályázat - Elektrotechnikai tárgyak vásárlása</t>
  </si>
  <si>
    <t>NKA pályázat - Gyűjtemény gyarapítás</t>
  </si>
  <si>
    <t>Intézményi költségvetési kiadások</t>
  </si>
  <si>
    <t>Veszprém MJV településrendezési eszközeinek átfogó felülvizsgálata a 48/2012.(II.24.) VMJVÖK határozatban foglaltak alapján</t>
  </si>
  <si>
    <t>Vámosi úti temető bővítése II. ütem</t>
  </si>
  <si>
    <t>Padok beszerzése, régi betonvázas padok lecserélése</t>
  </si>
  <si>
    <t>Méhes u. támfalépítés</t>
  </si>
  <si>
    <t>Közvilágítás bővítések</t>
  </si>
  <si>
    <t>Kertváros csapadékvízelvezetése, kivitelezés</t>
  </si>
  <si>
    <t xml:space="preserve">Erdőtervezés és telepítés </t>
  </si>
  <si>
    <t>Közterületen kivágott fák pótlása</t>
  </si>
  <si>
    <t>Járdák akadálymentesítése</t>
  </si>
  <si>
    <t xml:space="preserve">Utcanévtáblák </t>
  </si>
  <si>
    <t>Közműalagútban lévő közművezeték tartószerkezeteinek cseréje</t>
  </si>
  <si>
    <t>Mobil WC csatlakozások kiépítése</t>
  </si>
  <si>
    <t>Programiroda Kft. Törzstőke befizetés és emelés</t>
  </si>
  <si>
    <t>Lóczy u. 40. garázs elöntésének megszüntetése</t>
  </si>
  <si>
    <t>Haszkovó u. - Fecske u. csapadékvíz átkötés</t>
  </si>
  <si>
    <t>Kiskukta melletti játszótér kerítés építése</t>
  </si>
  <si>
    <t>Óváros tér rendezvény csatlakozó teljesítménybővítés</t>
  </si>
  <si>
    <t>Pápai u.-Jutasi u. belső krt mellékkötelezettségek</t>
  </si>
  <si>
    <t>Henger u. I.ütem</t>
  </si>
  <si>
    <t>Egry úti Körzeti Óvoda (Nárcisz Tagóvoda)</t>
  </si>
  <si>
    <t>VMJV EÜ. Alapellátási Intézmény</t>
  </si>
  <si>
    <t>Halle utca 5. felnőtt rendelő akadálymentesítése</t>
  </si>
  <si>
    <t>Önkormányzati beruházási kiadások összesen</t>
  </si>
  <si>
    <t>Vadvirág Körzeti Óvoda (Csillagvár Waldorf Tagóvoda)</t>
  </si>
  <si>
    <t>120 l bojler beszerzés</t>
  </si>
  <si>
    <t>3 db számítógép cseréje</t>
  </si>
  <si>
    <t>Takarítógép beszerzés</t>
  </si>
  <si>
    <t>Mosógép beszerzés</t>
  </si>
  <si>
    <t>150 db. gyerekágy</t>
  </si>
  <si>
    <t>5 db. gyerek fektető ágytároló</t>
  </si>
  <si>
    <t>60 db. gyerekszék</t>
  </si>
  <si>
    <t>5 db. gyerekasztal</t>
  </si>
  <si>
    <t>6 db. ételszállító kocsi</t>
  </si>
  <si>
    <t>CD-s magnó 3 db.</t>
  </si>
  <si>
    <t>150 l-es hűtőszekrény beszerzés</t>
  </si>
  <si>
    <t>Super Cool Projector diavetítő beszerzés</t>
  </si>
  <si>
    <t>2 db Homokozó takaróponyva beszerzés</t>
  </si>
  <si>
    <t>Fogászati röntgen ólomkötény</t>
  </si>
  <si>
    <t>Ügyelet Otoskop</t>
  </si>
  <si>
    <t>4 db PC védőnőknek</t>
  </si>
  <si>
    <t>22 l hőlégsterilizáló fogászati ügyelet</t>
  </si>
  <si>
    <t>Veszprém MJV Egyesített Bölcsődéje</t>
  </si>
  <si>
    <t>Mikrobusz vásárlás</t>
  </si>
  <si>
    <t>14 db mikrofon a microportokhoz</t>
  </si>
  <si>
    <t>Ügyelői rendszer kialakítása</t>
  </si>
  <si>
    <t>Intézményi beruházási kiadások összesen</t>
  </si>
  <si>
    <t xml:space="preserve">Hulladéklerakó rekultivációja </t>
  </si>
  <si>
    <t>Csapadékvíz elvezetési problémák megoldása</t>
  </si>
  <si>
    <t>Játszóeszközök kopásból, elhasználódásból adódó felújítás</t>
  </si>
  <si>
    <t>Nagyfelületű útfelújítások</t>
  </si>
  <si>
    <t>Gyepmesteri telepen régi kenelek tetőcseréje, hátfal és válaszfal</t>
  </si>
  <si>
    <t>Elhasználódott labdapályák felújítása és balesetveszély elhárítás</t>
  </si>
  <si>
    <t>Aradi V. úti garázstelepi utak felújítása</t>
  </si>
  <si>
    <t>Toborzó u. 2. felújítás  lakásalap</t>
  </si>
  <si>
    <t xml:space="preserve">"Veszprém Virágváros" verseny </t>
  </si>
  <si>
    <t xml:space="preserve">Kertészeti felújítások    </t>
  </si>
  <si>
    <t>Járda, támfal  felújítás</t>
  </si>
  <si>
    <t>Veszprém Evangélikus óvodában (Veszprém, Aradi vértanúk útja 2/A) - 3 csoport elhelyezése</t>
  </si>
  <si>
    <t>Veszprém, Fecske u. 10 szám alatt betonyp épületben - 4 csoportos óvoda kialakítása</t>
  </si>
  <si>
    <t>Eötvös Károly Megyei Könyvtárban keletkezett vis maior károk helyreállítása</t>
  </si>
  <si>
    <t>Bakonyi ház tűzeset utáni helyreállítása /359/2013. (XII.19) határozat/</t>
  </si>
  <si>
    <t>Járási hivatal (Budapest út 3-5. sz.) előtti terület felújítása</t>
  </si>
  <si>
    <t>Szennyvíztisztító telep felújítása</t>
  </si>
  <si>
    <t>Védett sírok megőrzése</t>
  </si>
  <si>
    <t>Bejárati ajtó cseréje</t>
  </si>
  <si>
    <t xml:space="preserve">Terasz felújítás </t>
  </si>
  <si>
    <t>Bóbita Körzeti Óvoda (Hársfa Tagóvoda)</t>
  </si>
  <si>
    <t>WC blokk felújítás hátsó épületben</t>
  </si>
  <si>
    <t>Kémény külső felújítás</t>
  </si>
  <si>
    <t>Elektromos hálózat felújítása</t>
  </si>
  <si>
    <t>Terasz felújítás befejezése</t>
  </si>
  <si>
    <t>Nyílászáró csere utolsó ütem</t>
  </si>
  <si>
    <t>Csillag úti Körzeti Óvoda (Cholnoky ltp-i Tagóvoda)</t>
  </si>
  <si>
    <t>Lapostető szigetelésjavítás</t>
  </si>
  <si>
    <t>Statikai szakvélemény készítése a bejárat előtti tartópillér dőléséről</t>
  </si>
  <si>
    <t>Gazdasági terasz felújítása és ajtó cseréje</t>
  </si>
  <si>
    <t xml:space="preserve">Budapesti u. 9 rendelő </t>
  </si>
  <si>
    <t>Tető felújítás</t>
  </si>
  <si>
    <t>Jutasi u. 59. Gyermekorvosi rendelő</t>
  </si>
  <si>
    <t>Jutasi u. 59. Gyermekorvosi rendelő felülvilágító ablakcsere</t>
  </si>
  <si>
    <t>felülvilágító kupolák cseréje</t>
  </si>
  <si>
    <t>Halle u. 5/E. Felnőtt orvosi rendelő</t>
  </si>
  <si>
    <t>Rendelő komplett felújítása (vizesblokk, rendelő, váró: burkolat, szaniter, álmennyezet csere)</t>
  </si>
  <si>
    <t>Halle u. 9/C. felnőtt orvosi rendelő</t>
  </si>
  <si>
    <t>nyílászáró csere</t>
  </si>
  <si>
    <t>Március 15 .u. 4/B. Felnőtt orvosi rendelő</t>
  </si>
  <si>
    <t>Rendelő nyílászáró csere, befejező ütem</t>
  </si>
  <si>
    <t>VMJV Egyesített Bölcsődéje (Aprófalvi Bölcsőde)</t>
  </si>
  <si>
    <t xml:space="preserve"> Pavilon bölcsödei célra történő átalakítása</t>
  </si>
  <si>
    <t>Szivattyú automatika pótlása</t>
  </si>
  <si>
    <t>módosítás - képviselői keretek</t>
  </si>
  <si>
    <t>Önkormányzat működési bevétele</t>
  </si>
  <si>
    <t>Befizetett zöldkár</t>
  </si>
  <si>
    <r>
      <t>Parkfenntartás -</t>
    </r>
    <r>
      <rPr>
        <sz val="11"/>
        <rFont val="Palatino Linotype"/>
        <family val="1"/>
      </rPr>
      <t xml:space="preserve"> befizetett zöldkárból</t>
    </r>
  </si>
  <si>
    <t>befizetett zöldkárból</t>
  </si>
  <si>
    <t>dologi kiadásokra</t>
  </si>
  <si>
    <t>egyéb működési kiadásokra</t>
  </si>
  <si>
    <r>
      <t>Városi TV közszolgálati műsorok támogatása</t>
    </r>
    <r>
      <rPr>
        <sz val="11"/>
        <rFont val="Palatino Linotype"/>
        <family val="1"/>
      </rPr>
      <t xml:space="preserve"> dologi kiadásokról átcsoportosítás</t>
    </r>
  </si>
  <si>
    <r>
      <t>Kittenberger K. Növény- és Vadaspark KHT működéséhez hozzájárulás</t>
    </r>
    <r>
      <rPr>
        <sz val="11"/>
        <rFont val="Palatino Linotype"/>
        <family val="1"/>
      </rPr>
      <t xml:space="preserve"> dologi kiadásokról átcsoportosítás </t>
    </r>
  </si>
  <si>
    <r>
      <t>Központi orvosi ügyelet (önkormányzatok hozzájárulása) átcsoportosítás</t>
    </r>
    <r>
      <rPr>
        <sz val="11"/>
        <rFont val="Palatino Linotype"/>
        <family val="1"/>
      </rPr>
      <t xml:space="preserve"> egyéb működési kiadásról</t>
    </r>
  </si>
  <si>
    <r>
      <t>Pannon TISZK működtetése</t>
    </r>
    <r>
      <rPr>
        <sz val="11"/>
        <rFont val="Palatino Linotype"/>
        <family val="1"/>
      </rPr>
      <t xml:space="preserve"> dologi kiadásokról átcsoportosítás</t>
    </r>
  </si>
  <si>
    <r>
      <t>Veszprém Város Vegyeskar utánpótlás</t>
    </r>
    <r>
      <rPr>
        <sz val="11"/>
        <rFont val="Palatino Linotype"/>
        <family val="1"/>
      </rPr>
      <t xml:space="preserve"> dologi kiadásokról átcsoportosítás</t>
    </r>
  </si>
  <si>
    <t>módosítás - átcsoportosítás felhalmozási kiadásokra</t>
  </si>
  <si>
    <r>
      <t xml:space="preserve">Veszprém TV Kft. Pályázathoz fejlesztési önrész </t>
    </r>
    <r>
      <rPr>
        <sz val="11"/>
        <rFont val="Palatino Linotype"/>
        <family val="1"/>
      </rPr>
      <t>- átcsoportosítás felhalmozási kiadásokra</t>
    </r>
  </si>
  <si>
    <t>Kittenberger Kálmán Növény és Vadaskert Kft. tőkeemelés - átnevezés</t>
  </si>
  <si>
    <t>Kittenberger Kálmán Növény és Vadaskert Kft. törzstőke emelés és tőketartalékba helyezés</t>
  </si>
  <si>
    <t>átcsoportosítás Géczi János jub.kiadványra, és Ünnepi Könyvhét rendezvényre</t>
  </si>
  <si>
    <t>átcsoportosítás Géczi János jub.kiadványra, közművelődési szolgáltatásokról</t>
  </si>
  <si>
    <t>Kis és nagy hőközponti felújítási munkák</t>
  </si>
  <si>
    <t xml:space="preserve">Dózsavárosi könyvtár  </t>
  </si>
  <si>
    <t>Villámvédelmi rendszer felújítása</t>
  </si>
  <si>
    <t>Főépület, "B" épület felöli oldal tetőrész csatornát burkoló lambéria csere, csatornázás javítás</t>
  </si>
  <si>
    <t>Gondnokság: tető lambériázás</t>
  </si>
  <si>
    <t>Általános iskolák</t>
  </si>
  <si>
    <t>Nyílászáró és panel csere (aula, étterem) II. ütem</t>
  </si>
  <si>
    <t>Nyílászáró csere (K-i oldalon I. ütem)</t>
  </si>
  <si>
    <t>Burkolat felújítás aulában</t>
  </si>
  <si>
    <t>Nyílászáró csere konyha étkezőnél</t>
  </si>
  <si>
    <t>"A" épület konyha lapostető szigetelés</t>
  </si>
  <si>
    <t>Bárczi Gusztáv Általános Iskola</t>
  </si>
  <si>
    <t>Támfal javítás</t>
  </si>
  <si>
    <t>Vizesblokkok felújítása (1 db)</t>
  </si>
  <si>
    <t>Nemenkénti zuhanyzó kialakítása tornatermi öltözőben</t>
  </si>
  <si>
    <t>Támfal statikai szakvélemény, tervezéskivitelezés</t>
  </si>
  <si>
    <t>Ipari Szaközépiskola és Gimnázium</t>
  </si>
  <si>
    <t>Szakértői vélemény tornaterem épületszárny süllyedésére és helyreállítás</t>
  </si>
  <si>
    <t>Híradó épület DNY-i homlokzatnál szennyvízvezeték felújítás</t>
  </si>
  <si>
    <t>Nyílászárók és falelem csere</t>
  </si>
  <si>
    <t>Középiskolai Kollégium</t>
  </si>
  <si>
    <t>"A" épület wc fürdő felújítás I.ütem</t>
  </si>
  <si>
    <t>Középfokú Nevelési Központ</t>
  </si>
  <si>
    <t>Iskola épület</t>
  </si>
  <si>
    <t>Villámvédelmi rendszer felújítása iskola, tanműhely, csarnok, uszoda</t>
  </si>
  <si>
    <t xml:space="preserve">Uszoda </t>
  </si>
  <si>
    <t>Uszoda földszinti női zuhanyozó felújítás a felette lévő fiú zuhanyozó szig-vel</t>
  </si>
  <si>
    <t>Önkormányzati felújítási kiadások összesen</t>
  </si>
  <si>
    <t>Színpad padozat csere borovi fenyőből</t>
  </si>
  <si>
    <t>Teher lift teljes felújítás</t>
  </si>
  <si>
    <t>Főépület, fűtési rendszer alagsori felszálló ágak kiváltása</t>
  </si>
  <si>
    <t>2014. évi saját bevételei</t>
  </si>
  <si>
    <t>2014. évi  előirányzat</t>
  </si>
  <si>
    <t>Ipari Szakközépiskola és  Gimnázium</t>
  </si>
  <si>
    <t>Dohnányi E. Zeneművészeti Szakközépiskola és Diákotthon</t>
  </si>
  <si>
    <t>Veszprémi Zeneművészeti Szakközépiskola és Alaptokú Művészetoktatási Intézmény</t>
  </si>
  <si>
    <t>Beruházási feladatokra képzett céltartalék</t>
  </si>
  <si>
    <t>módosítás - átcsoportosítás céltartalékból</t>
  </si>
  <si>
    <t>Ringató Körzeti Óvoda (Erdei Kuckó Tagóvodák) - Öltözőszekrények cseréjének folytatása</t>
  </si>
  <si>
    <t>Egry úti Körzeti Óvoda (Nárcisz Tagóvoda) - Gázkazán csere</t>
  </si>
  <si>
    <t>Cholnoky Jenő Általános Iskola - Gázkazán csere</t>
  </si>
  <si>
    <t>Városi Művelődési Központ - Kádártai Közösségi Ház átépítése</t>
  </si>
  <si>
    <t>Uszoda  - földszinti női zuhanyozó felújítása a felette lévő fiú zohanyozó szigetelésével</t>
  </si>
  <si>
    <t>Iskola épület - Villámvédelmi rendszer felújítása iskola, tanműhely, csarnok, uszoda</t>
  </si>
  <si>
    <t xml:space="preserve"> - Nyílászáró csere (K-i oldalon I. ütem)</t>
  </si>
  <si>
    <t xml:space="preserve"> - Burkolat felújítás aulában</t>
  </si>
  <si>
    <t xml:space="preserve"> - Gondnokság: tető lambériázás</t>
  </si>
  <si>
    <t xml:space="preserve"> - Kis és nagy hőközponti felújítási munkák</t>
  </si>
  <si>
    <t>Budapesti u. 9. rendelő - Tető felújítás</t>
  </si>
  <si>
    <t xml:space="preserve"> - felülvilágító kupolák cseréje</t>
  </si>
  <si>
    <t>Halle u. 5/E. Felnőtt orvosi rendelő - Rendelő komplett felújítása (vizesblokk, rendelő, váró: burkolat, szaniter, álmennyezet csere)</t>
  </si>
  <si>
    <t>Veszprém Megyei Jogú Város Egészségre nevelő és szemléletformáló programjai TÁMOP-6.1.2-11/1-2012-1626 (2013.évről áthúzódó)</t>
  </si>
  <si>
    <t>2014. évi. Országgyűlési Képviselő Választás</t>
  </si>
  <si>
    <t>2014.évi Európa Parlamenti Képviselő Választás</t>
  </si>
  <si>
    <t>Halle u. 9/C. felnőtt orvosi rendelő - nyílászáró csere</t>
  </si>
  <si>
    <t>Laczkó Dezső Múzeum (Hősi Kapu-Várkapu bolt bevétele)</t>
  </si>
  <si>
    <r>
      <t>Önkormányzati segély</t>
    </r>
    <r>
      <rPr>
        <sz val="11"/>
        <rFont val="Palatino Linotype"/>
        <family val="1"/>
      </rPr>
      <t xml:space="preserve"> - (átmeneti szociális segélyről) átcsoportosítás köztemetésre</t>
    </r>
  </si>
  <si>
    <t>Pöltenberg utcai játszótér fejlesztésére - 2. vk.</t>
  </si>
  <si>
    <t>VESZPRÉM MEGYEI JOGÚ VÁROS ÖNKORMÁNYZATÁNAK MŰKÖDÉSI ÉS FELHALMOZÁSI</t>
  </si>
  <si>
    <t>KÖLTSÉGVETÉSI BEVÉTELEI ÉS KIADÁSAI 2014. ÉVBEN</t>
  </si>
  <si>
    <t>MŰKÖDÉSI KÖLTSÉGVETÉSI BEVÉTELEK</t>
  </si>
  <si>
    <t>ezer Ft-ban</t>
  </si>
  <si>
    <t>MŰKÖDÉSI KÖLTSÉGVETÉSI KIADÁSOK</t>
  </si>
  <si>
    <t>Működési célú támogatások államháztartáson belülről</t>
  </si>
  <si>
    <t>Munkaadókat terhelő járulékok és szociális hozzájárulási adó</t>
  </si>
  <si>
    <t>4.</t>
  </si>
  <si>
    <t>Ellátottak pénzbeli juttatásai</t>
  </si>
  <si>
    <t>5.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</si>
  <si>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</si>
  <si>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</si>
  <si>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</si>
  <si>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</si>
  <si>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</si>
  <si>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</si>
  <si>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</si>
  <si>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</si>
  <si>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Felhalmozási célú tartalék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</si>
  <si>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</si>
  <si>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</si>
  <si>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</si>
  <si>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</si>
  <si>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</si>
  <si>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</si>
  <si>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Költségvetési maradvány, vállalkozási maradvány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</si>
  <si>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</si>
  <si>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</si>
  <si>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</si>
  <si>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</si>
  <si>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</si>
  <si>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</si>
  <si>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</si>
  <si>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</si>
  <si>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</si>
  <si>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</si>
  <si>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</si>
  <si>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</si>
  <si>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</si>
  <si>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</si>
  <si>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Március 15. u. 4/B. Felnőtt orvosi rendelő - Rendelő nyílászáró csere, befejező ütem</t>
  </si>
  <si>
    <t>Rendszámfelismerő alapszoftver beszerzése (Városi Rendőrkapitányság részére történő használatba adásra) 2., 3., 4., 5., 9. vk.</t>
  </si>
  <si>
    <t>Pöltenberg utcai játszótér fejlesztésre - 2. vk.</t>
  </si>
  <si>
    <t>Pergola építése és kerti bútor telepítése a pergola alá (Haszkovó u. 16. elé) 4. vk.</t>
  </si>
  <si>
    <t>Pergola 6. vk.</t>
  </si>
  <si>
    <t>Homokozó létesítése a választókerületben - 11. vk.</t>
  </si>
  <si>
    <t>Szeletelőgép</t>
  </si>
  <si>
    <t>Étkező sarok elválasztásához paraván</t>
  </si>
  <si>
    <t>Udvari játékok beszerzése - 4. vk.</t>
  </si>
  <si>
    <t>Udvari játszóeszközök korszerűsítésére - 10. vk.</t>
  </si>
  <si>
    <t>Szekrény készítésére - 9. vk.</t>
  </si>
  <si>
    <t>3. vk. Vackor Bölcsőde támogatása (eszközvásárlásra)</t>
  </si>
  <si>
    <t>7. vk. Aprófalvi Bölcsőde támogatása (eszközbeszerzésre)</t>
  </si>
  <si>
    <t>8. vk. Hóvirág Bölcsőde támogatása (eszközbeszerzésre, rendezvényekre)</t>
  </si>
  <si>
    <t>12. vk. Napsugár Bölcsőde támogatása (rendezvény támogatása, eszközbesz.)</t>
  </si>
  <si>
    <t>2. vk. Rendezvények támogatására</t>
  </si>
  <si>
    <t>1. vk. Ficánka tagóvoda támogatása</t>
  </si>
  <si>
    <t>2. vk. támogatása</t>
  </si>
  <si>
    <t>3. vk. rendezvényekre 150 eFt, eszközbeszerzésekre 82 eFt</t>
  </si>
  <si>
    <t xml:space="preserve">     12. vk.  Rendezvény támogatása, eszközbeszerzésre</t>
  </si>
  <si>
    <t>Egry Körzeti Óvoda - 9. vk. Játszóeszközök beszerzésére</t>
  </si>
  <si>
    <t xml:space="preserve">     9. vk. Nárcisz Tagóvoda támogatása - játszóeszközök beszerzésére</t>
  </si>
  <si>
    <r>
      <t xml:space="preserve">Városi Művelődési Központ - </t>
    </r>
    <r>
      <rPr>
        <sz val="11"/>
        <rFont val="Palatino Linotype"/>
        <family val="1"/>
      </rPr>
      <t>személyi kiadásokra 1 067 eFt, járulékok kiadásaira 280 eFt, dologi kiadásokra 10 eFt</t>
    </r>
  </si>
  <si>
    <t>Gyulafirátóti Művelődési Ház - Bakonyerdő Pávakör 40 éves jubileumára</t>
  </si>
  <si>
    <t>Gyulafirátóti Művelődési Ház - Rozmaring Nyugdíjas Klub programjaira</t>
  </si>
  <si>
    <t>Veszprémi Ukrán Nemzetiségi Önkormányzat 100 tagú bandura zenekar koncertje</t>
  </si>
  <si>
    <t>1. vk. rendezvények, programok költségeire</t>
  </si>
  <si>
    <t>3. vk. támogatása rendezvények, programok költségeire</t>
  </si>
  <si>
    <t>4. vk. támogatása rendezvények, programok költségeire</t>
  </si>
  <si>
    <t>5. vk. támogatása nyugdíjas rendezvények költségeire</t>
  </si>
  <si>
    <t>5. vk. támogatása rendezvények, programok költségeire</t>
  </si>
  <si>
    <t>7. vk. Támogatása nyugdíjas rendezvények költségeire</t>
  </si>
  <si>
    <t>7. vk. Támogatása Ukrán Nemzetiségi Önkormányzat rendezvényére</t>
  </si>
  <si>
    <t>8. vk. Támogatása nyugdíjas rendezvények költségeire</t>
  </si>
  <si>
    <t xml:space="preserve">12. vk. Támogatása nyárbúcsúztató rendezvényre </t>
  </si>
  <si>
    <t>12. vk. Támogatása nyugdíjas rendezvények költségeire</t>
  </si>
  <si>
    <t>4. vk. Március 15. úti Könyvtár író-olvasó találkozó rendezvényekre</t>
  </si>
  <si>
    <t>5. vk. Március 15. úti Könyvtári szolgáltatáshoz kapcs.rendezvényeire</t>
  </si>
  <si>
    <t>2. vk. Március 15. úti Könyvtár könyvtári szolgáltatáshoz kapcs. rendezvényeire</t>
  </si>
  <si>
    <t>12. vk. Dózsavárosi Könyvtár könyvtári szolgáltatáshoz kapcs. rendezvényeire</t>
  </si>
  <si>
    <t>Fenntartható városfejlesztés Veszprémben KDOP-3.1./E-13-2013-0002 (személyi kiadásokra 4 143 eFt, járulékok kiadásaira 1 119 eFt</t>
  </si>
  <si>
    <r>
      <t>Kastélykert Körzeti Óvoda</t>
    </r>
    <r>
      <rPr>
        <sz val="11"/>
        <rFont val="Palatino Linotype"/>
        <family val="1"/>
      </rPr>
      <t xml:space="preserve"> - szeletelőgép</t>
    </r>
  </si>
  <si>
    <r>
      <t>Művészetk Háza</t>
    </r>
    <r>
      <rPr>
        <sz val="11"/>
        <rFont val="Palatino Linotype"/>
        <family val="1"/>
      </rPr>
      <t xml:space="preserve"> - NKA pályázat - technológiai eszközfejlesztés</t>
    </r>
  </si>
  <si>
    <t>1. vk.</t>
  </si>
  <si>
    <t>2. vk.</t>
  </si>
  <si>
    <t>3. vk.</t>
  </si>
  <si>
    <t>4. vk.</t>
  </si>
  <si>
    <t>5. vk.</t>
  </si>
  <si>
    <t>7. vk.</t>
  </si>
  <si>
    <t>8. vk.</t>
  </si>
  <si>
    <t>9. vk.</t>
  </si>
  <si>
    <t>10. vk.</t>
  </si>
  <si>
    <t>11. vk.</t>
  </si>
  <si>
    <t>12. vk.</t>
  </si>
  <si>
    <t>6. vk.</t>
  </si>
  <si>
    <t>Rendszámfelismerő alapszoftver beszerzésére (Városi Rendőrkapitányság részére történő használatba adásra) 2.,3.,4.,5.,9. vk.</t>
  </si>
  <si>
    <t>Rendőrségi körzeti megbízotti iroda kialakítására a Stromfeld u. 9. szám alatti önkormányzati helyiségekben 3. vk</t>
  </si>
  <si>
    <t>3. vk. Pénzmaradvány</t>
  </si>
  <si>
    <t>4. vk. Pénzmaradvány</t>
  </si>
  <si>
    <t>1. vk. Hadnagy László Díj költségeire</t>
  </si>
  <si>
    <t>1. vk. Dévai Bíró Mátyás Díj költségeire</t>
  </si>
  <si>
    <t>10. vk Pipacs utcai közösségi ház rezsi költségeire</t>
  </si>
  <si>
    <t>2. vk. Növények beszerzésére</t>
  </si>
  <si>
    <t>1. vk. Növények beszerzésére</t>
  </si>
  <si>
    <t>3. vk. Növények beszerzésére</t>
  </si>
  <si>
    <t>4. vk. Növények pótlására</t>
  </si>
  <si>
    <t>8. vk. Növények beszerzésére</t>
  </si>
  <si>
    <t>10. vk. Növények beszerzésére</t>
  </si>
  <si>
    <t>10. vk. Károly templom kertrendezésére</t>
  </si>
  <si>
    <t>1. vk. Emléktáblák, emléktárgyak költségeire</t>
  </si>
  <si>
    <t>1. vk. Gyulafirátót és Kádárta honlapok fejlesztésének költségeire</t>
  </si>
  <si>
    <t>1. vk. Anyatej világnap</t>
  </si>
  <si>
    <t>1. vk. Gyulaffy Általános Iskola 8-ik osztályosai budapesti kirándulás támogatása</t>
  </si>
  <si>
    <t>1. vk. Villanyszerelési munkákra</t>
  </si>
  <si>
    <t>1. vk. Kádártai temető harang felújítására</t>
  </si>
  <si>
    <t>1. vk. Festék vásárlása (Kádártai Faluház kerítés festétéhez)</t>
  </si>
  <si>
    <t>1. vk. Gyulaffy Általános Iskola 20 éves évfordulós rendezvényére</t>
  </si>
  <si>
    <t>átcsoportosítás Petőfi Színháznak 50 eFt, Gyulafirátót Művelődési Háznak 150 eFt, Városi Művelődési Központnak 50 eFt</t>
  </si>
  <si>
    <r>
      <t>Laczkó Dezső Múzeum</t>
    </r>
    <r>
      <rPr>
        <sz val="11"/>
        <rFont val="Palatino Linotype"/>
        <family val="1"/>
      </rPr>
      <t xml:space="preserve"> -TÁMOP-3.2.12-12/1-2012-0002. Virtualitás és többnyelvűség a megújuló múzeumpedagógiában</t>
    </r>
  </si>
  <si>
    <r>
      <t>Polgármesteri Hivatal</t>
    </r>
    <r>
      <rPr>
        <sz val="11"/>
        <rFont val="Palatino Linotype"/>
        <family val="1"/>
      </rPr>
      <t xml:space="preserve"> -TÁMOP-2.4.5-12/7-2012-0474 Rugalmas foglalkoztatási lehetőségek megvalósítása Veszprém Megyei Jogú Város Polgármesteri Hivatalában</t>
    </r>
  </si>
  <si>
    <t>2014. Európa Parlamenti Választás (személyi kiadás 5 660 eFt, járulákok 1 784 eFt, dologi kiadások 1 763 eFt)</t>
  </si>
  <si>
    <t>módosítás - 3. vk.</t>
  </si>
  <si>
    <t>Rendőrségi körzeti megbízotti iroda kialakítására a Stromfeld u. 9.sz. alatti önkormányzati helyiségekben 3. vk.</t>
  </si>
  <si>
    <t>Intézményi felújítási kiadások összesen</t>
  </si>
  <si>
    <t>Ebből:</t>
  </si>
  <si>
    <t>Önkormányzat által önként vállalt feladatokat ellátó intézmények összesen</t>
  </si>
  <si>
    <t>VMJV Polgármesteri Hivatal által ellátott kötelező és államigazgatási feladatok összesen</t>
  </si>
  <si>
    <t xml:space="preserve">          - Tánc Fesztivál </t>
  </si>
  <si>
    <t>I. Világháborús Centeráumi Emlékezés költségei</t>
  </si>
  <si>
    <t>Á</t>
  </si>
  <si>
    <t>Önkormányzati segély</t>
  </si>
  <si>
    <t>Köztemetés</t>
  </si>
  <si>
    <t>Központi orvosi ügyelet (önkormányzatok hozzájárulása)</t>
  </si>
  <si>
    <t>Önkormányzat igazgatási tevékenysége (megbízási díjak, tagdíjak)</t>
  </si>
  <si>
    <t>Intézményüzemeltetéssel kapcsolatos kiadások</t>
  </si>
  <si>
    <t xml:space="preserve">Kéményseprési tevékenység támogatása </t>
  </si>
  <si>
    <t xml:space="preserve">Balaton Volán Zrt. helyi közösségi közlekedés közszolgáltatás és veszteségkiegyenlítés </t>
  </si>
  <si>
    <t>Fenntartható városfejlesztési programok előkészítése KDOP-3.1.1/E-13.</t>
  </si>
  <si>
    <t>Ebből: Önkormányzat által ellátott kötelező feladatok összesen:</t>
  </si>
  <si>
    <t>Ebből: Önkormányzat által ellátott önként vállalt feladatok összesen:</t>
  </si>
  <si>
    <t>Á= Állami (államigazgatási) feladatok</t>
  </si>
  <si>
    <t>Társadalmi tudatformálási kampányok (mobilitási hét, "Te Szedd", kerékpárral munkába)</t>
  </si>
  <si>
    <t>Ebből: Önkormányzat által ellátott állami (államigazgatási) feladatok összesen:</t>
  </si>
  <si>
    <t>2014. évi választások</t>
  </si>
  <si>
    <t>Polgármesteri Hivatal összesen:</t>
  </si>
  <si>
    <t xml:space="preserve">KDOP-3.1.1/D2-13-k2-2013-0002. Szociális Városrehabilitáció Veszprémben </t>
  </si>
  <si>
    <t>Bevételek összesen</t>
  </si>
  <si>
    <t>Önkormányzati kötelező feladatokat ellátó intézmények összesen</t>
  </si>
  <si>
    <t>Veszprém Megyei Jogú Város Önkormányzatának</t>
  </si>
  <si>
    <t>Cím</t>
  </si>
  <si>
    <t>1.</t>
  </si>
  <si>
    <t>2.</t>
  </si>
  <si>
    <t>3.</t>
  </si>
  <si>
    <t>Gépjárműadó</t>
  </si>
  <si>
    <t>Illetékek</t>
  </si>
  <si>
    <t>Kulturális és közművelődési int. összesen</t>
  </si>
  <si>
    <t>INTÉZMÉNYEK ÖSSZESEN</t>
  </si>
  <si>
    <t>VMJV Polgármesteri Hivatal összesen</t>
  </si>
  <si>
    <t>NK</t>
  </si>
  <si>
    <t>Feladatellátás jellege*</t>
  </si>
  <si>
    <t>* Feladatellátás jellege:</t>
  </si>
  <si>
    <t>Téli Közfoglalkoztattak létszáma</t>
  </si>
  <si>
    <t>Közfoglalkoztattak létszáma</t>
  </si>
  <si>
    <t>8.</t>
  </si>
  <si>
    <t>9.</t>
  </si>
  <si>
    <t>11.</t>
  </si>
  <si>
    <t>12.</t>
  </si>
  <si>
    <t>Működési célú központosított előirányzatok</t>
  </si>
  <si>
    <t xml:space="preserve"> - Egyéb felhalmozási célú kiadások</t>
  </si>
  <si>
    <t>Működési finanszírozási kiadások</t>
  </si>
  <si>
    <t>Felhalmozási finanszírozási kiadások</t>
  </si>
  <si>
    <t>Egyéb felhalmozási célú kiadások</t>
  </si>
  <si>
    <t>Helyi önkormányzatok kiegészítő támogatásai</t>
  </si>
  <si>
    <t>Műk.célú visszatér.tám. kölcs. visszatérülése, igénybevétele</t>
  </si>
  <si>
    <t>Egyéb működési célú támogatások bevételei</t>
  </si>
  <si>
    <t>Önkormányzatok működési támogatásai</t>
  </si>
  <si>
    <t>Önkormányzatok felhalmozási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</si>
  <si>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</si>
  <si>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</si>
  <si>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</si>
  <si>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Működési hitelfelvétel</t>
  </si>
  <si>
    <t>Óvodák összesen:</t>
  </si>
  <si>
    <t>Kossuth Lajos Általános Iskola</t>
  </si>
  <si>
    <t>Cholnoky Jenő Általános Iskola</t>
  </si>
  <si>
    <t>Báthory István Általános Iskola</t>
  </si>
  <si>
    <t>Deák Ferenc Általános Iskola</t>
  </si>
  <si>
    <t>Szökőkutak, ivókutak szolgáltatási díjai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</si>
  <si>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</si>
  <si>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</si>
  <si>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</si>
  <si>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</si>
  <si>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</si>
  <si>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</si>
  <si>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</si>
  <si>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</si>
  <si>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</si>
  <si>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VMJV Eü. Alapellátási Intézmény</t>
  </si>
  <si>
    <t>Felúj. és karbantartás</t>
  </si>
  <si>
    <t xml:space="preserve">Eötvös Károly Megyei Könyvtár </t>
  </si>
  <si>
    <t>2.sz.vk. Rendezvények támogatására</t>
  </si>
  <si>
    <t xml:space="preserve">VMJV Egyesített Bölcsődéje </t>
  </si>
  <si>
    <t>VMJV Egyesített Bölcsődéje</t>
  </si>
  <si>
    <t>Egészségügyi és szoc. int. összesen: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</si>
  <si>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</si>
  <si>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</si>
  <si>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</si>
  <si>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</si>
  <si>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</si>
  <si>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</si>
  <si>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</si>
  <si>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</si>
  <si>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</si>
  <si>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</si>
  <si>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</si>
  <si>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</si>
  <si>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</si>
  <si>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Intézményi Szolgáltató Szervezet</t>
  </si>
  <si>
    <t>Eötvös Károly Megyei Könyvtár</t>
  </si>
  <si>
    <t>Laczkó Dezső Múzeum</t>
  </si>
  <si>
    <t>Göllesz Viktor Fogyatékos Személyek Nappali Intézménye</t>
  </si>
  <si>
    <t>VMJV Polgármesteri Hivatal által ellátott kötelező és önként vállalt feladatok</t>
  </si>
  <si>
    <t>Veszprémi Zeneművészeti Szakközépiskola és Alapfokú Művészetoktatási Intézmény</t>
  </si>
  <si>
    <t>Közcélú és közhasznú foglalkoztatás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</si>
  <si>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</si>
  <si>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</si>
  <si>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</si>
  <si>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</si>
  <si>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</si>
  <si>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</si>
  <si>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</si>
  <si>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</si>
  <si>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</si>
  <si>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</si>
  <si>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Intézmények összesen:</t>
  </si>
  <si>
    <t>Személyi juttatások</t>
  </si>
  <si>
    <t>Dologi kiadások</t>
  </si>
  <si>
    <t>Egyéb működési kiadások</t>
  </si>
  <si>
    <t>Felhalmozási célú átvett pénzeszköz</t>
  </si>
  <si>
    <t>Módosítás</t>
  </si>
  <si>
    <t>Megjegyzés</t>
  </si>
  <si>
    <t>Petőfi Színház</t>
  </si>
  <si>
    <t>O</t>
  </si>
  <si>
    <t>Beruházási kiadásokra képzett céltartalék</t>
  </si>
  <si>
    <t>Beruházási kiadásokra képzett céltartalék összesen:</t>
  </si>
  <si>
    <t>Önkormányzati beruházási kiadások</t>
  </si>
  <si>
    <t>Intézményi beruházási kiadások</t>
  </si>
  <si>
    <t>Önkormányzati felújítási kiadások</t>
  </si>
  <si>
    <t>Intézményi felújítási kiadások</t>
  </si>
  <si>
    <t>Felújítási kiadásokra képzett céltartalék</t>
  </si>
  <si>
    <t>Felújítási kiadásokra képzett céltartalék összesen:</t>
  </si>
  <si>
    <t>Felújítási kiadások mindösszesen:</t>
  </si>
  <si>
    <t>Viola köz rekonstrukció I. ütem</t>
  </si>
  <si>
    <t>K= Magyarország helyi önkormányzatairól szóló 2011. évi CLXXXIX. törvény 13. § (1) bekezdése szerinti kötelező feladatok</t>
  </si>
  <si>
    <t>NK= Önkormányzat által önként vállalt feladatok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</si>
  <si>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</si>
  <si>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</si>
  <si>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</si>
  <si>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</si>
  <si>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</si>
  <si>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</si>
  <si>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</si>
  <si>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</si>
  <si>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</si>
  <si>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</si>
  <si>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</si>
  <si>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</si>
  <si>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</si>
  <si>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</si>
  <si>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Cholnoky szobor</t>
  </si>
  <si>
    <t>Köztéri szobrok, emléktáblák, lektorátus</t>
  </si>
  <si>
    <t>Kiadványok, folyóiratok támogatása</t>
  </si>
  <si>
    <t>Hulladéklerakó utógondozása</t>
  </si>
  <si>
    <t>Aluljárók csapadékvíz átemelőinek üzemeltetése</t>
  </si>
  <si>
    <t>VMJV Egészségügyi Alapellátási Intézmény</t>
  </si>
  <si>
    <t>Árkok felújítása (Látóhegyi árok) III. ütem</t>
  </si>
  <si>
    <t>Göllesz Viktor Fogyatékos Személyek Nappali Intézmények</t>
  </si>
  <si>
    <t>H</t>
  </si>
  <si>
    <t>I</t>
  </si>
  <si>
    <t>VMJV Önkormányzata</t>
  </si>
  <si>
    <t>ebből: - Veszprémi Ünnepi Játékok</t>
  </si>
  <si>
    <t>Turisztikai feladatok Gizella Múzeum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</si>
  <si>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</si>
  <si>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</si>
  <si>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</si>
  <si>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</si>
  <si>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</si>
  <si>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</si>
  <si>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</si>
  <si>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</si>
  <si>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r>
      <t>Polghármesteri Hivatal</t>
    </r>
    <r>
      <rPr>
        <sz val="11"/>
        <rFont val="Palatino Linotype"/>
        <family val="1"/>
      </rPr>
      <t>-Informatikai eszközbeszerzés</t>
    </r>
  </si>
  <si>
    <t>Ukrán Nemzetiségi Önkormányzat</t>
  </si>
  <si>
    <t>Kittenberger K. Növény- és Vadaspark KHT működéséhez hozzájárulás</t>
  </si>
  <si>
    <t>TDM Irodától szolgáltatás vásárlása</t>
  </si>
  <si>
    <t xml:space="preserve">          - Vivace</t>
  </si>
  <si>
    <t>Filharmónia koncertek támogatás</t>
  </si>
  <si>
    <t>Előir. csop. szám</t>
  </si>
  <si>
    <t>Kie-melt előir. szám</t>
  </si>
  <si>
    <t>Vis maior</t>
  </si>
  <si>
    <t>Közhatalmi bevételek</t>
  </si>
  <si>
    <t>Miniszterelnökségtől kapott támogatás - köztériszobrok, emléktáblák, lektorátus feladatokra</t>
  </si>
  <si>
    <t xml:space="preserve">     Miniszterelnökségtől kapott támogatás</t>
  </si>
  <si>
    <t>Miniszterelnökségtől kapott támogatásból</t>
  </si>
  <si>
    <t>Köztéri szobrok, emléktáblák, lektorátus keretre - NKA támogatásból</t>
  </si>
  <si>
    <t>Veszprém Megyei Jogú Város Egészségre nevelő és szemléletformáló programjai TÁMOP-6.1.2-11/1-2012-1626 - pénzmaradványból</t>
  </si>
  <si>
    <t>várható bevételből</t>
  </si>
  <si>
    <t>bevételből</t>
  </si>
  <si>
    <t>módosítás- pénzmaradványból</t>
  </si>
  <si>
    <t>ÁROP-1.A.5-2013-2013-0070. Szervezetfejlesztés a Veszprémi Önkormányzatnál pénzmaradványból</t>
  </si>
  <si>
    <t xml:space="preserve">ÁROP-1.A.5-2013-2013-0070. Szervezetfejlesztés a Veszprémi Önkormányzatnál </t>
  </si>
  <si>
    <t>TÁMOP-2.4.5-12/7-2012-0474 Rugalmas foglalkoztatási lehetőségek megvalósítása Veszprém Megyei Jogú Város Polgármesteri Hivatalában - pénzmaradvány</t>
  </si>
  <si>
    <t>módosítás - pénzmaradványból, várható bevételből</t>
  </si>
  <si>
    <t>projekt bevételből</t>
  </si>
  <si>
    <t>ÁROP-1.A.6-2013-2013-0050 Bízzunk az új nemzedékben</t>
  </si>
  <si>
    <t xml:space="preserve">     átcsoportosítás nyugdíjas klubok költségeire</t>
  </si>
  <si>
    <t>2014. Európa parlamenti választások</t>
  </si>
  <si>
    <t xml:space="preserve">Civil szervezetek </t>
  </si>
  <si>
    <t>Települési Hulladék</t>
  </si>
  <si>
    <t>eltérés 32406 e ft. pénzmaradvány</t>
  </si>
  <si>
    <t>képviselői keretek maradványa</t>
  </si>
  <si>
    <t>módosítás - képviselői keret</t>
  </si>
  <si>
    <t>módosítás- képviselői keretek maradványa</t>
  </si>
  <si>
    <t>módosítás - képviselői keretek maradványa</t>
  </si>
  <si>
    <t>Iparűzési adó</t>
  </si>
  <si>
    <t>ÁFA befizetés</t>
  </si>
  <si>
    <t>Kölcsönök visszatérülése</t>
  </si>
  <si>
    <t>Önkormányzat (Vetési A. G. Természett.Labor)</t>
  </si>
  <si>
    <t>Likvid hitelfelvétel</t>
  </si>
  <si>
    <t>Helyi Önkormányzatok általános működéséhez és ágazati feladataihoz kapcsolódó támogatás</t>
  </si>
  <si>
    <t>Építményadó</t>
  </si>
  <si>
    <t>Idegenforgalmi adó</t>
  </si>
  <si>
    <t>Kommunális adó</t>
  </si>
  <si>
    <t>Telekadó</t>
  </si>
  <si>
    <t>Egyéb pótlékok, bírságok</t>
  </si>
  <si>
    <t>SZJA helyben maradó része</t>
  </si>
  <si>
    <t>Egyéb sajátos bevételek</t>
  </si>
  <si>
    <t>Befektetésösztönzési kiadványok (részvétel a Renexpo ingatlanfejlesztési vásáron, marketingakciók)</t>
  </si>
  <si>
    <t>Méz Rádió támogatása</t>
  </si>
  <si>
    <t>Intézményüzemeltetési szolgáltatások díja (karbantartók, portások bére)</t>
  </si>
  <si>
    <t>Működési célú átvett pénzeszköz</t>
  </si>
  <si>
    <t>KIMUTATÁS</t>
  </si>
  <si>
    <t>Nemzeti ünnepek kiadásaira</t>
  </si>
  <si>
    <t xml:space="preserve">          - Gizella Napok</t>
  </si>
  <si>
    <t xml:space="preserve">          - Veszprémi Utcazene Fesztivál</t>
  </si>
  <si>
    <t>2013. évi tény</t>
  </si>
  <si>
    <t>Hiány belső finanszírozására szolgáló bevételek</t>
  </si>
  <si>
    <t>Intézmények működési célú pénzmaradványa</t>
  </si>
  <si>
    <t>módosítás - pénzmaradvány</t>
  </si>
  <si>
    <t>Nemzeti Rehabilitációs és Szociális Hivatal- Göllesz Viktor Fogy.Szem.Nappali Int. támogatása</t>
  </si>
  <si>
    <t>Nemzeti Rehab.Szoc.Hivatal</t>
  </si>
  <si>
    <t>Nemzeti Rehabilitácis és Szoc.Hiv.</t>
  </si>
  <si>
    <t>átcsoportosítás</t>
  </si>
  <si>
    <t>Bérkompenzáció</t>
  </si>
  <si>
    <t>Intézmények bérkompenzációja</t>
  </si>
  <si>
    <t>bérkompenzáció</t>
  </si>
  <si>
    <t>bérkompenzáció átadása</t>
  </si>
  <si>
    <t>módosítás - bérkompenzáció</t>
  </si>
  <si>
    <t>Önkormányzatok működési célú támogatása</t>
  </si>
  <si>
    <r>
      <t>Művészetek Háza</t>
    </r>
    <r>
      <rPr>
        <sz val="11"/>
        <rFont val="Palatino Linotype"/>
        <family val="1"/>
      </rPr>
      <t xml:space="preserve"> - átcsoportosítás dologi kiadásokról felhalmozási kiadásokra</t>
    </r>
  </si>
  <si>
    <r>
      <t xml:space="preserve">Kastélykert Körzeti Óvoda - </t>
    </r>
    <r>
      <rPr>
        <sz val="11"/>
        <rFont val="Palatino Linotype"/>
        <family val="1"/>
      </rPr>
      <t>átcsoportosítás dologi kiadásokról felhalmozási kiadásokra</t>
    </r>
  </si>
  <si>
    <r>
      <t>Vadvirág Körzeti Óvoda -</t>
    </r>
    <r>
      <rPr>
        <sz val="11"/>
        <rFont val="Palatino Linotype"/>
        <family val="1"/>
      </rPr>
      <t xml:space="preserve"> átcsoportosítás dologi kiadásokról felhalmozási kiadásokra</t>
    </r>
  </si>
  <si>
    <r>
      <t>Vadvirág Körzeti Óvoda</t>
    </r>
    <r>
      <rPr>
        <sz val="11"/>
        <rFont val="Palatino Linotype"/>
        <family val="1"/>
      </rPr>
      <t xml:space="preserve"> - étkező sarok elválasztásához paraván</t>
    </r>
  </si>
  <si>
    <t>Prémium évek</t>
  </si>
  <si>
    <t>prémium évek</t>
  </si>
  <si>
    <t>módosítás - átnevezés</t>
  </si>
  <si>
    <t>módosítás- átnevezés</t>
  </si>
  <si>
    <t>Sportpálya fenntartás, ill. fenntartói támogatás</t>
  </si>
  <si>
    <t>Sportcélok és feladatok (sportigazgatás) - sportévnyitó rendezvény</t>
  </si>
  <si>
    <t>Közutak, hidak fenntartása - kátyúzás, burkolatjel festés</t>
  </si>
  <si>
    <t>Városgazdálkodási szolgáltatás - karácsonyi díszvilágítás költsége</t>
  </si>
  <si>
    <t>Csapadékcsatornák üzemeltetési szolgáltatásai</t>
  </si>
  <si>
    <t>Környezetvédelmi feladat - Vidámparki tó fenkévizsgálat</t>
  </si>
  <si>
    <t>VKSZ Zrt. intézményüzemeltetés járulékos költségei</t>
  </si>
  <si>
    <t>Intézményüzemeltetési szolgáltatások díja</t>
  </si>
  <si>
    <t>Balaton Volán Zrt. helyi közösségi közlekedés közszolgáltatás támogatása (veszteségkiegyenlítés)</t>
  </si>
  <si>
    <t>Városi rendezvények, kitüntetések - újévi köszöntő rendezvényre</t>
  </si>
  <si>
    <t>DAT térképfrissítés, közműnyilvántartás</t>
  </si>
  <si>
    <t>módosítás - pénzmaradványból</t>
  </si>
  <si>
    <t>pénzmaradványból</t>
  </si>
  <si>
    <t>Polgármesteri Hivatal pénzmaradványa</t>
  </si>
  <si>
    <t>Önkormányzat pénzmaradványa</t>
  </si>
  <si>
    <t>Pénzmaradványból</t>
  </si>
  <si>
    <t>Gondnokság - pénzmaradványból</t>
  </si>
  <si>
    <t>Informatika -  pénzmaradványból</t>
  </si>
  <si>
    <t>módosítás - 2012. évi normatíva ellenőrzés</t>
  </si>
  <si>
    <t>2013. évi beszámoló normatíva elszámolás</t>
  </si>
  <si>
    <t>Állam felé befizetési kötelezettség</t>
  </si>
  <si>
    <t>Felmentési idő, jub.jut., végkielégítés</t>
  </si>
  <si>
    <t>átcsoportosítás céltartalékból</t>
  </si>
  <si>
    <r>
      <t>VMJV Eü. Alapellátási Intézmény</t>
    </r>
    <r>
      <rPr>
        <sz val="11"/>
        <rFont val="Palatino Linotype"/>
        <family val="1"/>
      </rPr>
      <t xml:space="preserve"> - átcsoportosítás céltartalékból felmentési időre, végkielégítésre (személyi kiadásokra 16 626 eFt, járulékokra 4 489 eFt)</t>
    </r>
  </si>
  <si>
    <t>módosítás - pótmunkák finanszírozása</t>
  </si>
  <si>
    <t>12. vk. Rendezvény támogatása, eszközbeszerzésre</t>
  </si>
  <si>
    <t>4. vk. Udvari játékok beszerzésére</t>
  </si>
  <si>
    <t>10. vk. Hársfa Tagóvoda udvari játszóeszk. Korszerűsítésére</t>
  </si>
  <si>
    <t>2. vk. Támogatása</t>
  </si>
  <si>
    <t>3. vk. Rendezvénekre, eszközbeszerzésre</t>
  </si>
  <si>
    <t>9. vk. Nárcisz Tagóvoda támogatás-játszóeszközök besz.</t>
  </si>
  <si>
    <t>9. vk. Játszóeszközök beszerzésére</t>
  </si>
  <si>
    <t>1. vk. Ficánka tagóvoda támogatás</t>
  </si>
  <si>
    <t>3. vk. Vackor Bölcsőde támogatás eszközvásárlásra</t>
  </si>
  <si>
    <t>7. vk. Aprófalvi Bölcsőde támogatása eszközbeszerzésre</t>
  </si>
  <si>
    <t>8. vk. Hóvirág Bölcsőde támogatása eszközbeszerzésre,rendezv.</t>
  </si>
  <si>
    <t>12. vk. Napsugár Bölcsőde támogatása rendezvényekre, eszközbesz.</t>
  </si>
  <si>
    <t>9. vk. Hóvirág Bölcsőde - szekrény készítésére</t>
  </si>
  <si>
    <t>12. vk. Támogatása nyárbúcsúztató rendezvényre</t>
  </si>
  <si>
    <t>2. vk. Március 15. úti Könyvtár könyvtári szolgáltatáshoz kapcsolódó rend.</t>
  </si>
  <si>
    <t>5. vk. Március 15. úti Könyvtári szolgáltatáshoz kapcs. Rendezvényekre</t>
  </si>
  <si>
    <t>Veszprémi Futball Club Utánpótlás Sportegyesület fejlesztéseihez hozzájárulás</t>
  </si>
  <si>
    <t>Kittenberger Kálmán Növény és Vadaskert Kft törzstőke emelés, tőketartalékba helyezés</t>
  </si>
  <si>
    <t>Veszprém TV Kft. törzstőke emelés és tőketartalékba helyezés</t>
  </si>
  <si>
    <t>Vezprémi Programiroda Kft. törzstőke-emelés, tőketartalékba helyezés</t>
  </si>
  <si>
    <t>Swing-Swing Kft. törzstőke emelés Hangvilla projekt, 5043/2. hrsz-ú ingatlan</t>
  </si>
  <si>
    <t>Programiroda Kft. törzstőke befizetés és emelés - átnevezés</t>
  </si>
  <si>
    <t>Veszprémi Programiroda Kft. törzstőke emelés, tőketartalékba helyezés</t>
  </si>
  <si>
    <t>Veszprém TV Kft. törzstőke emelés, tőketartalékba helyezés</t>
  </si>
  <si>
    <t>Kittenberger Kálmán Növény és Vadaskert Kft. törzstőke emelés, tőketartalékba helyezés</t>
  </si>
  <si>
    <t>Csarnok Kft. törzstőke emelés, tőketartalékba helyezés</t>
  </si>
  <si>
    <t>Csarnok Kft. törzstőkeemelés, tőketartalékba helyezés</t>
  </si>
  <si>
    <t>12. vk. Dózsavárosi Könyvtár könyvtári szolgáltatáshoz kapcs.rend.</t>
  </si>
  <si>
    <t>12. vk rendezvény támogatása, eszközbeszerzésre</t>
  </si>
  <si>
    <t>9. vk.Nárcisz Tagóvoda támogatása - játszóeszk.besz.</t>
  </si>
  <si>
    <t>módosítás - pénzmaradvány, bérkompenzáció, támogatás</t>
  </si>
  <si>
    <t>módosítás - pénzmaradvány, bérkompenzáció, átcsoportosítás</t>
  </si>
  <si>
    <t>módosítás - pénzmaradvány, bérkompenzáció, támogatás, átcsoportosítás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</si>
  <si>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</si>
  <si>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</si>
  <si>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>Agóra Veszprém - TIOP-1.2.1/A-12/1-2013-0001</t>
  </si>
  <si>
    <t xml:space="preserve">A veszprémi Hősi kapu rekonstrukciója turisztikai vonzerőfejlesztés céljából KDOP 2.1.1/B-09-2010-0024 </t>
  </si>
  <si>
    <t>Az Észak-déli közlekedési főtengely kialakítása -Új gyűjtő út kiépítése Veszprémben KDOP 4.2.1/B-11-2012-0032</t>
  </si>
  <si>
    <t>"Hivatásforgalmi kerékpárút hálózat fejlesztése a térségi elérhetőség javításához a 8. sz. főközlekedési út tehermentesítése érdekében" KÖZOP-3.2.0/C-08-11-2011-0022</t>
  </si>
  <si>
    <r>
      <t>Városi Művelődési Központ</t>
    </r>
    <r>
      <rPr>
        <sz val="11"/>
        <rFont val="Palatino Linotype"/>
        <family val="1"/>
      </rPr>
      <t xml:space="preserve"> - Szociális városrehabilitáció Veszprémben KDOP-3.1.1/D2-13-k2-2013-0002.</t>
    </r>
  </si>
  <si>
    <t>Várkapu bolt bevétele</t>
  </si>
  <si>
    <t>Várkapu bolt kiadásai</t>
  </si>
  <si>
    <t>Előző évi hitelszerződéshez kapcs. feladat</t>
  </si>
  <si>
    <t>Működési célú céltartalék</t>
  </si>
  <si>
    <t>Felhalmozási célú céltartalék</t>
  </si>
  <si>
    <t>Felújítási kiadások</t>
  </si>
  <si>
    <t>Veszprém Evangélikus óvodában (Veszprém, Aradi Vértanúk útja 2/A.) -  3 csoport elhelyezése</t>
  </si>
  <si>
    <t>Veszprém, Fecske utca 10. szám alatti betonyp épületben - 4 csoportos óvoda kialakítása</t>
  </si>
  <si>
    <t>Játszóhelyek karbantartása</t>
  </si>
  <si>
    <t>Köztisztasági feladatok ellátására szolgáló speciális gép beszerzésére</t>
  </si>
  <si>
    <t>Halle u. 5. Fogorvosi ügyelet és felnőtt rendelő nyílászáró csere</t>
  </si>
  <si>
    <t>Járda támfal építés</t>
  </si>
  <si>
    <t xml:space="preserve">Önkormányzati bérlakások felújítása </t>
  </si>
  <si>
    <t>Szennyvíztelep felújítása</t>
  </si>
  <si>
    <t>Vízgazd.szóló 1995. LVII.tv.16.§.Helyi Önk. szóló 1990. LXV.tv.8.§.(1),bek.alapján Árkok felújítása (Látóhegyi árok)</t>
  </si>
  <si>
    <t>Csapadékvíz elvezetési problémák megoldása (Jutas puszta, Szabadság ltp.,  Gyulafirátót, Kádárta, Veszprém)</t>
  </si>
  <si>
    <t>Nyílászáró csere tornaterem</t>
  </si>
  <si>
    <t>Halle u. 5. Felnőtt fogorvosi ügyelet - felnőtt rendelő nyílászáró csere</t>
  </si>
  <si>
    <t>Járda, támfal építés</t>
  </si>
  <si>
    <t>Önkormányzati bérlakások felújítása</t>
  </si>
  <si>
    <t>Nemesvámos-Veszprém közötti kerékpárforgalmi út kiépítése KDOP 4.2.2-11-2011-0010</t>
  </si>
  <si>
    <t>Tüzér u. - Házgyári u. forgalomba helyezés meghosszabbítása</t>
  </si>
  <si>
    <t>Belterületi út fejlesztése (KDOP-4.2.1/B-09-2009-0012, Jutasi-Budapest u., Szt. István Völgyhíd</t>
  </si>
  <si>
    <t>Erdőtelepítés</t>
  </si>
  <si>
    <t>Vámosi úti temető bővítése 1,3 Ha</t>
  </si>
  <si>
    <t>Veszprém közösségi élettér létrehozása és közpark rendezése (Bakonyalja városrész)</t>
  </si>
  <si>
    <t>Jutasi u. - Pápai u. belső körút szakasz</t>
  </si>
  <si>
    <t>Padok beszerzése, régi betonvázas padok lecserélésének tárgyévi üteme</t>
  </si>
  <si>
    <t>Gyalogátkelőhelyek kijelölése</t>
  </si>
  <si>
    <t>Gyepmesteri telepre: 3 db chipolvasó</t>
  </si>
  <si>
    <t>Cholnoky-szobor</t>
  </si>
  <si>
    <t>Veszprém Kazán, Sorompó u. járda tervezés, engedélyezés</t>
  </si>
  <si>
    <t>Karacs T. u. járdaépítés</t>
  </si>
  <si>
    <t>Járda, közvilágítás Magyar Nagyasszonyok Templom mögött</t>
  </si>
  <si>
    <t>Belterületi út fejlesztése</t>
  </si>
  <si>
    <t>Pápai u. - Jutasi u. belső körút szakasz</t>
  </si>
  <si>
    <t>Gyepmesteri telepre 3 db chipolvasó</t>
  </si>
  <si>
    <t>Veszprém Kazán - Sorompó u. járdatervezés, engedélyezés</t>
  </si>
  <si>
    <t>Intézmények működési bevétele</t>
  </si>
  <si>
    <t>átcsoportosítás polgármesteri hivatali feladatokra</t>
  </si>
  <si>
    <t>átcsoportosítás polgármesteri hivatali feladatokra (személyi kiadásokra 1 273 eFt, járulékokra 344 eFt)</t>
  </si>
  <si>
    <r>
      <t>Bóbita Körzeti Óvoda</t>
    </r>
    <r>
      <rPr>
        <sz val="11"/>
        <rFont val="Palatino Linotype"/>
        <family val="1"/>
      </rPr>
      <t xml:space="preserve"> - 4. vk. (udvari játékok beszerzésére)</t>
    </r>
  </si>
  <si>
    <r>
      <t>Bóbita Körzeti Óvoda</t>
    </r>
    <r>
      <rPr>
        <sz val="11"/>
        <rFont val="Palatino Linotype"/>
        <family val="1"/>
      </rPr>
      <t xml:space="preserve"> - Hársfa Tagóvoda 10. vk. (udvari játszóeszk. korszerűsítésére)</t>
    </r>
  </si>
  <si>
    <r>
      <t>Hóvirág Bölcsőde</t>
    </r>
    <r>
      <rPr>
        <sz val="11"/>
        <rFont val="Palatino Linotype"/>
        <family val="1"/>
      </rPr>
      <t xml:space="preserve"> - 9. vk. Szekrény készítésére</t>
    </r>
  </si>
  <si>
    <r>
      <t>Vetési Albert Gimnázium</t>
    </r>
    <r>
      <rPr>
        <sz val="11"/>
        <rFont val="Palatino Linotype"/>
        <family val="1"/>
      </rPr>
      <t xml:space="preserve"> - Nyílászárók és falelem csere</t>
    </r>
  </si>
  <si>
    <r>
      <t>Vadvirág Körzeti Óvoda</t>
    </r>
    <r>
      <rPr>
        <sz val="11"/>
        <rFont val="Palatino Linotype"/>
        <family val="1"/>
      </rPr>
      <t xml:space="preserve"> (Csillagvár Waldorf Tagóvoda) - Bejárati ajtó cseréje</t>
    </r>
  </si>
  <si>
    <r>
      <t>Bóbita Körzeti Óvoda</t>
    </r>
    <r>
      <rPr>
        <sz val="11"/>
        <rFont val="Palatino Linotype"/>
        <family val="1"/>
      </rPr>
      <t xml:space="preserve"> - Terasz felújítás </t>
    </r>
  </si>
  <si>
    <t>Hársfa Tagóvoda - WC blokk felújítás hátsó épületben</t>
  </si>
  <si>
    <r>
      <t>Egry úti Körzeti Óvoda</t>
    </r>
    <r>
      <rPr>
        <sz val="11"/>
        <rFont val="Palatino Linotype"/>
        <family val="1"/>
      </rPr>
      <t xml:space="preserve"> - Kémény külső felújítás</t>
    </r>
  </si>
  <si>
    <t>Nárcisz Tagóvoda - Elektromos hálózat felújítása</t>
  </si>
  <si>
    <t>Cholnoky ltp-i Tagóvoda - Lapostető szigetelésjavítás</t>
  </si>
  <si>
    <t xml:space="preserve"> Nyílászáró csere utolsó ütem</t>
  </si>
  <si>
    <r>
      <t>Kastélykert Körzeti Óvoda</t>
    </r>
    <r>
      <rPr>
        <sz val="11"/>
        <rFont val="Palatino Linotype"/>
        <family val="1"/>
      </rPr>
      <t xml:space="preserve"> - Gazdasági terasz felújítása és ajtó cseréje</t>
    </r>
  </si>
  <si>
    <r>
      <t>VMJV Egyesített Bölcsődéje</t>
    </r>
    <r>
      <rPr>
        <sz val="11"/>
        <rFont val="Palatino Linotype"/>
        <family val="1"/>
      </rPr>
      <t xml:space="preserve"> (Aprófalvi Bölcsőde) -  Pavilon bölcsödei célra történő átalakítása</t>
    </r>
  </si>
  <si>
    <r>
      <t>Eötvös Károly Megyei Könyvtár</t>
    </r>
    <r>
      <rPr>
        <sz val="11"/>
        <rFont val="Palatino Linotype"/>
        <family val="1"/>
      </rPr>
      <t xml:space="preserve"> - Szivattyú automatika pótlása</t>
    </r>
  </si>
  <si>
    <r>
      <t>Dózsavárosi Könyvtár</t>
    </r>
    <r>
      <rPr>
        <sz val="11"/>
        <rFont val="Palatino Linotype"/>
        <family val="1"/>
      </rPr>
      <t xml:space="preserve"> - Villámvédelmi rendszer felújítása</t>
    </r>
  </si>
  <si>
    <r>
      <t>VMJV Polgármesteri Hivata</t>
    </r>
    <r>
      <rPr>
        <sz val="11"/>
        <rFont val="Palatino Linotype"/>
        <family val="1"/>
      </rPr>
      <t>l - Főépület, "B" épület felöli oldal tetőrész csatornát burkoló lambéria csere, csatornázás javítás</t>
    </r>
  </si>
  <si>
    <t>módosítás - átnevezés miatt</t>
  </si>
  <si>
    <t>átnevezés miatti átcsoportosítás</t>
  </si>
  <si>
    <r>
      <t>Csillag úti Körzeti Óvoda</t>
    </r>
    <r>
      <rPr>
        <sz val="11"/>
        <rFont val="Palatino Linotype"/>
        <family val="1"/>
      </rPr>
      <t xml:space="preserve"> - Terasz felújítás befejezése</t>
    </r>
  </si>
  <si>
    <r>
      <t>Deák Ferenc Általános Iskola</t>
    </r>
    <r>
      <rPr>
        <sz val="11"/>
        <rFont val="Palatino Linotype"/>
        <family val="1"/>
      </rPr>
      <t xml:space="preserve"> - Nyílászáró és panel csere (aula, étterem) II. ütem</t>
    </r>
  </si>
  <si>
    <t xml:space="preserve"> - Nyílászáró csere tornaterem</t>
  </si>
  <si>
    <r>
      <t>Báthory István Általános Iskola</t>
    </r>
    <r>
      <rPr>
        <sz val="11"/>
        <rFont val="Palatino Linotype"/>
        <family val="1"/>
      </rPr>
      <t xml:space="preserve"> - Nyílászáró csere konyha étkezőnél</t>
    </r>
  </si>
  <si>
    <r>
      <t>Hriszto Botev Általános Iskola</t>
    </r>
    <r>
      <rPr>
        <sz val="11"/>
        <rFont val="Palatino Linotype"/>
        <family val="1"/>
      </rPr>
      <t xml:space="preserve"> - "A" épület konyha lapostető szigetelés</t>
    </r>
  </si>
  <si>
    <r>
      <t>Rózsa úti Általános Iskola</t>
    </r>
    <r>
      <rPr>
        <sz val="11"/>
        <rFont val="Palatino Linotype"/>
        <family val="1"/>
      </rPr>
      <t xml:space="preserve"> - Vizesblokkok felújítása (1 db)</t>
    </r>
  </si>
  <si>
    <r>
      <t xml:space="preserve">Gyulaffy László Általános Iskola </t>
    </r>
    <r>
      <rPr>
        <sz val="11"/>
        <rFont val="Palatino Linotype"/>
        <family val="1"/>
      </rPr>
      <t>- Nemenkénti zuhanyzó kialakítása tornatermi öltözőben</t>
    </r>
  </si>
  <si>
    <r>
      <t>Ipari Szakközépiskola és Gimnázium</t>
    </r>
    <r>
      <rPr>
        <sz val="11"/>
        <rFont val="Palatino Linotype"/>
        <family val="1"/>
      </rPr>
      <t xml:space="preserve"> - Híradó épület DNY-i homlokzatnál szennyvízvezeték felújítás</t>
    </r>
  </si>
  <si>
    <r>
      <t>Középiskolai Kollégium</t>
    </r>
    <r>
      <rPr>
        <sz val="11"/>
        <rFont val="Palatino Linotype"/>
        <family val="1"/>
      </rPr>
      <t xml:space="preserve"> - "A" épület wc fürdő felújítás I.ütem</t>
    </r>
  </si>
  <si>
    <t>Nemzeti Rehabilitációs és Szociális Hivatal támogatása                                         (személyi kiadásokra 5 427 eFt, járulékokra 400 eFt,)</t>
  </si>
  <si>
    <t>átcsoportosítás kiadványok és folyóiratok támogatásáról Géczi János jubileumi kiadvány céljából</t>
  </si>
  <si>
    <r>
      <t>Cholnoky Jenő Általános Iskola</t>
    </r>
    <r>
      <rPr>
        <sz val="10"/>
        <rFont val="Palatino Linotype"/>
        <family val="1"/>
      </rPr>
      <t xml:space="preserve"> - Gázkazán csere</t>
    </r>
  </si>
  <si>
    <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</si>
  <si>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r>
      <t>Művészetek Háza</t>
    </r>
    <r>
      <rPr>
        <sz val="10"/>
        <rFont val="Palatino Linotype"/>
        <family val="1"/>
      </rPr>
      <t xml:space="preserve"> - NKA pályázat - technológiai eszközfejlesztés</t>
    </r>
  </si>
  <si>
    <t>Beruházási kiadások - támogatásértékű felhalmozási bevételből, céltartalékból, feladatok közötti átcsoportosításból</t>
  </si>
  <si>
    <t>Felújítási kiadások - támogatásértékű felhalmozási bevétel, céltartalékból, feladatok közötti átcsoportosításból</t>
  </si>
  <si>
    <t xml:space="preserve">Intézményi felhalmozási költségvetés </t>
  </si>
  <si>
    <t>(2014. május 1-től 1 fő 8 órás,                          3 fő 6 órás)</t>
  </si>
  <si>
    <t>módosítás - átcsoportosítás Művészetek Házanak</t>
  </si>
  <si>
    <t>módosítás - ácsoportosítás Polgármesteri Hivatal feladatokra</t>
  </si>
  <si>
    <t>átcsoportosítás önkormányzati feladatokról</t>
  </si>
  <si>
    <t>Fenntartható városfejlesztés Veszprémben KDOP-3.1.1/E-13-002</t>
  </si>
  <si>
    <t>módosítás - átcsoportosítás önkormányzati feladatokról</t>
  </si>
  <si>
    <r>
      <t>Kiadványok folyóiratok támogatás -</t>
    </r>
    <r>
      <rPr>
        <sz val="11"/>
        <rFont val="Palatino Linotype"/>
        <family val="1"/>
      </rPr>
      <t xml:space="preserve"> átcsoportosítás Művészetek Házának</t>
    </r>
  </si>
  <si>
    <r>
      <t>Közművelődési szolgáltatások -</t>
    </r>
    <r>
      <rPr>
        <sz val="11"/>
        <rFont val="Palatino Linotype"/>
        <family val="1"/>
      </rPr>
      <t xml:space="preserve"> átcsoportosítás Művészetek Házának</t>
    </r>
  </si>
  <si>
    <t xml:space="preserve">     átcsoportosítás Ünnepi Könyvhét rendezvényre</t>
  </si>
  <si>
    <t>Rekultivációt megelőző telephely fenntartási költségek</t>
  </si>
  <si>
    <r>
      <t>Hulladéklerakó utógondozása -</t>
    </r>
    <r>
      <rPr>
        <sz val="11"/>
        <rFont val="Palatino Linotype"/>
        <family val="1"/>
      </rPr>
      <t xml:space="preserve"> feladat átnevezése</t>
    </r>
  </si>
  <si>
    <t xml:space="preserve">módosítás - átcsoportosítás </t>
  </si>
  <si>
    <t>módosítás - átcsoportosítás</t>
  </si>
  <si>
    <t>módosítás - átcsoportosítás Városi Művelődési Központnak</t>
  </si>
  <si>
    <t>módosítás - átcsoportosítás polgármesteri keretről</t>
  </si>
  <si>
    <t>módosítás -</t>
  </si>
  <si>
    <t>átcsoportosítás Veszprémi Petőfi Színháznak, Városi Művelődési Központnak</t>
  </si>
  <si>
    <t>átcsoportosítás Művészetek Házának</t>
  </si>
  <si>
    <t>módosítás - KIM-támogatás</t>
  </si>
  <si>
    <t>NKA támogatásból</t>
  </si>
  <si>
    <t>módosítás - NKA támogatásból</t>
  </si>
  <si>
    <t>nyugdíjas klubok költségeire</t>
  </si>
  <si>
    <t>Gyulafirátót Művelődési Ház- Bakonyerdő Pavakör</t>
  </si>
  <si>
    <t>Rozmaring Nyugdíjas Klub programjára</t>
  </si>
  <si>
    <t>Ukrán nemzet.önk.- 100 tagú bandura zenekar koncertre</t>
  </si>
  <si>
    <t>Nyugdíjas klubok költségeire</t>
  </si>
  <si>
    <t>Versünnep 2014. veszprémi elődöntőjére</t>
  </si>
  <si>
    <t>Sziveri díjazott útiköltségének térítésére</t>
  </si>
  <si>
    <t>Közigazgatási és Igazságügyi Minisztérium támogatása nemzetközi kapcsolatokra</t>
  </si>
  <si>
    <t>Nemzeti Kulturális Alap támogatása - eseti rendezvényekre, köztéri szobrok, emlétáblák lektorátus feladatokra, Mihály napi búcsúra</t>
  </si>
  <si>
    <r>
      <t xml:space="preserve">Nemzetközi kapcsolatok keret - </t>
    </r>
    <r>
      <rPr>
        <sz val="11"/>
        <rFont val="Palatino Linotype"/>
        <family val="1"/>
      </rPr>
      <t>KIM támogatásból</t>
    </r>
  </si>
  <si>
    <t>Eseti rendezvényekre - NKA támogatásból</t>
  </si>
  <si>
    <t>Mihály napi búcsú keretre - NKA támogatásból</t>
  </si>
  <si>
    <r>
      <t>Nyugdíjas szervezetek pályázati keret-</t>
    </r>
    <r>
      <rPr>
        <sz val="11"/>
        <rFont val="Palatino Linotype"/>
        <family val="1"/>
      </rPr>
      <t xml:space="preserve"> átcsoportosítás Városi Művelődési Központnak</t>
    </r>
  </si>
  <si>
    <r>
      <t xml:space="preserve">Polgármesteri keret - </t>
    </r>
    <r>
      <rPr>
        <sz val="11"/>
        <rFont val="Palatino Linotype"/>
        <family val="1"/>
      </rPr>
      <t xml:space="preserve">átcsoportosítás </t>
    </r>
  </si>
  <si>
    <t xml:space="preserve">     átcsoportosítás polgármesteri keretről</t>
  </si>
  <si>
    <r>
      <t>Civil pályázati keret -</t>
    </r>
    <r>
      <rPr>
        <sz val="11"/>
        <rFont val="Palatino Linotype"/>
        <family val="1"/>
      </rPr>
      <t xml:space="preserve"> átcsoportosítás polgármesteri keretről</t>
    </r>
  </si>
  <si>
    <t xml:space="preserve">     átcsoportosítás Sziveri díjazott útiköltségének térítésére</t>
  </si>
  <si>
    <t xml:space="preserve">     átcsoportosítás Művészetek Házának</t>
  </si>
  <si>
    <r>
      <t>Petőfi Színház -</t>
    </r>
    <r>
      <rPr>
        <sz val="11"/>
        <rFont val="Palatino Linotype"/>
        <family val="1"/>
      </rPr>
      <t xml:space="preserve"> átcsoportosítás Versünnep 2014. veszprémi elődöntőjére</t>
    </r>
  </si>
  <si>
    <r>
      <t xml:space="preserve">Laczkó Dezső Múzeum - </t>
    </r>
    <r>
      <rPr>
        <sz val="11"/>
        <rFont val="Palatino Linotype"/>
        <family val="1"/>
      </rPr>
      <t>TÁMOP-3.2.12-12/1-2012-0002. Virtualitás és többnyelvűség a megújuló múzeumpedagógiában</t>
    </r>
  </si>
  <si>
    <t>Veszprém Város Vegyeskar utánpótlás</t>
  </si>
  <si>
    <t>Eseti rendezvények</t>
  </si>
  <si>
    <t>Közművelődési szolgált.</t>
  </si>
  <si>
    <t>Kiemelt művészeti együttesek tám.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</si>
  <si>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</si>
  <si>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</si>
  <si>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</si>
  <si>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</si>
  <si>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1. melléklet a 13/2014. (IV.24.) Önkormányzati rendelethez</t>
  </si>
  <si>
    <t>2. melléklet a 13/2014. (IV.24.) Önkormányzati rendelethez</t>
  </si>
  <si>
    <t>3. melléklet a 13/2014. (IV.24.) Önkormányzati rendelethez</t>
  </si>
  <si>
    <t>4. melléklet a 13/2014. (IV.24.) Önkormányzati rendelethez</t>
  </si>
  <si>
    <t>5. melléklet a 13/2014. (IV.24.) Önkormányzati rendelethez</t>
  </si>
  <si>
    <t>6. melléklet a 13/2014. (IV.24.) Önkormányzati rendelethez</t>
  </si>
  <si>
    <t>7. melléklet a 13/2014. (IV.24.) Önkormányzati rendelethez</t>
  </si>
  <si>
    <t>8. melléklet a 13/2014. (IV.24.) Önkormányzati rendelethez</t>
  </si>
  <si>
    <t>9. melléklet a 13/2014. (IV.24.) Önkormányzati rendelethez</t>
  </si>
  <si>
    <t>10. melléklet az 13/2014. (IV.24.) önkormányzati rendelethez</t>
  </si>
  <si>
    <t>11. melléklet a 13/2014. (IV.24.) Önkormányzati rendelethez</t>
  </si>
  <si>
    <t>Rendsz. gyermekvéd. tám. (Kieg. csal. pótlék)</t>
  </si>
  <si>
    <t>Óvodáztatási támogatás</t>
  </si>
  <si>
    <t>Rendszeres szoc. segély</t>
  </si>
  <si>
    <t>Foglalkoztatást helyettesítő támogatás</t>
  </si>
  <si>
    <t>Lelkisegély szolgálat</t>
  </si>
  <si>
    <t>Közgyógyellátási igazolv.</t>
  </si>
  <si>
    <t>Szenvedélybetegek működési kiadása</t>
  </si>
  <si>
    <t>Lakásfenntartási támogatás</t>
  </si>
  <si>
    <t xml:space="preserve">Közcélú és közhasznú foglalkoztatás </t>
  </si>
  <si>
    <t>Adósságkezelés</t>
  </si>
  <si>
    <t>Máltai Szeretetszolgálatnak pénzeszköz átadás (ellátási szerződés)</t>
  </si>
  <si>
    <t>Veszprémi Kistérségi Társulásnak pénzeszköz átadás(Egyesített Szoc.)</t>
  </si>
  <si>
    <t>Családi ünnepek szervezése</t>
  </si>
  <si>
    <t>Oktatási szolgáltatás</t>
  </si>
  <si>
    <t>Munkavédelmi feladatok</t>
  </si>
  <si>
    <t>Verseny és élsport</t>
  </si>
  <si>
    <t>Sportpálya fenntartás, ill. fenntartói tám.</t>
  </si>
  <si>
    <t>Sportcélok és feladatok (sportigazgatás)</t>
  </si>
  <si>
    <t>Szabadidő- és diáksport</t>
  </si>
  <si>
    <t>Városi TV közszolgálati műsorok támogatása</t>
  </si>
  <si>
    <t>Településfejlesztési feladatok</t>
  </si>
  <si>
    <t>Közüzemi Zrt. által ellátott feladatok</t>
  </si>
  <si>
    <t>Települési hulladék</t>
  </si>
  <si>
    <t>Városgazdálkodási szolg.</t>
  </si>
  <si>
    <t>Közmű nyilvántartás</t>
  </si>
  <si>
    <t>Közvilágítás</t>
  </si>
  <si>
    <t>Díszkivilágítás törlesztés</t>
  </si>
  <si>
    <t>Közműalagút működtetése</t>
  </si>
  <si>
    <t>Közterület Felügyelet, gyepmesteri telep</t>
  </si>
  <si>
    <t>Városépítészeti feladatok</t>
  </si>
  <si>
    <t>Polgármesteri keret</t>
  </si>
  <si>
    <t>Hittudományi Főiskola támogatása</t>
  </si>
  <si>
    <t>Városi civil keret</t>
  </si>
  <si>
    <t xml:space="preserve"> - Normatíva elszámolás</t>
  </si>
  <si>
    <t xml:space="preserve"> - Pénzmaradványból képzett tartalék:átszervezéssel megszűnt int.pénzmaradványa</t>
  </si>
  <si>
    <t>Önkormányzatok felhalmozási célú támogatása - adósságkonszolidáció</t>
  </si>
  <si>
    <t>Beruházási kiadások</t>
  </si>
  <si>
    <t>Kulturális és közművelődési int. Összesen</t>
  </si>
  <si>
    <t>a 2014. évi engedélyezett létszámról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</si>
  <si>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</si>
  <si>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</si>
  <si>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Ingatlanok értékesítése</t>
  </si>
  <si>
    <t>Önkormányzati Intézmények  működési célú támogatások Áht-on belülről</t>
  </si>
  <si>
    <t>Intézményi egyéb sajátos bevételek</t>
  </si>
  <si>
    <t>Önkormányzati Intézmények működési bevételek</t>
  </si>
  <si>
    <t>Önkormányzati Intézmények felhalmozási célú átvett pénzeszközök</t>
  </si>
  <si>
    <t>Önkormányzati Intézmények felhalmozási bevételei</t>
  </si>
  <si>
    <t>Önkormányzati Intézmények felhalmozási célú támogatások Áht-on belülről</t>
  </si>
  <si>
    <t>Önkormányzati Intézmények működési célú átvett pénzeszközök</t>
  </si>
  <si>
    <t>Egyéb közhatalmi bevételek (bírságok, igazgatási szolgáltatási díjak)</t>
  </si>
  <si>
    <t>ebből: Szolgáltatások ellenértéke</t>
  </si>
  <si>
    <t>ebből: Tulajdonosi bevételek</t>
  </si>
  <si>
    <t>Összesen</t>
  </si>
  <si>
    <t>adatok eFt-ban</t>
  </si>
  <si>
    <t>Megnevezés</t>
  </si>
  <si>
    <t>Ingatlanhasznosítással összefügő hatósági és igazgatási díjak (Földhivatali eljárások)</t>
  </si>
  <si>
    <t>Összesen:</t>
  </si>
  <si>
    <t>Lakásalap</t>
  </si>
  <si>
    <t xml:space="preserve"> - Intézményi</t>
  </si>
  <si>
    <t xml:space="preserve">Cím  </t>
  </si>
  <si>
    <t>Általános tartalék</t>
  </si>
  <si>
    <t>Lakásalap kiadása</t>
  </si>
  <si>
    <t>Kiegyenlítő, függő, átfutó kiadások</t>
  </si>
  <si>
    <t xml:space="preserve"> - Hiteltörlesztés</t>
  </si>
  <si>
    <t xml:space="preserve"> - Lakásalap hiteltörlesztése</t>
  </si>
  <si>
    <t>A</t>
  </si>
  <si>
    <t>B</t>
  </si>
  <si>
    <t>C</t>
  </si>
  <si>
    <t>D</t>
  </si>
  <si>
    <t>E</t>
  </si>
  <si>
    <t>F</t>
  </si>
  <si>
    <t>G</t>
  </si>
  <si>
    <t>2014. évi előirányzat</t>
  </si>
  <si>
    <t>Veszprém TV Kft. Pályázathoz fejlesztési önrész</t>
  </si>
  <si>
    <t>Panaszkezelő online rendszer éves  jogdíja IBM</t>
  </si>
  <si>
    <r>
      <t>2014. évi beruházások és egyéb felhalmozási kiadások módosítása</t>
    </r>
    <r>
      <rPr>
        <sz val="10"/>
        <rFont val="Palatino Linotype"/>
        <family val="1"/>
      </rPr>
      <t xml:space="preserve"> - 2014. április hó</t>
    </r>
  </si>
  <si>
    <t>Megszépül a Városom</t>
  </si>
  <si>
    <t xml:space="preserve">Veszprém- Csopak kerékpárút I. ütemének előkészítése. (tervezés) 201/2013. (VI.27.) Kh alapján 28.000 eFt </t>
  </si>
  <si>
    <t>Beruházási kiadások mindösszesen:</t>
  </si>
  <si>
    <r>
      <t>2014. évi felújítási kiadások módosítása</t>
    </r>
    <r>
      <rPr>
        <sz val="10"/>
        <rFont val="Palatino Linotype"/>
        <family val="1"/>
      </rPr>
      <t xml:space="preserve"> - 2014. április hó</t>
    </r>
  </si>
  <si>
    <t>Programiroda szolgáltatás vásárlás</t>
  </si>
  <si>
    <t>TÁMOP-3.2.1.12-12/1-2012-0037. Kulturális szakemberek továbbképzése</t>
  </si>
  <si>
    <t>TÁMOP-3.2.12-12/1-2012-0002. Virtualitás és többnyelvűség a megújuló múzeumpedagógiában</t>
  </si>
  <si>
    <t>Kulturális Kínálat bővítése</t>
  </si>
  <si>
    <t>Csapadékcsatornák üzemeltetési szolgáltatásai (eddig Bakonykarszt)</t>
  </si>
  <si>
    <t>Környezetvédelmi feladat (városüzemeltetés feladatai)</t>
  </si>
  <si>
    <t>Környezetvédelmi feladat (Közigazgatási Iroda feladatai)</t>
  </si>
  <si>
    <t>VKSZ Zrt. Intézményüzemeltetés járulékos költségei</t>
  </si>
  <si>
    <t>Nem lakáscélú helyiségek üzemeltetési költségei</t>
  </si>
  <si>
    <t>Bérlakások üzemeltetési költségeihez hozzájárulás</t>
  </si>
  <si>
    <t>Veszprém Város Közlekedésfejlesztéséért Közalapítvány támogatása (nyugdíjas bérletek)</t>
  </si>
  <si>
    <t>Peres ügyek, Kártérítési díjak kifizetése ingatlantulajdonosok részére</t>
  </si>
  <si>
    <t>Jutasi úti műfüves pálya fenntartása (LUC)</t>
  </si>
  <si>
    <t>Vertikális Közösségi Integrációs Program TÁMOP-5.3.6-11/1-2012-0004</t>
  </si>
  <si>
    <t>Óvodafejlesztés, az óvodapedagógia strukturális feltételrendszerének továbbfejlesztése TIOP-3.1.11-12/2-2012-0026</t>
  </si>
  <si>
    <t>ebből: Társadalombizt. Alapból származó támogatás</t>
  </si>
  <si>
    <t>Természettudományos közoktatatási laboratórium kialakítása a veszprémi Ipari Szakközépiskola és Gimnáziumban TÁMOP-3.1.3-11/2-2012-0061</t>
  </si>
  <si>
    <t>módosítás-</t>
  </si>
  <si>
    <t>Kulturális szakemberek továbbképzése a szolgálatfejlesztés érdekében TÁMOP-3.2.12-12/1-2012-0021</t>
  </si>
  <si>
    <t>Működési bevételek</t>
  </si>
  <si>
    <t xml:space="preserve"> ebből: Roma Nemzetiségi Önkormányzat</t>
  </si>
  <si>
    <t xml:space="preserve"> ebből : - Nyugdíjas szervezetek számára pályázati keret</t>
  </si>
  <si>
    <t>Települési szilárdhulladék szállítás ártámogatás</t>
  </si>
  <si>
    <t>Pannon TISZK működtetése</t>
  </si>
  <si>
    <t>Városi Művelődési Központ és Könyvtár</t>
  </si>
  <si>
    <t>Művészetek Háza</t>
  </si>
  <si>
    <t>Kabóca Bábszínház és Gyermek Közművelődési Intézmény</t>
  </si>
  <si>
    <t>INTÉZMÉNYEK ÖSSZESEN:</t>
  </si>
  <si>
    <t>Nemzetközi kapcsolatok</t>
  </si>
  <si>
    <t>Városi rendezvények, kitüntetések</t>
  </si>
  <si>
    <t>Mihály-napi Búcsú</t>
  </si>
  <si>
    <t>Marketing tevékenység, marketing stratégia</t>
  </si>
  <si>
    <t>Felhalmozási bevételek</t>
  </si>
  <si>
    <t>Pénzügyi befektetések bevétele</t>
  </si>
  <si>
    <t>Tárgyi eszközök, immateriális javak értékesítése</t>
  </si>
  <si>
    <t>Önkormányzati sajátos felhalmozási és tőkebevételek</t>
  </si>
  <si>
    <t>Működési célú átvett pénzeszközök</t>
  </si>
  <si>
    <t>Felhalmozási célú átvett pénzeszközök</t>
  </si>
  <si>
    <t>Családsegítő és Gyermekjóléti Alapszolgáltatási Intézményfenntartó Társulás</t>
  </si>
  <si>
    <t>Költségvetési bevételek összesen</t>
  </si>
  <si>
    <t>2012. évi         tény</t>
  </si>
  <si>
    <t>2013. évi eredeti előirányzat</t>
  </si>
  <si>
    <t>2012. évi           tény</t>
  </si>
  <si>
    <t>(Csillagvár Waldorf Tagóvoda, Vadvirág Óvoda)</t>
  </si>
  <si>
    <t>(Hársfa Tagóvoda, Bóbita Óvoda)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</si>
  <si>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</si>
  <si>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</si>
  <si>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</si>
  <si>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</si>
  <si>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TÁMOP-3.2.4.A-11/1-2012-0035. Okt. kapcs. szövegért. fejl. pr. digitális írástudás jegyében</t>
  </si>
  <si>
    <t>2013-BAN ÁTALAKULÁS MIATT MEGSZŰNT INTÉZMÉNYEK ÖSSZESEN:</t>
  </si>
  <si>
    <t>Veszprém Megyei Jogú Város Önkormányzata Intézményeinek</t>
  </si>
  <si>
    <t>P</t>
  </si>
  <si>
    <t>2012. évi tény</t>
  </si>
  <si>
    <t xml:space="preserve">Egységben az erő! - Óvodafejlesztés Veszprémben TÁMOP-3.1.11.12/2-2012-0026 </t>
  </si>
  <si>
    <t xml:space="preserve">  - Civil -iroda működési költsége</t>
  </si>
  <si>
    <t xml:space="preserve">  - Pályázati keret</t>
  </si>
  <si>
    <t xml:space="preserve">  - Civil-díj, Civil nap költségei</t>
  </si>
  <si>
    <t xml:space="preserve"> - Ifjúsági információs feladatok</t>
  </si>
  <si>
    <t>(2014. május 1-től kezdődően)</t>
  </si>
  <si>
    <t>TÁMOP-3.2.13.12/1-2012-0121. Tanórán kívüli nevelés, szakkörök és témahét megvalósítása</t>
  </si>
  <si>
    <t>TÁMOP-3.2.13-12/1-2012-0130. Történelmi, irodalmi, néprajzi értékeink nyomában</t>
  </si>
  <si>
    <t>TÁMOP-3.2.13-12/1. Ünnepek és hétköznapok a Bakonyi Házban</t>
  </si>
  <si>
    <t xml:space="preserve">előző évi pénzmaradvány </t>
  </si>
  <si>
    <t>TÁMOP 3.1.3.10/2-2010-0002 (Vetési A. Gimnázium Természettud. Labor)</t>
  </si>
  <si>
    <t>Támogatásértékű felhalmozási bevételek (2013.évről áthúzódó)</t>
  </si>
  <si>
    <t>Egységben az erő! - Óvodafejlesztés Veszprémben TÁMOP-3.1.11-12/2-2012-0026.(2013.évről áthúzódó)</t>
  </si>
  <si>
    <t>Természettudományos közoktatatási laboratórium kialakítása a veszprémi Ipari Szakközépiskola és Gimnáziumban 
TÁMOP-3.1.3-11/2-2012-0061 (2013.évről áthúzódó)</t>
  </si>
  <si>
    <t>A gyermekvédelmi szolgáltatások fejlesztése Veszprémben TIOP-3.4.1.B-11/1-2012-0005 (2013.évről áthúzódó)</t>
  </si>
  <si>
    <t>Szociális városrehabilitáció Veszprémben KDOP-3.1.1/D2-13-k2-2013-0002.(2013.évről áthúzódó)</t>
  </si>
  <si>
    <t>Veszprém Város Intermodális pályaudvar kialakítása és kapcsolódó közösségi közlekedési fejlesztések KÖZOP-5.5.0-09-11 (2013.évről áthúzódó)</t>
  </si>
  <si>
    <t>Fenntartható városfejlesztési programok előkészítése KDOP-3.1.1/E-13 (2013.évről áthúzódó)</t>
  </si>
  <si>
    <t>Kulturális szakemberek továbbképzése a szolgálatfejlesztés érdekében TÁMOP-3.2.12-12/1-2012-0021 (2013.évről áthúzódó)</t>
  </si>
  <si>
    <t>TIOP-1.1.1-07/1-2008-0986. számú Korszerű IKT eszközökkel a színvonalas oktatásért</t>
  </si>
  <si>
    <t>Vertikális közösségi Integrációs Program TÁMOP-5.3.6-11/1-2012-0004</t>
  </si>
  <si>
    <t>Egységben az erő! - Óvodafejlesztés Veszprémben          TÁMOP-3.1.11-12/2-2012-0026</t>
  </si>
  <si>
    <t>Kulturális szakemberek továbbképzése a szolgálat-fejlesztés érdekében TÁMOP-3.2.12-12/1-2012-0021</t>
  </si>
  <si>
    <t xml:space="preserve">Természettudományos közoktatási laboratórium kialakítása a veszprémi Ipari Szakközépiskola és Gimnáziumban TÁMOP-3.1.3-11/2-2012-0061      </t>
  </si>
  <si>
    <t>Fenntartható városfejlesztési programok előkészítése KDOP-3.1.1/E-13</t>
  </si>
  <si>
    <t>A gyermekvédelmi szolgáltatások fejlesztése Veszprémben TIOP-3.4.1.B-11/1-2012-0005</t>
  </si>
  <si>
    <t>Veszprém Város Intermodális pályaudvar kialakítása és kapcsolódó közösségi közlekedési fejlesztések KÖZOP-5.5.0-09-11</t>
  </si>
  <si>
    <t>TÁMOP-2.4.5-12/7-2012-0474 Rugalmas foglalkoztatási lehetőségek megvalósítása Veszprém Megyei Jogú Város Polgármesteri Hivatalában</t>
  </si>
  <si>
    <t>Rendkívüli gyermekvéd. tám.</t>
  </si>
  <si>
    <t>Átmeneti szoc. segély</t>
  </si>
  <si>
    <t>Polgárvédelem</t>
  </si>
  <si>
    <t>Közüzemi Zrt. jutaléka</t>
  </si>
  <si>
    <t>Szociális Alapítvány támogatása</t>
  </si>
  <si>
    <t>2012. évi pénzmaradvány</t>
  </si>
  <si>
    <t xml:space="preserve">Veszprémi Ifjúsági Közalapítvány </t>
  </si>
  <si>
    <t>Veszprém Városi TV Somody Séd film</t>
  </si>
  <si>
    <t>Fészekrakó program</t>
  </si>
  <si>
    <t>Veszprém város ösztöndíjasa</t>
  </si>
  <si>
    <t>Választókerületi keretből civil szervezetek támogatása</t>
  </si>
  <si>
    <t>Igazgatás - Állam felé befizetési kötelezettség</t>
  </si>
  <si>
    <t>Erdő- és mezőgazdasági feladatok</t>
  </si>
  <si>
    <t>Vagyonkezelői díj fizetése az MNV Zrt-nek a 6438/2, 6438/4. hrsz-ú ingatlanok után (Kolostorok és Kertek projekt)</t>
  </si>
  <si>
    <t>Balaton Volán fejlesztési támogatása</t>
  </si>
  <si>
    <t>INTENSE pályázat</t>
  </si>
  <si>
    <t>TIOP-1.1.1-07/1-2008-0986. sz.Korszerű IKT eszközökkel a színvonalas oktatásért</t>
  </si>
  <si>
    <t>TÁMOP 3.1.3.10/2-2010-0002 (Vetési G. Természettud.Labor)</t>
  </si>
  <si>
    <t>Forrás SQL fejlesztése</t>
  </si>
  <si>
    <t>"Ne Felejts" Közhasznú Alapítvány Gyulafirátót</t>
  </si>
  <si>
    <t>Kövirózsa Alapítvány Gyulafirátót</t>
  </si>
  <si>
    <t>Gyulfirátótért Közhasznú Egyesület</t>
  </si>
  <si>
    <t>Gyulfirátóti Német Nemzetiségi Egyesület</t>
  </si>
  <si>
    <t>Közösség Kádártáért Egyesület</t>
  </si>
  <si>
    <t>Ficánka Alapítvány Kádárta</t>
  </si>
  <si>
    <t>KEOP-6.1.0/A/11-2012-0114 "Zöld kisokos" projekt</t>
  </si>
  <si>
    <t>Fűtéskorszerűsítés Szociális Gondozási Központ</t>
  </si>
  <si>
    <t>Választókerületi keretből díjak, kitüntetések</t>
  </si>
  <si>
    <t>Média Szolgáltató</t>
  </si>
  <si>
    <t>Szennyvíz és Hulladék Társulás, Tűzoltóság</t>
  </si>
  <si>
    <t>Autómentes Nap</t>
  </si>
  <si>
    <t>Veszprémi Hősi Kapu Rekonstrukciója turisztikai vonzerő fejlesztés céljából KDOP-2.1.1/B-09-2011-0024.</t>
  </si>
  <si>
    <t>Műhelyház felújítása</t>
  </si>
  <si>
    <t>Műhelyház gépköltözés</t>
  </si>
  <si>
    <t>Vis Maior támogatás visszafizetése</t>
  </si>
  <si>
    <t>Mozgáskorl. közlekedési támogatása</t>
  </si>
  <si>
    <t>Bursa Hungarica</t>
  </si>
  <si>
    <t>Méhnyakrák elleni védőoltás</t>
  </si>
  <si>
    <t>2014. évi eredeti előirányzat</t>
  </si>
  <si>
    <t xml:space="preserve">Vadvirág Körzeti Óvoda </t>
  </si>
  <si>
    <r>
      <t>Önkormányzati feladatok és egyéb kötelezettségek 2014. évi működési költségvetési kiadásainak módosítása</t>
    </r>
    <r>
      <rPr>
        <sz val="11"/>
        <rFont val="Palatino Linotype"/>
        <family val="1"/>
      </rPr>
      <t xml:space="preserve"> - 2014. április hó</t>
    </r>
  </si>
  <si>
    <t>Időskorúak járadéka (rendszeres szoc. segély)</t>
  </si>
  <si>
    <t>Ápolási díj</t>
  </si>
  <si>
    <t>Gyermektartásdíj megelőlegezése</t>
  </si>
  <si>
    <t>Otthonteremtési támogatás</t>
  </si>
  <si>
    <t>Gyermekvédelmi szakellátás (ellátási szerződés)</t>
  </si>
  <si>
    <t>Családi pótlék természetbeni juttatása</t>
  </si>
  <si>
    <t>Tótvázsony körjegyzőség - 2012. december havi bérkompenzációja</t>
  </si>
  <si>
    <t>Herendi Általános Iskola - 2012. december havi bérkompenzációja</t>
  </si>
  <si>
    <t>Magyar Államkincstár - 2012. évi normatív támogatás ellenőrzése</t>
  </si>
  <si>
    <t>Szennyvíz elvezető és tisztító viziközmű rendszer vagyonértékelése</t>
  </si>
  <si>
    <t>Egységben az erő! - Óvodafejlesztés Veszprémben TÁMOP-3.1.11-12/2-2012-0026.</t>
  </si>
  <si>
    <t>Szociális városrehabilitáció Veszprémben KDOP-3.1.1/D2-13-k2-2013-0002</t>
  </si>
  <si>
    <t>ÁROP-1.A.5-2013-2013-0070. Szervezetfejlesztés a Veszprémi Önkormányzatnál</t>
  </si>
  <si>
    <t>Veszprém Megyei Jogú Város Egészségre nevelő és szemléletformáló programjai TÁMOP-6.1.2-11/1-2012-1626 pályázat előlege</t>
  </si>
  <si>
    <t>Civil szervezetek támogatása</t>
  </si>
  <si>
    <t>Időarányos normatíva átadása Kozmutza Flóra Óvoda, Ált. Iskola és Spec. Szakiskola és Kollégium és Medgyaszay István Szakképző Isk. részére</t>
  </si>
  <si>
    <t>Teljes költség</t>
  </si>
  <si>
    <t>2014. utáni javaslat</t>
  </si>
  <si>
    <t>Veszprém - Márkó - Bánd kerékpárút területét érintő településrendezési eszközök módosítása a 222/2013.(IX.13.) VMJVÖK határozatban foglaltak alapján</t>
  </si>
  <si>
    <t xml:space="preserve">Veszprém- Csopak kerékpárút I. területét érintő településrendezési eszközök módosítása a 266/2013.(X.31.)VMJVÖK határozatban foglaltak szerint </t>
  </si>
  <si>
    <t>Udvari játszóvár telepítéssel 2 db</t>
  </si>
  <si>
    <t xml:space="preserve">Udvari játszóvár telepítéssel </t>
  </si>
  <si>
    <t>Bóbita Körzeti Óvoda (Bóbita Óvoda)</t>
  </si>
  <si>
    <t>145 l hűtőgép beszerzés</t>
  </si>
  <si>
    <t>porszívó 2 db.</t>
  </si>
  <si>
    <t>vasaló 2 db.</t>
  </si>
  <si>
    <t>robotgép 1 db.</t>
  </si>
  <si>
    <t>turmixgép 1 db.</t>
  </si>
  <si>
    <t>szeletelő 1 db.</t>
  </si>
  <si>
    <t>monitor 1 db.</t>
  </si>
  <si>
    <t>hűtő kombinált 1 db.</t>
  </si>
  <si>
    <t>nyomtató 1 db.</t>
  </si>
  <si>
    <t>Bóbita Körzati Óvoda (Hársfa Tagóvoda)</t>
  </si>
  <si>
    <t>190 l hűtő beszerzés</t>
  </si>
  <si>
    <t>Fénymásológép beszerzése</t>
  </si>
  <si>
    <t>salgó polcok</t>
  </si>
  <si>
    <t>porszívó 10 db.</t>
  </si>
  <si>
    <t>Ringató Körzeti Óvoda (Erdei Kuckó Tagóvodák)</t>
  </si>
  <si>
    <t>számítógép beszerzés</t>
  </si>
  <si>
    <t>Hűtőszekrény, csepegtető és konyhai robotgép beszerzés</t>
  </si>
  <si>
    <t>porszívó</t>
  </si>
  <si>
    <t>hűtőszekrény</t>
  </si>
  <si>
    <t>mosógép</t>
  </si>
  <si>
    <t>gáztűzhely</t>
  </si>
  <si>
    <t xml:space="preserve">Csillag úti Körzeti Óvoda </t>
  </si>
  <si>
    <t>mósógép 1 db.</t>
  </si>
  <si>
    <t>mosógép 1 db.</t>
  </si>
  <si>
    <t>Csillag úti Körzeti Óvoda (Cholnoky Jenő  Tagóvod)</t>
  </si>
  <si>
    <t>Udvari mozgásfejlesztő eszközök beszerzése</t>
  </si>
  <si>
    <t>monitor beszerzés</t>
  </si>
  <si>
    <t>Katélykert Körzeti Óvoda (Ficánka Tagóvoda)</t>
  </si>
  <si>
    <t>Aspire V3-551G laptop beszerzés</t>
  </si>
  <si>
    <t>Fogászati ügyelet orvosi szék</t>
  </si>
  <si>
    <t>Napsugár Bölcsőde</t>
  </si>
  <si>
    <t>Fagyasztóláda</t>
  </si>
  <si>
    <t>Hóvirág Bölcsőde</t>
  </si>
  <si>
    <t>automata mosógép</t>
  </si>
  <si>
    <t>fagyasztószekrény</t>
  </si>
  <si>
    <t>Vackor Bölcsőde</t>
  </si>
  <si>
    <t>Módszertani Bölcsőde</t>
  </si>
  <si>
    <t>Udvari házikó</t>
  </si>
  <si>
    <t>Aprófalvi Bölcsőde</t>
  </si>
  <si>
    <t>Városi Művelődési Központ (Táborállás park 1.)</t>
  </si>
  <si>
    <t>Hang és videó rendszer kiépítése</t>
  </si>
  <si>
    <t>Kistelepülési könyvtári célú kiegészítő támogatásból eszközbeszerzés</t>
  </si>
  <si>
    <t>NKA pályázat - Bakonyi Ház Alpha pályázat - multimédiás fejlesztés, elektromos hálózat, fűtéscélú fejlesztés, kerítés, udvari kemence</t>
  </si>
  <si>
    <t>Kabóca Bábszínház és GYKI</t>
  </si>
  <si>
    <t xml:space="preserve"> 3 db Acer E1-571G-3311G75MNKS notebook</t>
  </si>
  <si>
    <t>14 db Senheiser EW513 G3 mikroport beszerzése</t>
  </si>
  <si>
    <t>20 db Mobil POS terminál</t>
  </si>
  <si>
    <t>Informatikai eszközbeszerzések</t>
  </si>
  <si>
    <t>Öltözőszekrények cseréjének folytatása</t>
  </si>
  <si>
    <t>Gázkazán csere</t>
  </si>
  <si>
    <t>Városi Művelődési Központ</t>
  </si>
  <si>
    <t>Kádártai Közösségi Ház átépítése</t>
  </si>
  <si>
    <t>Halle utca 9/C. felnőtt rendelő akadálymentesítése</t>
  </si>
  <si>
    <t>2014. évi módosított 1.</t>
  </si>
  <si>
    <t>Költségvetési egyenleg összege:</t>
  </si>
  <si>
    <t>Finanszírozási bevételek</t>
  </si>
  <si>
    <t>Működési célú Pénzmaradvány igénybevétele</t>
  </si>
  <si>
    <t>Intézmények</t>
  </si>
  <si>
    <t>Felhalmozási célú Pénzmaradvány igénybevétele</t>
  </si>
  <si>
    <t>Működési célú hitelfelvétel</t>
  </si>
  <si>
    <t>Beruházási hitelfelvétel</t>
  </si>
  <si>
    <t>Előző évi hitelszerződéseken alapuló felvétel</t>
  </si>
  <si>
    <t>Kiegyenlítő, függő, átfutó</t>
  </si>
  <si>
    <t>Bevételi főösszeg</t>
  </si>
  <si>
    <t>VMJV Polgármesteri Hivatala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</si>
  <si>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</si>
  <si>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</si>
  <si>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</si>
  <si>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</si>
  <si>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</si>
  <si>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Veszprémi Petőfi Színház</t>
  </si>
  <si>
    <t>VMJV Polgármesteri Hivatal</t>
  </si>
  <si>
    <t>Alsófokú oktatási intézmények összesen:</t>
  </si>
  <si>
    <t>Ipari Szakközépiskola és Gimnázium</t>
  </si>
  <si>
    <t>ISO 9001 minőségbiztosítás karbantartás</t>
  </si>
  <si>
    <t xml:space="preserve"> - Önkormányzat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</si>
  <si>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</si>
  <si>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</si>
  <si>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</si>
  <si>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</si>
  <si>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</si>
  <si>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</si>
  <si>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VMJV Önkormányzata és VMJV Polgármesteri Hiv.</t>
  </si>
  <si>
    <t>Foglalkoztatás eü. szolg.</t>
  </si>
  <si>
    <t>Városi Közbiztonság Keret</t>
  </si>
  <si>
    <t>Közbeszerzési eljárások költségei</t>
  </si>
  <si>
    <t>Többfunkciós csarnok szolgált. vásárlás</t>
  </si>
  <si>
    <t>ÖSSZEFOGLALÓ TÁBLA</t>
  </si>
  <si>
    <t>a bevételi és kiadási előirányzatok módosításáról</t>
  </si>
  <si>
    <t xml:space="preserve">                </t>
  </si>
  <si>
    <t>pénzmaradvány</t>
  </si>
  <si>
    <t>1. vk. Honlapkarbantartás - pénzmaradványból</t>
  </si>
  <si>
    <t>3. vk. Könyvbeszerzés - pénzmaradványból</t>
  </si>
  <si>
    <t>4. vk. Könyveszerzés - pénzmaradványból</t>
  </si>
  <si>
    <t>5. vk. Könyvbeszerzés -pénzmaradványból</t>
  </si>
  <si>
    <t>Költségvetési többlet/hiány összege</t>
  </si>
  <si>
    <t>2014. évi módosított előirányzat</t>
  </si>
  <si>
    <t>7. vk. Könybeszerzés - pénzmaradványból</t>
  </si>
  <si>
    <t>8. vk. Könyvbeszerzés - pénzmaradványból</t>
  </si>
  <si>
    <t>10. vk. Könyvbeszerzés, számla kifizetések - pénzmaradványból</t>
  </si>
  <si>
    <t>11. vk. Könyvbeszerzés pénzmaradványból</t>
  </si>
  <si>
    <t>12. vk. Karácsonyi díszkivilágítás - pénzmaradványból</t>
  </si>
  <si>
    <t>2, 3, 4, 5 vk pénzmaradvány</t>
  </si>
  <si>
    <t>5. vk. Feliratos zsák - pénzmaradványból</t>
  </si>
  <si>
    <t>8. vk. Feliratos zsák - pénzmaradványból</t>
  </si>
  <si>
    <t>10. vk. Feliratos zsák - pénzmaradványból</t>
  </si>
  <si>
    <t>11. vk. Feliratos zsák - pénzmaradványból</t>
  </si>
  <si>
    <t>2014. Országos Képviselő Választás (személyi kiadás 942 eFt, járulékok 110 eFt, dologi kiadások -647 eFt</t>
  </si>
  <si>
    <t>BEVÉTELEK</t>
  </si>
  <si>
    <t>BEVÉTELEK ÖSSZESEN:</t>
  </si>
  <si>
    <t>KIADÁSOK</t>
  </si>
  <si>
    <t>Bevételi többlet és feladatok közötti átcsoportosításból, pénzmaradványból</t>
  </si>
  <si>
    <t>Bevételi többlet és feladatok közötti átcsoportosítás összesen</t>
  </si>
  <si>
    <t>Választókerületi keret felosztása - Parkfenntartás</t>
  </si>
  <si>
    <t>Választókerületi keret felosztása - Parkfenntartás összesen</t>
  </si>
  <si>
    <t>Városgazdálkodási szolgáltatás</t>
  </si>
  <si>
    <t>Városgazdálkodási szolgáltatás összesen</t>
  </si>
  <si>
    <t>Választókerületi keret felosztás összesen</t>
  </si>
  <si>
    <t>VMJV Önkormányzata működési kiadás összesen</t>
  </si>
  <si>
    <t xml:space="preserve">Felhalmozási kiadások </t>
  </si>
  <si>
    <t>Felújítás összesen:</t>
  </si>
  <si>
    <t>Felhalmozási kiadások összesen:</t>
  </si>
  <si>
    <t>INTÉZMÉNYI KIADÁSOK</t>
  </si>
  <si>
    <t>Intézmények pénzmaradványa</t>
  </si>
  <si>
    <t xml:space="preserve">VMJV Polgármesteri Hivatal </t>
  </si>
  <si>
    <t>Polgármesteri Hivatal működési költségvetés összesen:</t>
  </si>
  <si>
    <t>Választókerületi keret felosztása</t>
  </si>
  <si>
    <t>Választókerületi keret összesen</t>
  </si>
  <si>
    <t>Céltartalék összesen</t>
  </si>
  <si>
    <t>Kiadások összesen</t>
  </si>
  <si>
    <t>2014. április hó</t>
  </si>
  <si>
    <t>2014. évi bevételeinek módosítása</t>
  </si>
  <si>
    <t>2014. évi kiadásainak módosítása</t>
  </si>
  <si>
    <r>
      <t>2014. évi bevételeinek módosítása</t>
    </r>
    <r>
      <rPr>
        <sz val="10"/>
        <rFont val="Palatino Linotype"/>
        <family val="1"/>
      </rPr>
      <t xml:space="preserve"> - 2014. április hó</t>
    </r>
  </si>
  <si>
    <t>eredeti előirányzat</t>
  </si>
  <si>
    <t>módosított előirányzat</t>
  </si>
  <si>
    <t xml:space="preserve">módosítás - 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</si>
  <si>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</si>
  <si>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</si>
  <si>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</si>
  <si>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</si>
  <si>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</si>
  <si>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Vadvirág Körzeti Óvoda (Csillagvár Waldorf Tagóvoda, Vadvirág Óvoda)</t>
  </si>
  <si>
    <t>Igazgatási tevékenység</t>
  </si>
  <si>
    <t>Gondnokság</t>
  </si>
  <si>
    <t>Informatikai kiadások</t>
  </si>
  <si>
    <t>Temetők üzemeltetésével kapcsolatos feladatok</t>
  </si>
  <si>
    <t>Parkfenntartás</t>
  </si>
  <si>
    <t>Swing-Swing KFt. Szolgáltatás vásárlás</t>
  </si>
  <si>
    <t>Veszprém Megyei Jogú Város Önkormányzata Intézményei</t>
  </si>
  <si>
    <t>Alcím</t>
  </si>
  <si>
    <t>Vadvirág Körzeti Óvoda</t>
  </si>
  <si>
    <t>Bóbita Körzeti Óvoda</t>
  </si>
  <si>
    <t>Ringató Körzeti Óvoda</t>
  </si>
  <si>
    <t>Egry úti Körzeti Óvoda</t>
  </si>
  <si>
    <t>Csillag úti Körzeti Óvoda</t>
  </si>
  <si>
    <t>Kastélykert Körzeti Óvoda</t>
  </si>
  <si>
    <t>Költségvetési kiadások összesen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</si>
</sst>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b/>
      <i/>
      <sz val="11"/>
      <name val="Palatino Linotype"/>
      <family val="1"/>
    </font>
    <font>
      <b/>
      <u val="single"/>
      <sz val="10"/>
      <name val="Palatino Linotype"/>
      <family val="1"/>
    </font>
    <font>
      <b/>
      <sz val="9"/>
      <color indexed="18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sz val="9"/>
      <color indexed="18"/>
      <name val="Palatino Linotype"/>
      <family val="1"/>
    </font>
    <font>
      <i/>
      <sz val="12"/>
      <name val="Palatino Linotype"/>
      <family val="1"/>
    </font>
    <font>
      <b/>
      <i/>
      <sz val="9"/>
      <name val="Palatino Linotype"/>
      <family val="1"/>
    </font>
    <font>
      <sz val="10.5"/>
      <name val="Palatino Linotype"/>
      <family val="1"/>
    </font>
    <font>
      <i/>
      <sz val="10.5"/>
      <name val="Palatino Linotype"/>
      <family val="1"/>
    </font>
    <font>
      <b/>
      <sz val="10.5"/>
      <name val="Palatino Linotype"/>
      <family val="1"/>
    </font>
    <font>
      <b/>
      <i/>
      <sz val="10.5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uble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double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medium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>
        <color indexed="63"/>
      </bottom>
    </border>
    <border>
      <left style="double"/>
      <right style="dotted"/>
      <top style="medium"/>
      <bottom style="dotted"/>
    </border>
    <border>
      <left style="double"/>
      <right style="dotted"/>
      <top style="dotted"/>
      <bottom style="medium"/>
    </border>
    <border>
      <left style="dotted"/>
      <right style="dotted"/>
      <top style="thin"/>
      <bottom style="dotted"/>
    </border>
    <border>
      <left style="medium"/>
      <right style="dotted"/>
      <top style="double"/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double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double"/>
      <right style="hair"/>
      <top style="hair"/>
      <bottom style="medium"/>
    </border>
    <border>
      <left style="dotted"/>
      <right style="double"/>
      <top style="medium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thin"/>
      <bottom style="dotted"/>
    </border>
    <border>
      <left style="double"/>
      <right style="dotted"/>
      <top style="dotted"/>
      <bottom style="double"/>
    </border>
    <border>
      <left style="double"/>
      <right style="dotted"/>
      <top style="dotted"/>
      <bottom style="thin"/>
    </border>
    <border>
      <left style="double"/>
      <right style="dotted"/>
      <top>
        <color indexed="63"/>
      </top>
      <bottom style="dotted"/>
    </border>
    <border>
      <left style="dotted"/>
      <right style="double"/>
      <top style="thin"/>
      <bottom style="dotted"/>
    </border>
    <border>
      <left style="dotted"/>
      <right style="double"/>
      <top style="dotted"/>
      <bottom style="double"/>
    </border>
    <border>
      <left style="dotted"/>
      <right style="double"/>
      <top>
        <color indexed="63"/>
      </top>
      <bottom style="dotted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dotted"/>
      <right style="double"/>
      <top style="dotted"/>
      <bottom style="thin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tted"/>
      <bottom style="dotted"/>
    </border>
    <border>
      <left style="dotted"/>
      <right style="double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tted"/>
      <right style="double"/>
      <top style="double"/>
      <bottom style="dotted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1">
    <xf numFmtId="0" fontId="0" fillId="0" borderId="0" xfId="0" applyAlignment="1">
      <alignment/>
    </xf>
    <xf numFmtId="3" fontId="23" fillId="0" borderId="0" xfId="61" applyNumberFormat="1" applyFont="1" applyAlignment="1">
      <alignment horizontal="center"/>
      <protection/>
    </xf>
    <xf numFmtId="0" fontId="23" fillId="0" borderId="0" xfId="0" applyFont="1" applyAlignment="1">
      <alignment horizontal="center" vertical="top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3" fontId="24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22" fillId="0" borderId="0" xfId="61" applyNumberFormat="1" applyFont="1" applyFill="1" applyAlignment="1">
      <alignment horizontal="center"/>
      <protection/>
    </xf>
    <xf numFmtId="3" fontId="22" fillId="0" borderId="13" xfId="61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28" fillId="0" borderId="0" xfId="61" applyNumberFormat="1" applyFont="1" applyBorder="1">
      <alignment/>
      <protection/>
    </xf>
    <xf numFmtId="3" fontId="28" fillId="0" borderId="0" xfId="61" applyNumberFormat="1" applyFont="1">
      <alignment/>
      <protection/>
    </xf>
    <xf numFmtId="3" fontId="25" fillId="0" borderId="0" xfId="61" applyNumberFormat="1" applyFont="1" applyBorder="1" applyAlignment="1">
      <alignment horizontal="left"/>
      <protection/>
    </xf>
    <xf numFmtId="3" fontId="25" fillId="0" borderId="0" xfId="61" applyNumberFormat="1" applyFont="1" applyAlignment="1">
      <alignment horizontal="left"/>
      <protection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/>
    </xf>
    <xf numFmtId="49" fontId="28" fillId="0" borderId="14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indent="1"/>
    </xf>
    <xf numFmtId="0" fontId="28" fillId="0" borderId="0" xfId="0" applyFont="1" applyBorder="1" applyAlignment="1">
      <alignment horizontal="left" wrapText="1" indent="1"/>
    </xf>
    <xf numFmtId="49" fontId="28" fillId="0" borderId="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61" applyNumberFormat="1" applyFont="1" applyFill="1">
      <alignment/>
      <protection/>
    </xf>
    <xf numFmtId="3" fontId="25" fillId="0" borderId="0" xfId="61" applyNumberFormat="1" applyFont="1" applyFill="1" applyAlignment="1">
      <alignment horizontal="center"/>
      <protection/>
    </xf>
    <xf numFmtId="3" fontId="28" fillId="0" borderId="0" xfId="61" applyNumberFormat="1" applyFont="1" applyFill="1" applyAlignment="1">
      <alignment horizontal="center"/>
      <protection/>
    </xf>
    <xf numFmtId="49" fontId="28" fillId="0" borderId="0" xfId="61" applyNumberFormat="1" applyFont="1" applyFill="1" applyAlignment="1">
      <alignment horizontal="center"/>
      <protection/>
    </xf>
    <xf numFmtId="3" fontId="25" fillId="0" borderId="17" xfId="61" applyNumberFormat="1" applyFont="1" applyFill="1" applyBorder="1" applyAlignment="1">
      <alignment horizontal="center"/>
      <protection/>
    </xf>
    <xf numFmtId="3" fontId="28" fillId="0" borderId="17" xfId="61" applyNumberFormat="1" applyFont="1" applyFill="1" applyBorder="1" applyAlignment="1">
      <alignment horizontal="center"/>
      <protection/>
    </xf>
    <xf numFmtId="3" fontId="25" fillId="0" borderId="17" xfId="61" applyNumberFormat="1" applyFont="1" applyFill="1" applyBorder="1">
      <alignment/>
      <protection/>
    </xf>
    <xf numFmtId="3" fontId="25" fillId="0" borderId="18" xfId="61" applyNumberFormat="1" applyFont="1" applyFill="1" applyBorder="1">
      <alignment/>
      <protection/>
    </xf>
    <xf numFmtId="49" fontId="28" fillId="0" borderId="14" xfId="61" applyNumberFormat="1" applyFont="1" applyFill="1" applyBorder="1" applyAlignment="1">
      <alignment horizontal="center"/>
      <protection/>
    </xf>
    <xf numFmtId="3" fontId="28" fillId="0" borderId="0" xfId="61" applyNumberFormat="1" applyFont="1" applyFill="1" applyBorder="1" applyAlignment="1">
      <alignment horizontal="center"/>
      <protection/>
    </xf>
    <xf numFmtId="3" fontId="28" fillId="0" borderId="0" xfId="61" applyNumberFormat="1" applyFont="1" applyFill="1" applyBorder="1">
      <alignment/>
      <protection/>
    </xf>
    <xf numFmtId="3" fontId="25" fillId="0" borderId="0" xfId="61" applyNumberFormat="1" applyFont="1" applyFill="1" applyBorder="1" applyAlignment="1">
      <alignment horizontal="center"/>
      <protection/>
    </xf>
    <xf numFmtId="3" fontId="25" fillId="0" borderId="0" xfId="61" applyNumberFormat="1" applyFont="1" applyFill="1" applyBorder="1">
      <alignment/>
      <protection/>
    </xf>
    <xf numFmtId="3" fontId="25" fillId="0" borderId="19" xfId="61" applyNumberFormat="1" applyFont="1" applyFill="1" applyBorder="1">
      <alignment/>
      <protection/>
    </xf>
    <xf numFmtId="3" fontId="28" fillId="0" borderId="19" xfId="61" applyNumberFormat="1" applyFont="1" applyFill="1" applyBorder="1">
      <alignment/>
      <protection/>
    </xf>
    <xf numFmtId="49" fontId="32" fillId="0" borderId="14" xfId="61" applyNumberFormat="1" applyFont="1" applyFill="1" applyBorder="1" applyAlignment="1">
      <alignment horizontal="center"/>
      <protection/>
    </xf>
    <xf numFmtId="3" fontId="32" fillId="0" borderId="0" xfId="61" applyNumberFormat="1" applyFont="1" applyFill="1" applyBorder="1" applyAlignment="1">
      <alignment horizontal="center"/>
      <protection/>
    </xf>
    <xf numFmtId="3" fontId="25" fillId="0" borderId="20" xfId="61" applyNumberFormat="1" applyFont="1" applyFill="1" applyBorder="1" applyAlignment="1">
      <alignment horizontal="center" vertical="center"/>
      <protection/>
    </xf>
    <xf numFmtId="3" fontId="28" fillId="0" borderId="20" xfId="61" applyNumberFormat="1" applyFont="1" applyFill="1" applyBorder="1" applyAlignment="1">
      <alignment horizontal="center" vertical="center"/>
      <protection/>
    </xf>
    <xf numFmtId="3" fontId="25" fillId="0" borderId="20" xfId="61" applyNumberFormat="1" applyFont="1" applyFill="1" applyBorder="1" applyAlignment="1">
      <alignment vertical="center"/>
      <protection/>
    </xf>
    <xf numFmtId="3" fontId="25" fillId="0" borderId="21" xfId="61" applyNumberFormat="1" applyFont="1" applyFill="1" applyBorder="1" applyAlignment="1">
      <alignment vertical="center"/>
      <protection/>
    </xf>
    <xf numFmtId="3" fontId="28" fillId="0" borderId="0" xfId="61" applyNumberFormat="1" applyFont="1" applyFill="1" applyBorder="1" applyAlignment="1">
      <alignment/>
      <protection/>
    </xf>
    <xf numFmtId="49" fontId="28" fillId="0" borderId="14" xfId="61" applyNumberFormat="1" applyFont="1" applyFill="1" applyBorder="1" applyAlignment="1">
      <alignment horizontal="center" vertical="top"/>
      <protection/>
    </xf>
    <xf numFmtId="3" fontId="28" fillId="0" borderId="0" xfId="61" applyNumberFormat="1" applyFont="1" applyFill="1" applyBorder="1" applyAlignment="1">
      <alignment horizontal="center" vertical="top"/>
      <protection/>
    </xf>
    <xf numFmtId="3" fontId="28" fillId="0" borderId="0" xfId="61" applyNumberFormat="1" applyFont="1" applyFill="1" applyBorder="1" applyAlignment="1">
      <alignment vertical="top"/>
      <protection/>
    </xf>
    <xf numFmtId="3" fontId="25" fillId="0" borderId="0" xfId="61" applyNumberFormat="1" applyFont="1" applyFill="1">
      <alignment/>
      <protection/>
    </xf>
    <xf numFmtId="3" fontId="23" fillId="0" borderId="22" xfId="0" applyNumberFormat="1" applyFont="1" applyFill="1" applyBorder="1" applyAlignment="1">
      <alignment horizontal="center" vertical="center"/>
    </xf>
    <xf numFmtId="3" fontId="28" fillId="0" borderId="0" xfId="61" applyNumberFormat="1" applyFont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/>
    </xf>
    <xf numFmtId="3" fontId="22" fillId="0" borderId="23" xfId="61" applyNumberFormat="1" applyFont="1" applyBorder="1" applyAlignment="1">
      <alignment horizontal="center" vertical="center" textRotation="90" wrapText="1"/>
      <protection/>
    </xf>
    <xf numFmtId="3" fontId="22" fillId="0" borderId="13" xfId="61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66" applyNumberFormat="1" applyFont="1" applyFill="1" applyBorder="1" applyAlignment="1">
      <alignment vertical="center"/>
      <protection/>
    </xf>
    <xf numFmtId="3" fontId="23" fillId="0" borderId="19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" fontId="23" fillId="0" borderId="0" xfId="61" applyNumberFormat="1" applyFont="1" applyAlignment="1">
      <alignment horizontal="center" vertical="center"/>
      <protection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3" fontId="25" fillId="0" borderId="0" xfId="61" applyNumberFormat="1" applyFont="1" applyBorder="1" applyAlignment="1">
      <alignment horizontal="left" wrapText="1"/>
      <protection/>
    </xf>
    <xf numFmtId="3" fontId="25" fillId="0" borderId="30" xfId="61" applyNumberFormat="1" applyFont="1" applyBorder="1" applyAlignment="1">
      <alignment horizontal="left" textRotation="90" wrapText="1"/>
      <protection/>
    </xf>
    <xf numFmtId="3" fontId="28" fillId="0" borderId="30" xfId="61" applyNumberFormat="1" applyFont="1" applyBorder="1" applyAlignment="1">
      <alignment horizontal="center" wrapText="1"/>
      <protection/>
    </xf>
    <xf numFmtId="3" fontId="25" fillId="0" borderId="30" xfId="61" applyNumberFormat="1" applyFont="1" applyBorder="1" applyAlignment="1">
      <alignment horizontal="left" wrapText="1"/>
      <protection/>
    </xf>
    <xf numFmtId="3" fontId="28" fillId="0" borderId="0" xfId="61" applyNumberFormat="1" applyFont="1" applyBorder="1" applyAlignment="1">
      <alignment horizontal="center" wrapText="1"/>
      <protection/>
    </xf>
    <xf numFmtId="3" fontId="25" fillId="0" borderId="0" xfId="61" applyNumberFormat="1" applyFont="1" applyBorder="1" applyAlignment="1">
      <alignment horizontal="right" wrapText="1"/>
      <protection/>
    </xf>
    <xf numFmtId="3" fontId="23" fillId="0" borderId="0" xfId="61" applyNumberFormat="1" applyFont="1" applyAlignment="1">
      <alignment horizontal="center" vertical="top"/>
      <protection/>
    </xf>
    <xf numFmtId="3" fontId="23" fillId="0" borderId="13" xfId="61" applyNumberFormat="1" applyFont="1" applyBorder="1" applyAlignment="1">
      <alignment horizontal="center" vertical="center" wrapText="1"/>
      <protection/>
    </xf>
    <xf numFmtId="3" fontId="28" fillId="0" borderId="0" xfId="61" applyNumberFormat="1" applyFont="1" applyFill="1" applyBorder="1" applyAlignment="1">
      <alignment vertical="top" wrapText="1"/>
      <protection/>
    </xf>
    <xf numFmtId="3" fontId="28" fillId="0" borderId="19" xfId="61" applyNumberFormat="1" applyFont="1" applyFill="1" applyBorder="1" applyAlignment="1">
      <alignment vertical="top"/>
      <protection/>
    </xf>
    <xf numFmtId="3" fontId="28" fillId="0" borderId="0" xfId="61" applyNumberFormat="1" applyFont="1" applyFill="1" applyAlignment="1">
      <alignment vertical="top"/>
      <protection/>
    </xf>
    <xf numFmtId="3" fontId="23" fillId="0" borderId="13" xfId="61" applyNumberFormat="1" applyFont="1" applyFill="1" applyBorder="1" applyAlignment="1">
      <alignment horizontal="center" vertical="center" wrapText="1"/>
      <protection/>
    </xf>
    <xf numFmtId="4" fontId="22" fillId="0" borderId="0" xfId="0" applyNumberFormat="1" applyFont="1" applyFill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left" vertical="center" wrapText="1"/>
    </xf>
    <xf numFmtId="179" fontId="32" fillId="0" borderId="0" xfId="0" applyNumberFormat="1" applyFont="1" applyFill="1" applyBorder="1" applyAlignment="1">
      <alignment horizontal="left" vertical="center" wrapText="1" indent="3"/>
    </xf>
    <xf numFmtId="179" fontId="28" fillId="0" borderId="0" xfId="66" applyNumberFormat="1" applyFont="1" applyFill="1" applyBorder="1" applyAlignment="1">
      <alignment vertical="center" wrapText="1"/>
      <protection/>
    </xf>
    <xf numFmtId="0" fontId="28" fillId="0" borderId="2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textRotation="90"/>
    </xf>
    <xf numFmtId="0" fontId="28" fillId="0" borderId="32" xfId="0" applyFont="1" applyFill="1" applyBorder="1" applyAlignment="1">
      <alignment horizontal="center" vertical="center" wrapText="1"/>
    </xf>
    <xf numFmtId="4" fontId="28" fillId="0" borderId="32" xfId="0" applyNumberFormat="1" applyFont="1" applyFill="1" applyBorder="1" applyAlignment="1">
      <alignment horizontal="center" vertical="center" wrapText="1"/>
    </xf>
    <xf numFmtId="4" fontId="28" fillId="0" borderId="33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179" fontId="28" fillId="0" borderId="35" xfId="66" applyNumberFormat="1" applyFont="1" applyFill="1" applyBorder="1" applyAlignment="1">
      <alignment vertical="center" wrapText="1"/>
      <protection/>
    </xf>
    <xf numFmtId="4" fontId="28" fillId="0" borderId="35" xfId="0" applyNumberFormat="1" applyFont="1" applyFill="1" applyBorder="1" applyAlignment="1">
      <alignment vertical="center"/>
    </xf>
    <xf numFmtId="4" fontId="22" fillId="0" borderId="36" xfId="0" applyNumberFormat="1" applyFont="1" applyFill="1" applyBorder="1" applyAlignment="1">
      <alignment horizontal="center" vertical="center"/>
    </xf>
    <xf numFmtId="179" fontId="32" fillId="0" borderId="35" xfId="0" applyNumberFormat="1" applyFont="1" applyFill="1" applyBorder="1" applyAlignment="1">
      <alignment horizontal="left" vertical="center" wrapText="1" indent="3"/>
    </xf>
    <xf numFmtId="4" fontId="22" fillId="0" borderId="36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vertical="top"/>
    </xf>
    <xf numFmtId="3" fontId="24" fillId="0" borderId="19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30" fillId="0" borderId="19" xfId="0" applyNumberFormat="1" applyFont="1" applyFill="1" applyBorder="1" applyAlignment="1">
      <alignment vertical="center"/>
    </xf>
    <xf numFmtId="3" fontId="24" fillId="0" borderId="0" xfId="61" applyNumberFormat="1" applyFont="1" applyFill="1" applyAlignment="1">
      <alignment horizontal="center" vertical="center"/>
      <protection/>
    </xf>
    <xf numFmtId="3" fontId="28" fillId="0" borderId="0" xfId="61" applyNumberFormat="1" applyFont="1" applyFill="1" applyAlignment="1">
      <alignment horizontal="right"/>
      <protection/>
    </xf>
    <xf numFmtId="3" fontId="28" fillId="0" borderId="0" xfId="61" applyNumberFormat="1" applyFont="1" applyFill="1" applyAlignment="1">
      <alignment vertical="center"/>
      <protection/>
    </xf>
    <xf numFmtId="0" fontId="25" fillId="0" borderId="0" xfId="61" applyFont="1" applyFill="1" applyBorder="1" applyAlignment="1">
      <alignment horizontal="center"/>
      <protection/>
    </xf>
    <xf numFmtId="3" fontId="28" fillId="0" borderId="0" xfId="61" applyNumberFormat="1" applyFont="1" applyFill="1" applyAlignment="1">
      <alignment/>
      <protection/>
    </xf>
    <xf numFmtId="3" fontId="28" fillId="0" borderId="0" xfId="61" applyNumberFormat="1" applyFont="1" applyFill="1" applyAlignment="1">
      <alignment horizontal="center" vertical="center"/>
      <protection/>
    </xf>
    <xf numFmtId="3" fontId="28" fillId="0" borderId="0" xfId="61" applyNumberFormat="1" applyFont="1" applyFill="1" applyBorder="1" applyAlignment="1">
      <alignment vertical="center"/>
      <protection/>
    </xf>
    <xf numFmtId="3" fontId="22" fillId="0" borderId="0" xfId="61" applyNumberFormat="1" applyFont="1" applyFill="1" applyAlignment="1">
      <alignment horizontal="center" vertical="top"/>
      <protection/>
    </xf>
    <xf numFmtId="3" fontId="22" fillId="0" borderId="0" xfId="61" applyNumberFormat="1" applyFont="1" applyFill="1" applyAlignment="1">
      <alignment horizontal="center" vertical="center"/>
      <protection/>
    </xf>
    <xf numFmtId="3" fontId="22" fillId="0" borderId="37" xfId="61" applyNumberFormat="1" applyFont="1" applyFill="1" applyBorder="1" applyAlignment="1">
      <alignment horizontal="center"/>
      <protection/>
    </xf>
    <xf numFmtId="3" fontId="28" fillId="0" borderId="37" xfId="61" applyNumberFormat="1" applyFont="1" applyFill="1" applyBorder="1" applyAlignment="1">
      <alignment/>
      <protection/>
    </xf>
    <xf numFmtId="3" fontId="28" fillId="0" borderId="37" xfId="61" applyNumberFormat="1" applyFont="1" applyFill="1" applyBorder="1" applyAlignment="1">
      <alignment horizontal="center"/>
      <protection/>
    </xf>
    <xf numFmtId="3" fontId="28" fillId="0" borderId="37" xfId="0" applyNumberFormat="1" applyFont="1" applyFill="1" applyBorder="1" applyAlignment="1">
      <alignment horizontal="right" wrapText="1"/>
    </xf>
    <xf numFmtId="3" fontId="22" fillId="0" borderId="37" xfId="61" applyNumberFormat="1" applyFont="1" applyFill="1" applyBorder="1" applyAlignment="1">
      <alignment horizontal="center" vertical="top"/>
      <protection/>
    </xf>
    <xf numFmtId="3" fontId="22" fillId="0" borderId="38" xfId="61" applyNumberFormat="1" applyFont="1" applyFill="1" applyBorder="1" applyAlignment="1">
      <alignment horizontal="center"/>
      <protection/>
    </xf>
    <xf numFmtId="3" fontId="22" fillId="0" borderId="38" xfId="61" applyNumberFormat="1" applyFont="1" applyFill="1" applyBorder="1" applyAlignment="1">
      <alignment horizontal="center" vertical="center"/>
      <protection/>
    </xf>
    <xf numFmtId="3" fontId="31" fillId="0" borderId="38" xfId="61" applyNumberFormat="1" applyFont="1" applyFill="1" applyBorder="1" applyAlignment="1">
      <alignment horizontal="center"/>
      <protection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0" borderId="0" xfId="66" applyNumberFormat="1" applyFont="1" applyFill="1" applyBorder="1" applyAlignment="1">
      <alignment wrapText="1"/>
      <protection/>
    </xf>
    <xf numFmtId="3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" fontId="23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4" fillId="0" borderId="0" xfId="66" applyNumberFormat="1" applyFont="1" applyFill="1" applyBorder="1" applyAlignment="1">
      <alignment vertical="center"/>
      <protection/>
    </xf>
    <xf numFmtId="3" fontId="35" fillId="0" borderId="0" xfId="0" applyNumberFormat="1" applyFont="1" applyFill="1" applyBorder="1" applyAlignment="1">
      <alignment vertical="center"/>
    </xf>
    <xf numFmtId="3" fontId="30" fillId="0" borderId="0" xfId="66" applyNumberFormat="1" applyFont="1" applyFill="1" applyBorder="1" applyAlignment="1">
      <alignment vertical="center"/>
      <protection/>
    </xf>
    <xf numFmtId="3" fontId="23" fillId="0" borderId="0" xfId="66" applyNumberFormat="1" applyFont="1" applyFill="1" applyBorder="1" applyAlignment="1">
      <alignment/>
      <protection/>
    </xf>
    <xf numFmtId="3" fontId="28" fillId="0" borderId="0" xfId="61" applyNumberFormat="1" applyFont="1" applyFill="1" applyBorder="1" applyAlignment="1">
      <alignment horizontal="left"/>
      <protection/>
    </xf>
    <xf numFmtId="3" fontId="24" fillId="0" borderId="40" xfId="68" applyNumberFormat="1" applyFont="1" applyFill="1" applyBorder="1" applyAlignment="1">
      <alignment horizontal="center" vertical="center" wrapText="1"/>
      <protection/>
    </xf>
    <xf numFmtId="0" fontId="23" fillId="0" borderId="41" xfId="63" applyFont="1" applyFill="1" applyBorder="1" applyAlignment="1">
      <alignment wrapText="1"/>
      <protection/>
    </xf>
    <xf numFmtId="3" fontId="23" fillId="0" borderId="41" xfId="67" applyNumberFormat="1" applyFont="1" applyFill="1" applyBorder="1" applyAlignment="1">
      <alignment/>
      <protection/>
    </xf>
    <xf numFmtId="3" fontId="23" fillId="0" borderId="41" xfId="67" applyNumberFormat="1" applyFont="1" applyFill="1" applyBorder="1">
      <alignment/>
      <protection/>
    </xf>
    <xf numFmtId="0" fontId="23" fillId="0" borderId="41" xfId="67" applyFont="1" applyFill="1" applyBorder="1" applyAlignment="1">
      <alignment wrapText="1"/>
      <protection/>
    </xf>
    <xf numFmtId="0" fontId="23" fillId="0" borderId="41" xfId="67" applyFont="1" applyFill="1" applyBorder="1" applyAlignment="1">
      <alignment horizontal="left" wrapText="1" indent="1"/>
      <protection/>
    </xf>
    <xf numFmtId="0" fontId="23" fillId="0" borderId="0" xfId="67" applyFont="1" applyFill="1" applyBorder="1" applyAlignment="1">
      <alignment horizontal="center" vertical="top"/>
      <protection/>
    </xf>
    <xf numFmtId="0" fontId="23" fillId="0" borderId="0" xfId="67" applyFont="1" applyFill="1" applyBorder="1">
      <alignment/>
      <protection/>
    </xf>
    <xf numFmtId="0" fontId="23" fillId="0" borderId="0" xfId="67" applyFont="1" applyFill="1" applyBorder="1" applyAlignment="1">
      <alignment wrapText="1"/>
      <protection/>
    </xf>
    <xf numFmtId="0" fontId="23" fillId="0" borderId="0" xfId="67" applyFont="1" applyFill="1" applyBorder="1" applyAlignment="1">
      <alignment horizontal="center" wrapText="1"/>
      <protection/>
    </xf>
    <xf numFmtId="3" fontId="23" fillId="0" borderId="0" xfId="67" applyNumberFormat="1" applyFont="1" applyFill="1" applyBorder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4" fillId="0" borderId="42" xfId="67" applyFont="1" applyFill="1" applyBorder="1" applyAlignment="1">
      <alignment horizontal="center" vertical="center" wrapText="1"/>
      <protection/>
    </xf>
    <xf numFmtId="0" fontId="23" fillId="0" borderId="41" xfId="63" applyFont="1" applyFill="1" applyBorder="1" applyAlignment="1">
      <alignment horizontal="center" wrapText="1"/>
      <protection/>
    </xf>
    <xf numFmtId="0" fontId="23" fillId="0" borderId="41" xfId="67" applyFont="1" applyFill="1" applyBorder="1" applyAlignment="1">
      <alignment horizontal="center" wrapText="1"/>
      <protection/>
    </xf>
    <xf numFmtId="0" fontId="23" fillId="0" borderId="41" xfId="63" applyFont="1" applyFill="1" applyBorder="1" applyAlignment="1">
      <alignment horizontal="left" wrapText="1"/>
      <protection/>
    </xf>
    <xf numFmtId="0" fontId="24" fillId="0" borderId="0" xfId="67" applyFont="1" applyFill="1" applyBorder="1" applyAlignment="1">
      <alignment vertical="center"/>
      <protection/>
    </xf>
    <xf numFmtId="0" fontId="23" fillId="0" borderId="0" xfId="67" applyFont="1" applyFill="1" applyBorder="1" applyAlignment="1">
      <alignment/>
      <protection/>
    </xf>
    <xf numFmtId="0" fontId="23" fillId="0" borderId="0" xfId="67" applyFont="1" applyFill="1" applyBorder="1" applyAlignment="1">
      <alignment vertical="center"/>
      <protection/>
    </xf>
    <xf numFmtId="0" fontId="39" fillId="0" borderId="41" xfId="67" applyFont="1" applyFill="1" applyBorder="1" applyAlignment="1">
      <alignment wrapText="1"/>
      <protection/>
    </xf>
    <xf numFmtId="0" fontId="23" fillId="0" borderId="43" xfId="67" applyFont="1" applyFill="1" applyBorder="1" applyAlignment="1">
      <alignment horizontal="left" wrapText="1" indent="1"/>
      <protection/>
    </xf>
    <xf numFmtId="0" fontId="24" fillId="0" borderId="44" xfId="67" applyFont="1" applyFill="1" applyBorder="1" applyAlignment="1">
      <alignment horizontal="center" vertical="center" wrapText="1"/>
      <protection/>
    </xf>
    <xf numFmtId="3" fontId="24" fillId="0" borderId="44" xfId="67" applyNumberFormat="1" applyFont="1" applyFill="1" applyBorder="1" applyAlignment="1">
      <alignment vertical="center"/>
      <protection/>
    </xf>
    <xf numFmtId="0" fontId="35" fillId="0" borderId="45" xfId="67" applyFont="1" applyFill="1" applyBorder="1" applyAlignment="1">
      <alignment horizontal="center" vertical="center" wrapText="1"/>
      <protection/>
    </xf>
    <xf numFmtId="3" fontId="24" fillId="0" borderId="45" xfId="67" applyNumberFormat="1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26" fillId="0" borderId="30" xfId="61" applyNumberFormat="1" applyFont="1" applyBorder="1" applyAlignment="1">
      <alignment horizontal="right" wrapText="1"/>
      <protection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19" xfId="0" applyNumberFormat="1" applyFont="1" applyBorder="1" applyAlignment="1">
      <alignment/>
    </xf>
    <xf numFmtId="3" fontId="25" fillId="0" borderId="46" xfId="61" applyNumberFormat="1" applyFont="1" applyBorder="1" applyAlignment="1">
      <alignment horizontal="left" wrapText="1"/>
      <protection/>
    </xf>
    <xf numFmtId="3" fontId="26" fillId="0" borderId="27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47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32" fillId="0" borderId="0" xfId="61" applyNumberFormat="1" applyFont="1" applyFill="1" applyBorder="1">
      <alignment/>
      <protection/>
    </xf>
    <xf numFmtId="3" fontId="26" fillId="0" borderId="19" xfId="0" applyNumberFormat="1" applyFont="1" applyFill="1" applyBorder="1" applyAlignment="1">
      <alignment/>
    </xf>
    <xf numFmtId="49" fontId="22" fillId="0" borderId="0" xfId="61" applyNumberFormat="1" applyFont="1" applyFill="1" applyAlignment="1">
      <alignment horizontal="center"/>
      <protection/>
    </xf>
    <xf numFmtId="3" fontId="22" fillId="0" borderId="10" xfId="61" applyNumberFormat="1" applyFont="1" applyFill="1" applyBorder="1" applyAlignment="1">
      <alignment horizontal="center"/>
      <protection/>
    </xf>
    <xf numFmtId="3" fontId="29" fillId="0" borderId="0" xfId="61" applyNumberFormat="1" applyFont="1" applyFill="1" applyAlignment="1">
      <alignment horizontal="center"/>
      <protection/>
    </xf>
    <xf numFmtId="3" fontId="40" fillId="0" borderId="0" xfId="61" applyNumberFormat="1" applyFont="1" applyFill="1" applyAlignment="1">
      <alignment horizontal="center"/>
      <protection/>
    </xf>
    <xf numFmtId="3" fontId="22" fillId="0" borderId="0" xfId="61" applyNumberFormat="1" applyFont="1" applyFill="1">
      <alignment/>
      <protection/>
    </xf>
    <xf numFmtId="3" fontId="25" fillId="0" borderId="17" xfId="61" applyNumberFormat="1" applyFont="1" applyFill="1" applyBorder="1" applyAlignment="1">
      <alignment wrapText="1"/>
      <protection/>
    </xf>
    <xf numFmtId="3" fontId="28" fillId="0" borderId="0" xfId="61" applyNumberFormat="1" applyFont="1" applyFill="1" applyBorder="1" applyAlignment="1">
      <alignment horizontal="left" indent="1"/>
      <protection/>
    </xf>
    <xf numFmtId="3" fontId="32" fillId="0" borderId="0" xfId="61" applyNumberFormat="1" applyFont="1" applyFill="1" applyBorder="1" applyAlignment="1">
      <alignment horizontal="left" indent="2"/>
      <protection/>
    </xf>
    <xf numFmtId="3" fontId="32" fillId="0" borderId="19" xfId="61" applyNumberFormat="1" applyFont="1" applyFill="1" applyBorder="1">
      <alignment/>
      <protection/>
    </xf>
    <xf numFmtId="3" fontId="32" fillId="0" borderId="0" xfId="61" applyNumberFormat="1" applyFont="1" applyFill="1">
      <alignment/>
      <protection/>
    </xf>
    <xf numFmtId="3" fontId="28" fillId="0" borderId="0" xfId="61" applyNumberFormat="1" applyFont="1" applyFill="1" applyBorder="1" applyAlignment="1">
      <alignment horizontal="left" indent="3"/>
      <protection/>
    </xf>
    <xf numFmtId="3" fontId="28" fillId="0" borderId="0" xfId="61" applyNumberFormat="1" applyFont="1" applyFill="1" applyBorder="1" applyAlignment="1">
      <alignment horizontal="left" wrapText="1" indent="3"/>
      <protection/>
    </xf>
    <xf numFmtId="3" fontId="25" fillId="0" borderId="0" xfId="61" applyNumberFormat="1" applyFont="1" applyFill="1" applyBorder="1" applyAlignment="1">
      <alignment vertical="center"/>
      <protection/>
    </xf>
    <xf numFmtId="3" fontId="28" fillId="0" borderId="19" xfId="61" applyNumberFormat="1" applyFont="1" applyFill="1" applyBorder="1" applyAlignment="1">
      <alignment/>
      <protection/>
    </xf>
    <xf numFmtId="3" fontId="28" fillId="0" borderId="0" xfId="61" applyNumberFormat="1" applyFont="1" applyFill="1" applyBorder="1" applyAlignment="1">
      <alignment horizontal="left" vertical="top" indent="1"/>
      <protection/>
    </xf>
    <xf numFmtId="49" fontId="28" fillId="0" borderId="0" xfId="61" applyNumberFormat="1" applyFont="1" applyFill="1" applyBorder="1" applyAlignment="1">
      <alignment horizontal="center"/>
      <protection/>
    </xf>
    <xf numFmtId="3" fontId="25" fillId="0" borderId="0" xfId="61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46" xfId="0" applyFont="1" applyBorder="1" applyAlignment="1">
      <alignment horizontal="left" indent="1"/>
    </xf>
    <xf numFmtId="0" fontId="28" fillId="0" borderId="0" xfId="0" applyFont="1" applyBorder="1" applyAlignment="1">
      <alignment horizontal="left" vertical="center" wrapText="1" indent="1"/>
    </xf>
    <xf numFmtId="3" fontId="28" fillId="0" borderId="0" xfId="61" applyNumberFormat="1" applyFont="1" applyBorder="1" applyAlignment="1">
      <alignment horizontal="left" vertical="center" indent="1"/>
      <protection/>
    </xf>
    <xf numFmtId="3" fontId="25" fillId="0" borderId="46" xfId="61" applyNumberFormat="1" applyFont="1" applyBorder="1" applyAlignment="1">
      <alignment horizontal="left" textRotation="90" wrapText="1"/>
      <protection/>
    </xf>
    <xf numFmtId="3" fontId="28" fillId="0" borderId="46" xfId="61" applyNumberFormat="1" applyFont="1" applyBorder="1" applyAlignment="1">
      <alignment horizontal="center" wrapText="1"/>
      <protection/>
    </xf>
    <xf numFmtId="3" fontId="26" fillId="0" borderId="46" xfId="61" applyNumberFormat="1" applyFont="1" applyBorder="1" applyAlignment="1">
      <alignment horizontal="right" wrapText="1"/>
      <protection/>
    </xf>
    <xf numFmtId="3" fontId="26" fillId="0" borderId="48" xfId="61" applyNumberFormat="1" applyFont="1" applyBorder="1" applyAlignment="1">
      <alignment horizontal="right" wrapText="1"/>
      <protection/>
    </xf>
    <xf numFmtId="3" fontId="23" fillId="0" borderId="49" xfId="0" applyNumberFormat="1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8" fillId="0" borderId="46" xfId="0" applyFont="1" applyBorder="1" applyAlignment="1">
      <alignment horizontal="center" vertical="top"/>
    </xf>
    <xf numFmtId="0" fontId="25" fillId="0" borderId="46" xfId="0" applyFont="1" applyBorder="1" applyAlignment="1">
      <alignment wrapText="1"/>
    </xf>
    <xf numFmtId="3" fontId="26" fillId="0" borderId="46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39" fillId="0" borderId="0" xfId="67" applyFont="1" applyFill="1" applyBorder="1" applyAlignment="1">
      <alignment wrapText="1"/>
      <protection/>
    </xf>
    <xf numFmtId="0" fontId="23" fillId="0" borderId="0" xfId="68" applyFont="1" applyFill="1" applyBorder="1" applyAlignment="1">
      <alignment horizontal="center"/>
      <protection/>
    </xf>
    <xf numFmtId="0" fontId="23" fillId="0" borderId="0" xfId="68" applyFont="1" applyFill="1" applyBorder="1" applyAlignment="1">
      <alignment horizontal="center" vertical="top"/>
      <protection/>
    </xf>
    <xf numFmtId="0" fontId="23" fillId="0" borderId="0" xfId="68" applyFont="1" applyFill="1" applyBorder="1" applyAlignment="1">
      <alignment horizontal="center" wrapText="1"/>
      <protection/>
    </xf>
    <xf numFmtId="3" fontId="23" fillId="0" borderId="0" xfId="68" applyNumberFormat="1" applyFont="1" applyFill="1" applyBorder="1" applyAlignment="1">
      <alignment horizontal="center"/>
      <protection/>
    </xf>
    <xf numFmtId="0" fontId="23" fillId="0" borderId="50" xfId="67" applyFont="1" applyFill="1" applyBorder="1" applyAlignment="1">
      <alignment horizontal="center" vertical="center" textRotation="90"/>
      <protection/>
    </xf>
    <xf numFmtId="0" fontId="23" fillId="0" borderId="42" xfId="67" applyFont="1" applyFill="1" applyBorder="1" applyAlignment="1">
      <alignment horizontal="center" vertical="center" textRotation="90"/>
      <protection/>
    </xf>
    <xf numFmtId="0" fontId="23" fillId="0" borderId="51" xfId="67" applyFont="1" applyFill="1" applyBorder="1" applyAlignment="1">
      <alignment horizontal="center"/>
      <protection/>
    </xf>
    <xf numFmtId="0" fontId="23" fillId="0" borderId="41" xfId="67" applyFont="1" applyFill="1" applyBorder="1" applyAlignment="1">
      <alignment horizontal="center" vertical="top"/>
      <protection/>
    </xf>
    <xf numFmtId="0" fontId="24" fillId="0" borderId="52" xfId="67" applyFont="1" applyFill="1" applyBorder="1" applyAlignment="1">
      <alignment horizontal="center" vertical="center"/>
      <protection/>
    </xf>
    <xf numFmtId="0" fontId="24" fillId="0" borderId="44" xfId="67" applyFont="1" applyFill="1" applyBorder="1" applyAlignment="1">
      <alignment horizontal="center" vertical="top"/>
      <protection/>
    </xf>
    <xf numFmtId="0" fontId="23" fillId="0" borderId="53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 vertical="top"/>
      <protection/>
    </xf>
    <xf numFmtId="0" fontId="24" fillId="0" borderId="54" xfId="67" applyFont="1" applyFill="1" applyBorder="1" applyAlignment="1">
      <alignment horizontal="center" vertical="center"/>
      <protection/>
    </xf>
    <xf numFmtId="0" fontId="24" fillId="0" borderId="45" xfId="67" applyFont="1" applyFill="1" applyBorder="1" applyAlignment="1">
      <alignment horizontal="center" vertical="top"/>
      <protection/>
    </xf>
    <xf numFmtId="0" fontId="23" fillId="0" borderId="14" xfId="67" applyFont="1" applyFill="1" applyBorder="1" applyAlignment="1">
      <alignment horizontal="center"/>
      <protection/>
    </xf>
    <xf numFmtId="3" fontId="23" fillId="0" borderId="17" xfId="0" applyNumberFormat="1" applyFont="1" applyFill="1" applyBorder="1" applyAlignment="1">
      <alignment/>
    </xf>
    <xf numFmtId="3" fontId="37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Alignment="1">
      <alignment horizontal="center"/>
    </xf>
    <xf numFmtId="3" fontId="30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 vertical="center"/>
    </xf>
    <xf numFmtId="171" fontId="28" fillId="0" borderId="0" xfId="0" applyNumberFormat="1" applyFont="1" applyFill="1" applyBorder="1" applyAlignment="1">
      <alignment vertical="center"/>
    </xf>
    <xf numFmtId="3" fontId="25" fillId="0" borderId="55" xfId="61" applyNumberFormat="1" applyFont="1" applyBorder="1" applyAlignment="1">
      <alignment horizontal="center" textRotation="90" wrapText="1"/>
      <protection/>
    </xf>
    <xf numFmtId="3" fontId="28" fillId="0" borderId="14" xfId="61" applyNumberFormat="1" applyFont="1" applyBorder="1" applyAlignment="1">
      <alignment horizontal="center" wrapText="1"/>
      <protection/>
    </xf>
    <xf numFmtId="3" fontId="25" fillId="0" borderId="56" xfId="61" applyNumberFormat="1" applyFont="1" applyBorder="1" applyAlignment="1">
      <alignment horizontal="center" textRotation="90" wrapText="1"/>
      <protection/>
    </xf>
    <xf numFmtId="49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top"/>
    </xf>
    <xf numFmtId="49" fontId="28" fillId="0" borderId="49" xfId="61" applyNumberFormat="1" applyFont="1" applyFill="1" applyBorder="1" applyAlignment="1">
      <alignment horizontal="center"/>
      <protection/>
    </xf>
    <xf numFmtId="49" fontId="28" fillId="0" borderId="14" xfId="61" applyNumberFormat="1" applyFont="1" applyFill="1" applyBorder="1" applyAlignment="1">
      <alignment horizontal="center" vertical="center"/>
      <protection/>
    </xf>
    <xf numFmtId="49" fontId="28" fillId="0" borderId="57" xfId="6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/>
    </xf>
    <xf numFmtId="0" fontId="3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wrapText="1"/>
    </xf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25" fillId="0" borderId="57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center" wrapText="1"/>
    </xf>
    <xf numFmtId="3" fontId="25" fillId="0" borderId="5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3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8" fillId="0" borderId="0" xfId="0" applyFont="1" applyFill="1" applyAlignment="1">
      <alignment vertical="top" wrapText="1"/>
    </xf>
    <xf numFmtId="3" fontId="32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top"/>
    </xf>
    <xf numFmtId="3" fontId="32" fillId="0" borderId="0" xfId="0" applyNumberFormat="1" applyFont="1" applyFill="1" applyBorder="1" applyAlignment="1">
      <alignment/>
    </xf>
    <xf numFmtId="0" fontId="25" fillId="0" borderId="20" xfId="0" applyFont="1" applyFill="1" applyBorder="1" applyAlignment="1">
      <alignment vertical="top"/>
    </xf>
    <xf numFmtId="0" fontId="25" fillId="0" borderId="20" xfId="0" applyFont="1" applyFill="1" applyBorder="1" applyAlignment="1">
      <alignment vertical="center" wrapText="1"/>
    </xf>
    <xf numFmtId="3" fontId="25" fillId="0" borderId="21" xfId="0" applyNumberFormat="1" applyFont="1" applyFill="1" applyBorder="1" applyAlignment="1">
      <alignment vertical="center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Fill="1" applyAlignment="1">
      <alignment horizontal="right" vertical="top"/>
    </xf>
    <xf numFmtId="0" fontId="28" fillId="0" borderId="27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right" vertical="center"/>
    </xf>
    <xf numFmtId="3" fontId="28" fillId="0" borderId="27" xfId="0" applyNumberFormat="1" applyFont="1" applyFill="1" applyBorder="1" applyAlignment="1">
      <alignment vertical="center"/>
    </xf>
    <xf numFmtId="0" fontId="32" fillId="0" borderId="27" xfId="0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vertical="center"/>
    </xf>
    <xf numFmtId="0" fontId="28" fillId="0" borderId="0" xfId="69" applyFont="1" applyFill="1" applyBorder="1" applyAlignment="1">
      <alignment wrapText="1"/>
      <protection/>
    </xf>
    <xf numFmtId="3" fontId="28" fillId="0" borderId="0" xfId="69" applyNumberFormat="1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28" fillId="0" borderId="0" xfId="64" applyFont="1" applyFill="1" applyBorder="1" applyAlignment="1">
      <alignment wrapText="1"/>
      <protection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28" fillId="0" borderId="0" xfId="0" applyFont="1" applyFill="1" applyAlignment="1">
      <alignment horizontal="left" wrapText="1" indent="2"/>
    </xf>
    <xf numFmtId="0" fontId="45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43" fillId="0" borderId="0" xfId="69" applyFont="1" applyFill="1" applyBorder="1" applyAlignment="1">
      <alignment horizontal="left" wrapText="1"/>
      <protection/>
    </xf>
    <xf numFmtId="3" fontId="28" fillId="0" borderId="0" xfId="69" applyNumberFormat="1" applyFont="1" applyFill="1" applyBorder="1" applyAlignment="1">
      <alignment vertical="top"/>
      <protection/>
    </xf>
    <xf numFmtId="3" fontId="32" fillId="0" borderId="0" xfId="0" applyNumberFormat="1" applyFont="1" applyFill="1" applyBorder="1" applyAlignment="1">
      <alignment vertical="top"/>
    </xf>
    <xf numFmtId="3" fontId="28" fillId="0" borderId="46" xfId="69" applyNumberFormat="1" applyFont="1" applyFill="1" applyBorder="1" applyAlignment="1">
      <alignment vertical="top"/>
      <protection/>
    </xf>
    <xf numFmtId="0" fontId="32" fillId="0" borderId="2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3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46" xfId="0" applyFont="1" applyBorder="1" applyAlignment="1">
      <alignment/>
    </xf>
    <xf numFmtId="3" fontId="24" fillId="0" borderId="14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/>
    </xf>
    <xf numFmtId="3" fontId="23" fillId="0" borderId="0" xfId="66" applyNumberFormat="1" applyFont="1" applyFill="1" applyBorder="1" applyAlignment="1">
      <alignment horizontal="left"/>
      <protection/>
    </xf>
    <xf numFmtId="3" fontId="30" fillId="0" borderId="59" xfId="0" applyNumberFormat="1" applyFont="1" applyFill="1" applyBorder="1" applyAlignment="1">
      <alignment vertical="center"/>
    </xf>
    <xf numFmtId="3" fontId="30" fillId="0" borderId="46" xfId="0" applyNumberFormat="1" applyFont="1" applyFill="1" applyBorder="1" applyAlignment="1">
      <alignment vertical="center"/>
    </xf>
    <xf numFmtId="3" fontId="24" fillId="0" borderId="46" xfId="66" applyNumberFormat="1" applyFont="1" applyFill="1" applyBorder="1" applyAlignment="1">
      <alignment vertical="center"/>
      <protection/>
    </xf>
    <xf numFmtId="3" fontId="24" fillId="0" borderId="46" xfId="0" applyNumberFormat="1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10" xfId="66" applyNumberFormat="1" applyFont="1" applyFill="1" applyBorder="1" applyAlignment="1">
      <alignment vertical="center"/>
      <protection/>
    </xf>
    <xf numFmtId="3" fontId="35" fillId="0" borderId="10" xfId="0" applyNumberFormat="1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23" fillId="0" borderId="59" xfId="0" applyNumberFormat="1" applyFont="1" applyFill="1" applyBorder="1" applyAlignment="1">
      <alignment vertical="top"/>
    </xf>
    <xf numFmtId="3" fontId="23" fillId="0" borderId="0" xfId="66" applyNumberFormat="1" applyFont="1" applyFill="1" applyBorder="1" applyAlignment="1">
      <alignment horizontal="left" wrapText="1"/>
      <protection/>
    </xf>
    <xf numFmtId="3" fontId="30" fillId="0" borderId="59" xfId="0" applyNumberFormat="1" applyFont="1" applyFill="1" applyBorder="1" applyAlignment="1">
      <alignment vertical="top"/>
    </xf>
    <xf numFmtId="3" fontId="35" fillId="0" borderId="46" xfId="0" applyNumberFormat="1" applyFont="1" applyFill="1" applyBorder="1" applyAlignment="1">
      <alignment vertical="center"/>
    </xf>
    <xf numFmtId="3" fontId="24" fillId="0" borderId="60" xfId="0" applyNumberFormat="1" applyFont="1" applyFill="1" applyBorder="1" applyAlignment="1">
      <alignment vertical="center"/>
    </xf>
    <xf numFmtId="3" fontId="24" fillId="0" borderId="48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center" vertical="top"/>
    </xf>
    <xf numFmtId="3" fontId="24" fillId="0" borderId="0" xfId="66" applyNumberFormat="1" applyFont="1" applyFill="1" applyBorder="1" applyAlignment="1">
      <alignment vertical="top"/>
      <protection/>
    </xf>
    <xf numFmtId="3" fontId="24" fillId="0" borderId="0" xfId="0" applyNumberFormat="1" applyFont="1" applyFill="1" applyBorder="1" applyAlignment="1">
      <alignment vertical="top"/>
    </xf>
    <xf numFmtId="3" fontId="35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Alignment="1">
      <alignment vertical="top"/>
    </xf>
    <xf numFmtId="3" fontId="30" fillId="0" borderId="0" xfId="66" applyNumberFormat="1" applyFont="1" applyFill="1" applyBorder="1" applyAlignment="1">
      <alignment/>
      <protection/>
    </xf>
    <xf numFmtId="3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32" fillId="0" borderId="0" xfId="61" applyNumberFormat="1" applyFont="1" applyFill="1" applyAlignment="1">
      <alignment horizontal="center"/>
      <protection/>
    </xf>
    <xf numFmtId="3" fontId="28" fillId="0" borderId="62" xfId="61" applyNumberFormat="1" applyFont="1" applyFill="1" applyBorder="1" applyAlignment="1">
      <alignment horizontal="center"/>
      <protection/>
    </xf>
    <xf numFmtId="3" fontId="28" fillId="0" borderId="63" xfId="0" applyNumberFormat="1" applyFont="1" applyFill="1" applyBorder="1" applyAlignment="1">
      <alignment horizontal="right" wrapText="1"/>
    </xf>
    <xf numFmtId="3" fontId="32" fillId="0" borderId="37" xfId="61" applyNumberFormat="1" applyFont="1" applyFill="1" applyBorder="1" applyAlignment="1">
      <alignment/>
      <protection/>
    </xf>
    <xf numFmtId="3" fontId="32" fillId="0" borderId="37" xfId="61" applyNumberFormat="1" applyFont="1" applyFill="1" applyBorder="1" applyAlignment="1">
      <alignment horizontal="center"/>
      <protection/>
    </xf>
    <xf numFmtId="3" fontId="32" fillId="0" borderId="37" xfId="0" applyNumberFormat="1" applyFont="1" applyFill="1" applyBorder="1" applyAlignment="1">
      <alignment horizontal="right" wrapText="1"/>
    </xf>
    <xf numFmtId="3" fontId="32" fillId="0" borderId="63" xfId="0" applyNumberFormat="1" applyFont="1" applyFill="1" applyBorder="1" applyAlignment="1">
      <alignment horizontal="right" wrapText="1"/>
    </xf>
    <xf numFmtId="3" fontId="25" fillId="0" borderId="37" xfId="61" applyNumberFormat="1" applyFont="1" applyFill="1" applyBorder="1" applyAlignment="1">
      <alignment/>
      <protection/>
    </xf>
    <xf numFmtId="3" fontId="25" fillId="0" borderId="37" xfId="61" applyNumberFormat="1" applyFont="1" applyFill="1" applyBorder="1" applyAlignment="1">
      <alignment horizontal="center"/>
      <protection/>
    </xf>
    <xf numFmtId="3" fontId="31" fillId="0" borderId="37" xfId="61" applyNumberFormat="1" applyFont="1" applyFill="1" applyBorder="1" applyAlignment="1">
      <alignment horizontal="center"/>
      <protection/>
    </xf>
    <xf numFmtId="3" fontId="29" fillId="0" borderId="38" xfId="61" applyNumberFormat="1" applyFont="1" applyFill="1" applyBorder="1" applyAlignment="1">
      <alignment horizontal="center"/>
      <protection/>
    </xf>
    <xf numFmtId="3" fontId="29" fillId="0" borderId="37" xfId="61" applyNumberFormat="1" applyFont="1" applyFill="1" applyBorder="1" applyAlignment="1">
      <alignment horizontal="center"/>
      <protection/>
    </xf>
    <xf numFmtId="3" fontId="28" fillId="0" borderId="64" xfId="61" applyNumberFormat="1" applyFont="1" applyFill="1" applyBorder="1" applyAlignment="1">
      <alignment horizontal="center"/>
      <protection/>
    </xf>
    <xf numFmtId="3" fontId="22" fillId="0" borderId="0" xfId="0" applyNumberFormat="1" applyFont="1" applyFill="1" applyBorder="1" applyAlignment="1">
      <alignment/>
    </xf>
    <xf numFmtId="0" fontId="37" fillId="0" borderId="0" xfId="68" applyFont="1" applyFill="1" applyBorder="1" applyAlignment="1">
      <alignment horizontal="center" vertical="center"/>
      <protection/>
    </xf>
    <xf numFmtId="3" fontId="22" fillId="0" borderId="17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5" fillId="0" borderId="6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25" fillId="0" borderId="4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25" fillId="0" borderId="46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0" fontId="25" fillId="0" borderId="49" xfId="0" applyFont="1" applyBorder="1" applyAlignment="1">
      <alignment/>
    </xf>
    <xf numFmtId="0" fontId="28" fillId="0" borderId="17" xfId="0" applyFont="1" applyFill="1" applyBorder="1" applyAlignment="1">
      <alignment/>
    </xf>
    <xf numFmtId="3" fontId="28" fillId="0" borderId="17" xfId="0" applyNumberFormat="1" applyFont="1" applyFill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0" fontId="38" fillId="0" borderId="14" xfId="0" applyFont="1" applyBorder="1" applyAlignment="1">
      <alignment/>
    </xf>
    <xf numFmtId="3" fontId="32" fillId="0" borderId="19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23" fillId="0" borderId="17" xfId="0" applyNumberFormat="1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24" fillId="0" borderId="13" xfId="61" applyNumberFormat="1" applyFont="1" applyBorder="1" applyAlignment="1">
      <alignment horizontal="center" vertical="center" wrapText="1"/>
      <protection/>
    </xf>
    <xf numFmtId="3" fontId="25" fillId="0" borderId="25" xfId="0" applyNumberFormat="1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3" fontId="28" fillId="0" borderId="46" xfId="0" applyNumberFormat="1" applyFont="1" applyBorder="1" applyAlignment="1">
      <alignment/>
    </xf>
    <xf numFmtId="3" fontId="26" fillId="0" borderId="16" xfId="0" applyNumberFormat="1" applyFont="1" applyBorder="1" applyAlignment="1">
      <alignment vertical="center"/>
    </xf>
    <xf numFmtId="3" fontId="46" fillId="0" borderId="0" xfId="61" applyNumberFormat="1" applyFont="1" applyFill="1" applyAlignment="1">
      <alignment horizontal="right"/>
      <protection/>
    </xf>
    <xf numFmtId="49" fontId="22" fillId="0" borderId="23" xfId="61" applyNumberFormat="1" applyFont="1" applyFill="1" applyBorder="1" applyAlignment="1">
      <alignment horizontal="center" vertical="center" textRotation="90"/>
      <protection/>
    </xf>
    <xf numFmtId="3" fontId="22" fillId="0" borderId="13" xfId="61" applyNumberFormat="1" applyFont="1" applyFill="1" applyBorder="1" applyAlignment="1">
      <alignment horizontal="center" vertical="center" textRotation="90"/>
      <protection/>
    </xf>
    <xf numFmtId="3" fontId="22" fillId="0" borderId="13" xfId="61" applyNumberFormat="1" applyFont="1" applyFill="1" applyBorder="1" applyAlignment="1">
      <alignment horizontal="center" vertical="center" wrapText="1"/>
      <protection/>
    </xf>
    <xf numFmtId="3" fontId="24" fillId="0" borderId="13" xfId="61" applyNumberFormat="1" applyFont="1" applyFill="1" applyBorder="1" applyAlignment="1">
      <alignment horizontal="center" vertical="center"/>
      <protection/>
    </xf>
    <xf numFmtId="3" fontId="25" fillId="0" borderId="19" xfId="61" applyNumberFormat="1" applyFont="1" applyFill="1" applyBorder="1" applyAlignment="1">
      <alignment vertical="center"/>
      <protection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20" xfId="0" applyNumberFormat="1" applyFont="1" applyFill="1" applyBorder="1" applyAlignment="1">
      <alignment vertical="center"/>
    </xf>
    <xf numFmtId="3" fontId="24" fillId="0" borderId="21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3" fillId="0" borderId="12" xfId="61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Alignment="1">
      <alignment horizontal="center" vertical="center"/>
    </xf>
    <xf numFmtId="3" fontId="23" fillId="0" borderId="0" xfId="66" applyNumberFormat="1" applyFont="1" applyFill="1" applyBorder="1" applyAlignment="1">
      <alignment vertical="center" wrapText="1"/>
      <protection/>
    </xf>
    <xf numFmtId="3" fontId="30" fillId="0" borderId="0" xfId="66" applyNumberFormat="1" applyFont="1" applyFill="1" applyBorder="1" applyAlignment="1">
      <alignment horizontal="right" vertical="center"/>
      <protection/>
    </xf>
    <xf numFmtId="3" fontId="30" fillId="0" borderId="0" xfId="66" applyNumberFormat="1" applyFont="1" applyFill="1" applyBorder="1" applyAlignment="1">
      <alignment horizontal="center" vertical="center"/>
      <protection/>
    </xf>
    <xf numFmtId="3" fontId="24" fillId="0" borderId="20" xfId="0" applyNumberFormat="1" applyFont="1" applyFill="1" applyBorder="1" applyAlignment="1">
      <alignment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9" fillId="0" borderId="17" xfId="0" applyNumberFormat="1" applyFont="1" applyFill="1" applyBorder="1" applyAlignment="1">
      <alignment vertical="center"/>
    </xf>
    <xf numFmtId="3" fontId="22" fillId="0" borderId="67" xfId="61" applyNumberFormat="1" applyFont="1" applyFill="1" applyBorder="1" applyAlignment="1">
      <alignment horizontal="center"/>
      <protection/>
    </xf>
    <xf numFmtId="3" fontId="22" fillId="0" borderId="68" xfId="61" applyNumberFormat="1" applyFont="1" applyFill="1" applyBorder="1" applyAlignment="1">
      <alignment horizontal="center"/>
      <protection/>
    </xf>
    <xf numFmtId="3" fontId="28" fillId="0" borderId="68" xfId="61" applyNumberFormat="1" applyFont="1" applyFill="1" applyBorder="1" applyAlignment="1">
      <alignment/>
      <protection/>
    </xf>
    <xf numFmtId="3" fontId="28" fillId="0" borderId="68" xfId="61" applyNumberFormat="1" applyFont="1" applyFill="1" applyBorder="1" applyAlignment="1">
      <alignment horizontal="center"/>
      <protection/>
    </xf>
    <xf numFmtId="3" fontId="22" fillId="0" borderId="0" xfId="61" applyNumberFormat="1" applyFont="1" applyFill="1" applyBorder="1" applyAlignment="1">
      <alignment horizontal="center"/>
      <protection/>
    </xf>
    <xf numFmtId="3" fontId="28" fillId="0" borderId="37" xfId="61" applyNumberFormat="1" applyFont="1" applyFill="1" applyBorder="1" applyAlignment="1">
      <alignment horizontal="right"/>
      <protection/>
    </xf>
    <xf numFmtId="3" fontId="25" fillId="0" borderId="37" xfId="61" applyNumberFormat="1" applyFont="1" applyFill="1" applyBorder="1" applyAlignment="1">
      <alignment horizontal="right"/>
      <protection/>
    </xf>
    <xf numFmtId="3" fontId="32" fillId="0" borderId="37" xfId="61" applyNumberFormat="1" applyFont="1" applyFill="1" applyBorder="1" applyAlignment="1">
      <alignment horizontal="right"/>
      <protection/>
    </xf>
    <xf numFmtId="3" fontId="38" fillId="0" borderId="37" xfId="61" applyNumberFormat="1" applyFont="1" applyFill="1" applyBorder="1" applyAlignment="1">
      <alignment horizontal="right"/>
      <protection/>
    </xf>
    <xf numFmtId="3" fontId="23" fillId="0" borderId="41" xfId="63" applyNumberFormat="1" applyFont="1" applyFill="1" applyBorder="1" applyAlignment="1">
      <alignment/>
      <protection/>
    </xf>
    <xf numFmtId="3" fontId="23" fillId="0" borderId="41" xfId="63" applyNumberFormat="1" applyFont="1" applyFill="1" applyBorder="1" applyAlignment="1">
      <alignment vertical="top"/>
      <protection/>
    </xf>
    <xf numFmtId="3" fontId="23" fillId="0" borderId="41" xfId="67" applyNumberFormat="1" applyFont="1" applyFill="1" applyBorder="1" applyAlignment="1">
      <alignment vertical="top"/>
      <protection/>
    </xf>
    <xf numFmtId="3" fontId="37" fillId="0" borderId="17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 vertical="top"/>
    </xf>
    <xf numFmtId="3" fontId="37" fillId="0" borderId="0" xfId="0" applyNumberFormat="1" applyFont="1" applyFill="1" applyBorder="1" applyAlignment="1">
      <alignment/>
    </xf>
    <xf numFmtId="0" fontId="23" fillId="0" borderId="0" xfId="67" applyFont="1" applyFill="1" applyBorder="1" applyAlignment="1">
      <alignment horizontal="center" vertical="top" wrapText="1"/>
      <protection/>
    </xf>
    <xf numFmtId="0" fontId="23" fillId="0" borderId="0" xfId="67" applyFont="1" applyFill="1" applyBorder="1" applyAlignment="1">
      <alignment vertical="top" wrapText="1"/>
      <protection/>
    </xf>
    <xf numFmtId="3" fontId="23" fillId="0" borderId="0" xfId="67" applyNumberFormat="1" applyFont="1" applyFill="1" applyBorder="1" applyAlignment="1">
      <alignment vertical="top"/>
      <protection/>
    </xf>
    <xf numFmtId="3" fontId="24" fillId="0" borderId="0" xfId="67" applyNumberFormat="1" applyFont="1" applyFill="1" applyBorder="1" applyAlignment="1">
      <alignment vertical="top"/>
      <protection/>
    </xf>
    <xf numFmtId="0" fontId="23" fillId="0" borderId="0" xfId="67" applyFont="1" applyFill="1" applyBorder="1" applyAlignment="1">
      <alignment vertical="top"/>
      <protection/>
    </xf>
    <xf numFmtId="3" fontId="23" fillId="0" borderId="0" xfId="67" applyNumberFormat="1" applyFont="1" applyFill="1" applyBorder="1" applyAlignment="1">
      <alignment horizontal="center"/>
      <protection/>
    </xf>
    <xf numFmtId="0" fontId="23" fillId="0" borderId="42" xfId="67" applyFont="1" applyFill="1" applyBorder="1" applyAlignment="1">
      <alignment horizontal="center" vertical="center" textRotation="90" wrapText="1"/>
      <protection/>
    </xf>
    <xf numFmtId="3" fontId="24" fillId="0" borderId="42" xfId="67" applyNumberFormat="1" applyFont="1" applyFill="1" applyBorder="1" applyAlignment="1">
      <alignment horizontal="center" vertical="center" wrapText="1"/>
      <protection/>
    </xf>
    <xf numFmtId="3" fontId="24" fillId="0" borderId="0" xfId="67" applyNumberFormat="1" applyFont="1" applyFill="1" applyBorder="1">
      <alignment/>
      <protection/>
    </xf>
    <xf numFmtId="3" fontId="23" fillId="0" borderId="19" xfId="67" applyNumberFormat="1" applyFont="1" applyFill="1" applyBorder="1">
      <alignment/>
      <protection/>
    </xf>
    <xf numFmtId="0" fontId="23" fillId="0" borderId="41" xfId="67" applyNumberFormat="1" applyFont="1" applyFill="1" applyBorder="1" applyAlignment="1">
      <alignment wrapText="1"/>
      <protection/>
    </xf>
    <xf numFmtId="0" fontId="23" fillId="0" borderId="41" xfId="67" applyFont="1" applyFill="1" applyBorder="1" applyAlignment="1">
      <alignment/>
      <protection/>
    </xf>
    <xf numFmtId="0" fontId="23" fillId="0" borderId="43" xfId="67" applyFont="1" applyFill="1" applyBorder="1" applyAlignment="1">
      <alignment horizontal="center" wrapText="1"/>
      <protection/>
    </xf>
    <xf numFmtId="3" fontId="23" fillId="0" borderId="43" xfId="67" applyNumberFormat="1" applyFont="1" applyFill="1" applyBorder="1" applyAlignment="1">
      <alignment/>
      <protection/>
    </xf>
    <xf numFmtId="0" fontId="23" fillId="0" borderId="41" xfId="63" applyFont="1" applyFill="1" applyBorder="1" applyAlignment="1">
      <alignment horizontal="left" wrapText="1" indent="1"/>
      <protection/>
    </xf>
    <xf numFmtId="3" fontId="23" fillId="0" borderId="41" xfId="62" applyNumberFormat="1" applyFont="1" applyFill="1" applyBorder="1" applyAlignment="1">
      <alignment horizontal="right" vertical="top"/>
      <protection/>
    </xf>
    <xf numFmtId="3" fontId="23" fillId="0" borderId="17" xfId="0" applyNumberFormat="1" applyFont="1" applyFill="1" applyBorder="1" applyAlignment="1">
      <alignment horizontal="center"/>
    </xf>
    <xf numFmtId="3" fontId="23" fillId="0" borderId="0" xfId="67" applyNumberFormat="1" applyFont="1" applyFill="1" applyBorder="1" applyAlignment="1">
      <alignment/>
      <protection/>
    </xf>
    <xf numFmtId="3" fontId="24" fillId="0" borderId="0" xfId="67" applyNumberFormat="1" applyFont="1" applyFill="1" applyBorder="1" applyAlignment="1">
      <alignment/>
      <protection/>
    </xf>
    <xf numFmtId="3" fontId="24" fillId="0" borderId="17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3" fontId="47" fillId="0" borderId="13" xfId="61" applyNumberFormat="1" applyFont="1" applyFill="1" applyBorder="1" applyAlignment="1">
      <alignment horizontal="center" vertical="center" wrapText="1"/>
      <protection/>
    </xf>
    <xf numFmtId="3" fontId="26" fillId="0" borderId="58" xfId="61" applyNumberFormat="1" applyFont="1" applyFill="1" applyBorder="1" applyAlignment="1">
      <alignment horizontal="center" vertical="center" wrapText="1"/>
      <protection/>
    </xf>
    <xf numFmtId="3" fontId="26" fillId="0" borderId="0" xfId="61" applyNumberFormat="1" applyFont="1" applyBorder="1" applyAlignment="1">
      <alignment horizontal="right" wrapText="1"/>
      <protection/>
    </xf>
    <xf numFmtId="3" fontId="26" fillId="0" borderId="19" xfId="61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26" fillId="0" borderId="48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28" fillId="0" borderId="46" xfId="0" applyFont="1" applyBorder="1" applyAlignment="1">
      <alignment horizontal="center" vertical="center"/>
    </xf>
    <xf numFmtId="3" fontId="25" fillId="0" borderId="46" xfId="0" applyNumberFormat="1" applyFont="1" applyFill="1" applyBorder="1" applyAlignment="1">
      <alignment/>
    </xf>
    <xf numFmtId="3" fontId="25" fillId="0" borderId="46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2" fillId="0" borderId="0" xfId="61" applyNumberFormat="1" applyFont="1" applyFill="1" applyBorder="1" applyAlignment="1">
      <alignment/>
      <protection/>
    </xf>
    <xf numFmtId="3" fontId="28" fillId="0" borderId="0" xfId="61" applyNumberFormat="1" applyFont="1" applyFill="1" applyAlignment="1">
      <alignment horizontal="right" vertical="center"/>
      <protection/>
    </xf>
    <xf numFmtId="3" fontId="31" fillId="0" borderId="0" xfId="0" applyNumberFormat="1" applyFont="1" applyBorder="1" applyAlignment="1">
      <alignment vertical="center"/>
    </xf>
    <xf numFmtId="3" fontId="23" fillId="0" borderId="0" xfId="66" applyNumberFormat="1" applyFont="1" applyFill="1" applyBorder="1" applyAlignment="1">
      <alignment horizontal="left" indent="1"/>
      <protection/>
    </xf>
    <xf numFmtId="3" fontId="30" fillId="0" borderId="0" xfId="66" applyNumberFormat="1" applyFont="1" applyFill="1" applyBorder="1" applyAlignment="1">
      <alignment horizontal="left" indent="1"/>
      <protection/>
    </xf>
    <xf numFmtId="3" fontId="24" fillId="0" borderId="0" xfId="66" applyNumberFormat="1" applyFont="1" applyFill="1" applyBorder="1" applyAlignment="1">
      <alignment horizontal="left" vertical="center" indent="1"/>
      <protection/>
    </xf>
    <xf numFmtId="3" fontId="23" fillId="0" borderId="0" xfId="66" applyNumberFormat="1" applyFont="1" applyFill="1" applyBorder="1" applyAlignment="1">
      <alignment horizontal="left" wrapText="1" indent="1"/>
      <protection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35" xfId="66" applyNumberFormat="1" applyFont="1" applyFill="1" applyBorder="1" applyAlignment="1">
      <alignment vertical="center"/>
      <protection/>
    </xf>
    <xf numFmtId="3" fontId="29" fillId="0" borderId="35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30" fillId="0" borderId="0" xfId="66" applyNumberFormat="1" applyFont="1" applyFill="1" applyBorder="1" applyAlignment="1">
      <alignment horizontal="left"/>
      <protection/>
    </xf>
    <xf numFmtId="3" fontId="24" fillId="0" borderId="0" xfId="66" applyNumberFormat="1" applyFont="1" applyFill="1" applyBorder="1" applyAlignment="1">
      <alignment horizontal="left" vertical="center"/>
      <protection/>
    </xf>
    <xf numFmtId="3" fontId="24" fillId="0" borderId="35" xfId="66" applyNumberFormat="1" applyFont="1" applyFill="1" applyBorder="1" applyAlignment="1">
      <alignment horizontal="left" vertical="center"/>
      <protection/>
    </xf>
    <xf numFmtId="3" fontId="30" fillId="0" borderId="0" xfId="0" applyNumberFormat="1" applyFont="1" applyFill="1" applyBorder="1" applyAlignment="1">
      <alignment vertical="top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66" applyNumberFormat="1" applyFont="1" applyFill="1" applyBorder="1" applyAlignment="1">
      <alignment horizontal="left" vertical="center"/>
      <protection/>
    </xf>
    <xf numFmtId="3" fontId="48" fillId="0" borderId="0" xfId="0" applyNumberFormat="1" applyFont="1" applyFill="1" applyBorder="1" applyAlignment="1">
      <alignment vertical="center"/>
    </xf>
    <xf numFmtId="3" fontId="23" fillId="0" borderId="69" xfId="0" applyNumberFormat="1" applyFont="1" applyFill="1" applyBorder="1" applyAlignment="1">
      <alignment horizontal="center"/>
    </xf>
    <xf numFmtId="3" fontId="23" fillId="0" borderId="70" xfId="0" applyNumberFormat="1" applyFont="1" applyFill="1" applyBorder="1" applyAlignment="1">
      <alignment horizontal="center"/>
    </xf>
    <xf numFmtId="3" fontId="23" fillId="0" borderId="70" xfId="66" applyNumberFormat="1" applyFont="1" applyFill="1" applyBorder="1" applyAlignment="1">
      <alignment wrapText="1"/>
      <protection/>
    </xf>
    <xf numFmtId="3" fontId="23" fillId="0" borderId="0" xfId="66" applyNumberFormat="1" applyFont="1" applyFill="1" applyBorder="1" applyAlignment="1">
      <alignment horizontal="left" vertical="center"/>
      <protection/>
    </xf>
    <xf numFmtId="3" fontId="24" fillId="0" borderId="0" xfId="66" applyNumberFormat="1" applyFont="1" applyFill="1" applyBorder="1" applyAlignment="1">
      <alignment horizontal="left" vertical="top"/>
      <protection/>
    </xf>
    <xf numFmtId="3" fontId="23" fillId="0" borderId="59" xfId="66" applyNumberFormat="1" applyFont="1" applyFill="1" applyBorder="1" applyAlignment="1">
      <alignment vertical="center" wrapText="1"/>
      <protection/>
    </xf>
    <xf numFmtId="3" fontId="22" fillId="0" borderId="59" xfId="0" applyNumberFormat="1" applyFont="1" applyFill="1" applyBorder="1" applyAlignment="1">
      <alignment vertical="center"/>
    </xf>
    <xf numFmtId="3" fontId="30" fillId="0" borderId="0" xfId="66" applyNumberFormat="1" applyFont="1" applyFill="1" applyBorder="1" applyAlignment="1">
      <alignment horizontal="left" vertical="center"/>
      <protection/>
    </xf>
    <xf numFmtId="3" fontId="24" fillId="0" borderId="0" xfId="66" applyNumberFormat="1" applyFont="1" applyFill="1" applyBorder="1" applyAlignment="1">
      <alignment horizontal="left" vertical="top" indent="1"/>
      <protection/>
    </xf>
    <xf numFmtId="3" fontId="24" fillId="0" borderId="17" xfId="66" applyNumberFormat="1" applyFont="1" applyFill="1" applyBorder="1" applyAlignment="1">
      <alignment vertical="center" wrapText="1"/>
      <protection/>
    </xf>
    <xf numFmtId="3" fontId="2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 vertical="center"/>
    </xf>
    <xf numFmtId="3" fontId="24" fillId="0" borderId="59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vertical="center"/>
    </xf>
    <xf numFmtId="3" fontId="35" fillId="0" borderId="0" xfId="66" applyNumberFormat="1" applyFont="1" applyFill="1" applyBorder="1" applyAlignment="1">
      <alignment horizontal="center" vertical="center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36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top"/>
    </xf>
    <xf numFmtId="3" fontId="22" fillId="22" borderId="0" xfId="61" applyNumberFormat="1" applyFont="1" applyFill="1" applyAlignment="1">
      <alignment horizontal="center"/>
      <protection/>
    </xf>
    <xf numFmtId="49" fontId="28" fillId="22" borderId="0" xfId="61" applyNumberFormat="1" applyFont="1" applyFill="1" applyAlignment="1">
      <alignment horizontal="center"/>
      <protection/>
    </xf>
    <xf numFmtId="3" fontId="28" fillId="22" borderId="0" xfId="61" applyNumberFormat="1" applyFont="1" applyFill="1" applyAlignment="1">
      <alignment horizontal="center"/>
      <protection/>
    </xf>
    <xf numFmtId="3" fontId="28" fillId="22" borderId="0" xfId="61" applyNumberFormat="1" applyFont="1" applyFill="1">
      <alignment/>
      <protection/>
    </xf>
    <xf numFmtId="0" fontId="23" fillId="22" borderId="0" xfId="0" applyFont="1" applyFill="1" applyAlignment="1">
      <alignment horizontal="center" vertical="top"/>
    </xf>
    <xf numFmtId="0" fontId="28" fillId="22" borderId="0" xfId="0" applyFont="1" applyFill="1" applyAlignment="1">
      <alignment horizontal="center"/>
    </xf>
    <xf numFmtId="0" fontId="28" fillId="22" borderId="0" xfId="0" applyFont="1" applyFill="1" applyAlignment="1">
      <alignment/>
    </xf>
    <xf numFmtId="3" fontId="28" fillId="22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3" fontId="25" fillId="0" borderId="0" xfId="61" applyNumberFormat="1" applyFont="1" applyFill="1" applyAlignment="1">
      <alignment/>
      <protection/>
    </xf>
    <xf numFmtId="0" fontId="25" fillId="0" borderId="0" xfId="61" applyFont="1" applyFill="1" applyBorder="1" applyAlignment="1">
      <alignment/>
      <protection/>
    </xf>
    <xf numFmtId="3" fontId="28" fillId="0" borderId="37" xfId="61" applyNumberFormat="1" applyFont="1" applyFill="1" applyBorder="1" applyAlignment="1">
      <alignment wrapText="1"/>
      <protection/>
    </xf>
    <xf numFmtId="3" fontId="22" fillId="0" borderId="71" xfId="61" applyNumberFormat="1" applyFont="1" applyFill="1" applyBorder="1" applyAlignment="1">
      <alignment horizontal="center"/>
      <protection/>
    </xf>
    <xf numFmtId="3" fontId="28" fillId="0" borderId="72" xfId="61" applyNumberFormat="1" applyFont="1" applyFill="1" applyBorder="1" applyAlignment="1">
      <alignment horizontal="center"/>
      <protection/>
    </xf>
    <xf numFmtId="3" fontId="28" fillId="0" borderId="72" xfId="61" applyNumberFormat="1" applyFont="1" applyFill="1" applyBorder="1" applyAlignment="1">
      <alignment horizontal="right"/>
      <protection/>
    </xf>
    <xf numFmtId="3" fontId="28" fillId="0" borderId="72" xfId="0" applyNumberFormat="1" applyFont="1" applyFill="1" applyBorder="1" applyAlignment="1">
      <alignment horizontal="right" wrapText="1"/>
    </xf>
    <xf numFmtId="3" fontId="28" fillId="0" borderId="73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3" fontId="25" fillId="0" borderId="0" xfId="61" applyNumberFormat="1" applyFont="1" applyFill="1" applyBorder="1" applyAlignment="1">
      <alignment/>
      <protection/>
    </xf>
    <xf numFmtId="3" fontId="28" fillId="0" borderId="62" xfId="61" applyNumberFormat="1" applyFont="1" applyFill="1" applyBorder="1" applyAlignment="1">
      <alignment horizontal="right"/>
      <protection/>
    </xf>
    <xf numFmtId="3" fontId="31" fillId="0" borderId="67" xfId="61" applyNumberFormat="1" applyFont="1" applyFill="1" applyBorder="1" applyAlignment="1">
      <alignment horizontal="center"/>
      <protection/>
    </xf>
    <xf numFmtId="3" fontId="31" fillId="0" borderId="68" xfId="61" applyNumberFormat="1" applyFont="1" applyFill="1" applyBorder="1" applyAlignment="1">
      <alignment horizontal="center"/>
      <protection/>
    </xf>
    <xf numFmtId="3" fontId="32" fillId="0" borderId="68" xfId="61" applyNumberFormat="1" applyFont="1" applyFill="1" applyBorder="1" applyAlignment="1">
      <alignment/>
      <protection/>
    </xf>
    <xf numFmtId="3" fontId="32" fillId="0" borderId="68" xfId="61" applyNumberFormat="1" applyFont="1" applyFill="1" applyBorder="1" applyAlignment="1">
      <alignment horizontal="center"/>
      <protection/>
    </xf>
    <xf numFmtId="3" fontId="25" fillId="0" borderId="68" xfId="61" applyNumberFormat="1" applyFont="1" applyFill="1" applyBorder="1" applyAlignment="1">
      <alignment horizontal="left" indent="2"/>
      <protection/>
    </xf>
    <xf numFmtId="3" fontId="28" fillId="0" borderId="37" xfId="61" applyNumberFormat="1" applyFont="1" applyFill="1" applyBorder="1" applyAlignment="1">
      <alignment horizontal="left" indent="2"/>
      <protection/>
    </xf>
    <xf numFmtId="3" fontId="32" fillId="0" borderId="37" xfId="61" applyNumberFormat="1" applyFont="1" applyFill="1" applyBorder="1" applyAlignment="1">
      <alignment horizontal="left" indent="2"/>
      <protection/>
    </xf>
    <xf numFmtId="3" fontId="32" fillId="0" borderId="37" xfId="61" applyNumberFormat="1" applyFont="1" applyFill="1" applyBorder="1" applyAlignment="1">
      <alignment horizontal="left" indent="1"/>
      <protection/>
    </xf>
    <xf numFmtId="3" fontId="28" fillId="0" borderId="37" xfId="61" applyNumberFormat="1" applyFont="1" applyFill="1" applyBorder="1" applyAlignment="1">
      <alignment horizontal="left" indent="1"/>
      <protection/>
    </xf>
    <xf numFmtId="3" fontId="25" fillId="0" borderId="37" xfId="61" applyNumberFormat="1" applyFont="1" applyFill="1" applyBorder="1" applyAlignment="1">
      <alignment horizontal="left" indent="1"/>
      <protection/>
    </xf>
    <xf numFmtId="3" fontId="22" fillId="0" borderId="37" xfId="61" applyNumberFormat="1" applyFont="1" applyFill="1" applyBorder="1" applyAlignment="1">
      <alignment horizontal="center" vertical="center"/>
      <protection/>
    </xf>
    <xf numFmtId="3" fontId="23" fillId="0" borderId="74" xfId="0" applyNumberFormat="1" applyFont="1" applyFill="1" applyBorder="1" applyAlignment="1">
      <alignment horizontal="center" vertical="center" wrapText="1"/>
    </xf>
    <xf numFmtId="3" fontId="38" fillId="0" borderId="37" xfId="61" applyNumberFormat="1" applyFont="1" applyFill="1" applyBorder="1" applyAlignment="1">
      <alignment horizontal="center"/>
      <protection/>
    </xf>
    <xf numFmtId="3" fontId="28" fillId="0" borderId="63" xfId="61" applyNumberFormat="1" applyFont="1" applyFill="1" applyBorder="1" applyAlignment="1">
      <alignment horizontal="right"/>
      <protection/>
    </xf>
    <xf numFmtId="3" fontId="32" fillId="0" borderId="63" xfId="61" applyNumberFormat="1" applyFont="1" applyFill="1" applyBorder="1" applyAlignment="1">
      <alignment horizontal="right"/>
      <protection/>
    </xf>
    <xf numFmtId="3" fontId="28" fillId="0" borderId="75" xfId="61" applyNumberFormat="1" applyFont="1" applyFill="1" applyBorder="1" applyAlignment="1">
      <alignment/>
      <protection/>
    </xf>
    <xf numFmtId="3" fontId="25" fillId="0" borderId="63" xfId="61" applyNumberFormat="1" applyFont="1" applyFill="1" applyBorder="1" applyAlignment="1">
      <alignment horizontal="right"/>
      <protection/>
    </xf>
    <xf numFmtId="3" fontId="28" fillId="0" borderId="63" xfId="61" applyNumberFormat="1" applyFont="1" applyFill="1" applyBorder="1" applyAlignment="1">
      <alignment horizontal="center"/>
      <protection/>
    </xf>
    <xf numFmtId="3" fontId="38" fillId="0" borderId="63" xfId="61" applyNumberFormat="1" applyFont="1" applyFill="1" applyBorder="1" applyAlignment="1">
      <alignment horizontal="right"/>
      <protection/>
    </xf>
    <xf numFmtId="3" fontId="22" fillId="0" borderId="76" xfId="61" applyNumberFormat="1" applyFont="1" applyFill="1" applyBorder="1" applyAlignment="1">
      <alignment horizontal="center" vertical="center"/>
      <protection/>
    </xf>
    <xf numFmtId="3" fontId="22" fillId="0" borderId="77" xfId="61" applyNumberFormat="1" applyFont="1" applyFill="1" applyBorder="1" applyAlignment="1">
      <alignment horizontal="center" vertical="center"/>
      <protection/>
    </xf>
    <xf numFmtId="3" fontId="25" fillId="0" borderId="77" xfId="61" applyNumberFormat="1" applyFont="1" applyFill="1" applyBorder="1" applyAlignment="1">
      <alignment horizontal="left" vertical="center"/>
      <protection/>
    </xf>
    <xf numFmtId="3" fontId="25" fillId="0" borderId="77" xfId="61" applyNumberFormat="1" applyFont="1" applyFill="1" applyBorder="1" applyAlignment="1">
      <alignment horizontal="center" vertical="center"/>
      <protection/>
    </xf>
    <xf numFmtId="3" fontId="25" fillId="0" borderId="77" xfId="61" applyNumberFormat="1" applyFont="1" applyFill="1" applyBorder="1" applyAlignment="1">
      <alignment horizontal="right" vertical="center"/>
      <protection/>
    </xf>
    <xf numFmtId="3" fontId="28" fillId="0" borderId="77" xfId="61" applyNumberFormat="1" applyFont="1" applyFill="1" applyBorder="1" applyAlignment="1">
      <alignment vertical="center"/>
      <protection/>
    </xf>
    <xf numFmtId="3" fontId="28" fillId="0" borderId="78" xfId="61" applyNumberFormat="1" applyFont="1" applyFill="1" applyBorder="1" applyAlignment="1">
      <alignment vertical="center"/>
      <protection/>
    </xf>
    <xf numFmtId="3" fontId="25" fillId="0" borderId="37" xfId="61" applyNumberFormat="1" applyFont="1" applyFill="1" applyBorder="1" applyAlignment="1">
      <alignment horizontal="left" vertical="center"/>
      <protection/>
    </xf>
    <xf numFmtId="3" fontId="25" fillId="0" borderId="37" xfId="61" applyNumberFormat="1" applyFont="1" applyFill="1" applyBorder="1" applyAlignment="1">
      <alignment horizontal="center" vertical="center"/>
      <protection/>
    </xf>
    <xf numFmtId="3" fontId="25" fillId="0" borderId="37" xfId="61" applyNumberFormat="1" applyFont="1" applyFill="1" applyBorder="1" applyAlignment="1">
      <alignment horizontal="right" vertical="center"/>
      <protection/>
    </xf>
    <xf numFmtId="3" fontId="28" fillId="0" borderId="37" xfId="61" applyNumberFormat="1" applyFont="1" applyFill="1" applyBorder="1" applyAlignment="1">
      <alignment horizontal="right" vertical="center"/>
      <protection/>
    </xf>
    <xf numFmtId="3" fontId="28" fillId="0" borderId="63" xfId="61" applyNumberFormat="1" applyFont="1" applyFill="1" applyBorder="1" applyAlignment="1">
      <alignment horizontal="right" vertical="center"/>
      <protection/>
    </xf>
    <xf numFmtId="3" fontId="31" fillId="0" borderId="38" xfId="61" applyNumberFormat="1" applyFont="1" applyFill="1" applyBorder="1" applyAlignment="1">
      <alignment horizontal="center" vertical="center"/>
      <protection/>
    </xf>
    <xf numFmtId="3" fontId="31" fillId="0" borderId="37" xfId="61" applyNumberFormat="1" applyFont="1" applyFill="1" applyBorder="1" applyAlignment="1">
      <alignment horizontal="center" vertical="center"/>
      <protection/>
    </xf>
    <xf numFmtId="3" fontId="32" fillId="0" borderId="37" xfId="61" applyNumberFormat="1" applyFont="1" applyFill="1" applyBorder="1" applyAlignment="1">
      <alignment horizontal="left" vertical="center"/>
      <protection/>
    </xf>
    <xf numFmtId="3" fontId="32" fillId="0" borderId="37" xfId="61" applyNumberFormat="1" applyFont="1" applyFill="1" applyBorder="1" applyAlignment="1">
      <alignment horizontal="center" vertical="center"/>
      <protection/>
    </xf>
    <xf numFmtId="3" fontId="32" fillId="0" borderId="37" xfId="61" applyNumberFormat="1" applyFont="1" applyFill="1" applyBorder="1" applyAlignment="1">
      <alignment horizontal="right" vertical="center"/>
      <protection/>
    </xf>
    <xf numFmtId="3" fontId="32" fillId="0" borderId="0" xfId="61" applyNumberFormat="1" applyFont="1" applyFill="1" applyBorder="1" applyAlignment="1">
      <alignment vertical="center"/>
      <protection/>
    </xf>
    <xf numFmtId="3" fontId="22" fillId="0" borderId="79" xfId="61" applyNumberFormat="1" applyFont="1" applyFill="1" applyBorder="1" applyAlignment="1">
      <alignment horizontal="center" vertical="center"/>
      <protection/>
    </xf>
    <xf numFmtId="3" fontId="22" fillId="0" borderId="80" xfId="61" applyNumberFormat="1" applyFont="1" applyFill="1" applyBorder="1" applyAlignment="1">
      <alignment horizontal="center" vertical="center"/>
      <protection/>
    </xf>
    <xf numFmtId="3" fontId="25" fillId="0" borderId="80" xfId="61" applyNumberFormat="1" applyFont="1" applyFill="1" applyBorder="1" applyAlignment="1">
      <alignment horizontal="left" vertical="center"/>
      <protection/>
    </xf>
    <xf numFmtId="3" fontId="25" fillId="0" borderId="80" xfId="61" applyNumberFormat="1" applyFont="1" applyFill="1" applyBorder="1" applyAlignment="1">
      <alignment horizontal="center" vertical="center"/>
      <protection/>
    </xf>
    <xf numFmtId="3" fontId="25" fillId="0" borderId="80" xfId="61" applyNumberFormat="1" applyFont="1" applyFill="1" applyBorder="1" applyAlignment="1">
      <alignment horizontal="right" vertical="center"/>
      <protection/>
    </xf>
    <xf numFmtId="3" fontId="25" fillId="0" borderId="81" xfId="61" applyNumberFormat="1" applyFont="1" applyFill="1" applyBorder="1" applyAlignment="1">
      <alignment horizontal="right" vertical="center"/>
      <protection/>
    </xf>
    <xf numFmtId="3" fontId="28" fillId="0" borderId="82" xfId="61" applyNumberFormat="1" applyFont="1" applyFill="1" applyBorder="1" applyAlignment="1">
      <alignment horizontal="right"/>
      <protection/>
    </xf>
    <xf numFmtId="3" fontId="28" fillId="0" borderId="75" xfId="61" applyNumberFormat="1" applyFont="1" applyFill="1" applyBorder="1" applyAlignment="1">
      <alignment horizontal="right"/>
      <protection/>
    </xf>
    <xf numFmtId="3" fontId="32" fillId="0" borderId="75" xfId="61" applyNumberFormat="1" applyFont="1" applyFill="1" applyBorder="1" applyAlignment="1">
      <alignment horizontal="right"/>
      <protection/>
    </xf>
    <xf numFmtId="3" fontId="25" fillId="0" borderId="75" xfId="61" applyNumberFormat="1" applyFont="1" applyFill="1" applyBorder="1" applyAlignment="1">
      <alignment horizontal="right"/>
      <protection/>
    </xf>
    <xf numFmtId="3" fontId="38" fillId="0" borderId="75" xfId="61" applyNumberFormat="1" applyFont="1" applyFill="1" applyBorder="1" applyAlignment="1">
      <alignment horizontal="right"/>
      <protection/>
    </xf>
    <xf numFmtId="3" fontId="28" fillId="0" borderId="83" xfId="61" applyNumberFormat="1" applyFont="1" applyFill="1" applyBorder="1" applyAlignment="1">
      <alignment horizontal="right"/>
      <protection/>
    </xf>
    <xf numFmtId="3" fontId="25" fillId="0" borderId="84" xfId="61" applyNumberFormat="1" applyFont="1" applyFill="1" applyBorder="1" applyAlignment="1">
      <alignment horizontal="right" vertical="center"/>
      <protection/>
    </xf>
    <xf numFmtId="3" fontId="25" fillId="0" borderId="75" xfId="61" applyNumberFormat="1" applyFont="1" applyFill="1" applyBorder="1" applyAlignment="1">
      <alignment horizontal="right" vertical="center"/>
      <protection/>
    </xf>
    <xf numFmtId="3" fontId="32" fillId="0" borderId="75" xfId="61" applyNumberFormat="1" applyFont="1" applyFill="1" applyBorder="1" applyAlignment="1">
      <alignment horizontal="right" vertical="center"/>
      <protection/>
    </xf>
    <xf numFmtId="3" fontId="25" fillId="0" borderId="85" xfId="61" applyNumberFormat="1" applyFont="1" applyFill="1" applyBorder="1" applyAlignment="1">
      <alignment horizontal="right" vertical="center"/>
      <protection/>
    </xf>
    <xf numFmtId="3" fontId="28" fillId="0" borderId="86" xfId="61" applyNumberFormat="1" applyFont="1" applyFill="1" applyBorder="1" applyAlignment="1">
      <alignment horizontal="center"/>
      <protection/>
    </xf>
    <xf numFmtId="3" fontId="28" fillId="0" borderId="87" xfId="61" applyNumberFormat="1" applyFont="1" applyFill="1" applyBorder="1" applyAlignment="1">
      <alignment horizontal="right"/>
      <protection/>
    </xf>
    <xf numFmtId="3" fontId="32" fillId="0" borderId="87" xfId="61" applyNumberFormat="1" applyFont="1" applyFill="1" applyBorder="1" applyAlignment="1">
      <alignment horizontal="right"/>
      <protection/>
    </xf>
    <xf numFmtId="3" fontId="25" fillId="0" borderId="87" xfId="61" applyNumberFormat="1" applyFont="1" applyFill="1" applyBorder="1" applyAlignment="1">
      <alignment horizontal="right"/>
      <protection/>
    </xf>
    <xf numFmtId="3" fontId="38" fillId="0" borderId="87" xfId="61" applyNumberFormat="1" applyFont="1" applyFill="1" applyBorder="1" applyAlignment="1">
      <alignment horizontal="right"/>
      <protection/>
    </xf>
    <xf numFmtId="3" fontId="28" fillId="0" borderId="88" xfId="61" applyNumberFormat="1" applyFont="1" applyFill="1" applyBorder="1" applyAlignment="1">
      <alignment horizontal="right"/>
      <protection/>
    </xf>
    <xf numFmtId="3" fontId="28" fillId="0" borderId="89" xfId="61" applyNumberFormat="1" applyFont="1" applyFill="1" applyBorder="1" applyAlignment="1">
      <alignment vertical="center"/>
      <protection/>
    </xf>
    <xf numFmtId="3" fontId="28" fillId="0" borderId="87" xfId="61" applyNumberFormat="1" applyFont="1" applyFill="1" applyBorder="1" applyAlignment="1">
      <alignment horizontal="right" vertical="center"/>
      <protection/>
    </xf>
    <xf numFmtId="3" fontId="25" fillId="0" borderId="90" xfId="61" applyNumberFormat="1" applyFont="1" applyFill="1" applyBorder="1" applyAlignment="1">
      <alignment horizontal="right" vertical="center"/>
      <protection/>
    </xf>
    <xf numFmtId="0" fontId="23" fillId="0" borderId="38" xfId="68" applyFont="1" applyFill="1" applyBorder="1" applyAlignment="1">
      <alignment horizontal="center"/>
      <protection/>
    </xf>
    <xf numFmtId="0" fontId="23" fillId="0" borderId="37" xfId="68" applyFont="1" applyFill="1" applyBorder="1" applyAlignment="1">
      <alignment horizontal="center" vertical="top"/>
      <protection/>
    </xf>
    <xf numFmtId="0" fontId="24" fillId="0" borderId="37" xfId="67" applyFont="1" applyFill="1" applyBorder="1" applyAlignment="1">
      <alignment wrapText="1"/>
      <protection/>
    </xf>
    <xf numFmtId="3" fontId="23" fillId="0" borderId="37" xfId="67" applyNumberFormat="1" applyFont="1" applyFill="1" applyBorder="1" applyAlignment="1">
      <alignment vertical="top"/>
      <protection/>
    </xf>
    <xf numFmtId="3" fontId="23" fillId="0" borderId="37" xfId="61" applyNumberFormat="1" applyFont="1" applyFill="1" applyBorder="1" applyAlignment="1">
      <alignment horizontal="right"/>
      <protection/>
    </xf>
    <xf numFmtId="0" fontId="23" fillId="0" borderId="37" xfId="67" applyFont="1" applyFill="1" applyBorder="1" applyAlignment="1">
      <alignment vertical="top" wrapText="1"/>
      <protection/>
    </xf>
    <xf numFmtId="3" fontId="23" fillId="0" borderId="37" xfId="61" applyNumberFormat="1" applyFont="1" applyFill="1" applyBorder="1" applyAlignment="1">
      <alignment horizontal="right" vertical="top"/>
      <protection/>
    </xf>
    <xf numFmtId="0" fontId="30" fillId="0" borderId="37" xfId="67" applyFont="1" applyFill="1" applyBorder="1" applyAlignment="1">
      <alignment vertical="top" wrapText="1"/>
      <protection/>
    </xf>
    <xf numFmtId="0" fontId="24" fillId="0" borderId="37" xfId="67" applyFont="1" applyFill="1" applyBorder="1" applyAlignment="1">
      <alignment vertical="top" wrapText="1"/>
      <protection/>
    </xf>
    <xf numFmtId="3" fontId="23" fillId="0" borderId="37" xfId="67" applyNumberFormat="1" applyFont="1" applyFill="1" applyBorder="1">
      <alignment/>
      <protection/>
    </xf>
    <xf numFmtId="3" fontId="24" fillId="0" borderId="37" xfId="67" applyNumberFormat="1" applyFont="1" applyFill="1" applyBorder="1" applyAlignment="1">
      <alignment horizontal="right"/>
      <protection/>
    </xf>
    <xf numFmtId="0" fontId="23" fillId="0" borderId="37" xfId="68" applyFont="1" applyFill="1" applyBorder="1" applyAlignment="1">
      <alignment horizontal="center"/>
      <protection/>
    </xf>
    <xf numFmtId="0" fontId="23" fillId="0" borderId="37" xfId="68" applyFont="1" applyFill="1" applyBorder="1" applyAlignment="1">
      <alignment horizontal="center" vertical="center"/>
      <protection/>
    </xf>
    <xf numFmtId="3" fontId="23" fillId="0" borderId="37" xfId="67" applyNumberFormat="1" applyFont="1" applyFill="1" applyBorder="1" applyAlignment="1">
      <alignment vertical="center"/>
      <protection/>
    </xf>
    <xf numFmtId="3" fontId="23" fillId="0" borderId="37" xfId="63" applyNumberFormat="1" applyFont="1" applyFill="1" applyBorder="1" applyAlignment="1">
      <alignment vertical="center"/>
      <protection/>
    </xf>
    <xf numFmtId="3" fontId="23" fillId="0" borderId="37" xfId="61" applyNumberFormat="1" applyFont="1" applyFill="1" applyBorder="1" applyAlignment="1">
      <alignment horizontal="right" vertical="center"/>
      <protection/>
    </xf>
    <xf numFmtId="3" fontId="37" fillId="0" borderId="0" xfId="0" applyNumberFormat="1" applyFont="1" applyFill="1" applyBorder="1" applyAlignment="1">
      <alignment/>
    </xf>
    <xf numFmtId="3" fontId="24" fillId="0" borderId="68" xfId="68" applyNumberFormat="1" applyFont="1" applyFill="1" applyBorder="1" applyAlignment="1">
      <alignment horizontal="right" vertical="center"/>
      <protection/>
    </xf>
    <xf numFmtId="0" fontId="23" fillId="0" borderId="91" xfId="68" applyFont="1" applyFill="1" applyBorder="1" applyAlignment="1">
      <alignment horizontal="center" vertical="top"/>
      <protection/>
    </xf>
    <xf numFmtId="3" fontId="23" fillId="0" borderId="91" xfId="67" applyNumberFormat="1" applyFont="1" applyFill="1" applyBorder="1" applyAlignment="1">
      <alignment vertical="top"/>
      <protection/>
    </xf>
    <xf numFmtId="3" fontId="23" fillId="0" borderId="91" xfId="61" applyNumberFormat="1" applyFont="1" applyFill="1" applyBorder="1" applyAlignment="1">
      <alignment horizontal="right" vertical="top"/>
      <protection/>
    </xf>
    <xf numFmtId="0" fontId="23" fillId="0" borderId="39" xfId="68" applyFont="1" applyFill="1" applyBorder="1" applyAlignment="1">
      <alignment horizontal="center" vertical="top"/>
      <protection/>
    </xf>
    <xf numFmtId="0" fontId="24" fillId="0" borderId="39" xfId="67" applyFont="1" applyFill="1" applyBorder="1" applyAlignment="1">
      <alignment vertical="top" wrapText="1"/>
      <protection/>
    </xf>
    <xf numFmtId="3" fontId="24" fillId="0" borderId="39" xfId="68" applyNumberFormat="1" applyFont="1" applyFill="1" applyBorder="1" applyAlignment="1">
      <alignment horizontal="right" vertical="center"/>
      <protection/>
    </xf>
    <xf numFmtId="0" fontId="23" fillId="0" borderId="92" xfId="68" applyFont="1" applyFill="1" applyBorder="1" applyAlignment="1">
      <alignment horizontal="center"/>
      <protection/>
    </xf>
    <xf numFmtId="0" fontId="39" fillId="0" borderId="77" xfId="68" applyFont="1" applyFill="1" applyBorder="1" applyAlignment="1">
      <alignment horizontal="left" vertical="center" wrapText="1"/>
      <protection/>
    </xf>
    <xf numFmtId="3" fontId="24" fillId="0" borderId="77" xfId="68" applyNumberFormat="1" applyFont="1" applyFill="1" applyBorder="1" applyAlignment="1">
      <alignment horizontal="center" vertical="center" wrapText="1"/>
      <protection/>
    </xf>
    <xf numFmtId="3" fontId="23" fillId="0" borderId="37" xfId="63" applyNumberFormat="1" applyFont="1" applyFill="1" applyBorder="1" applyAlignment="1">
      <alignment/>
      <protection/>
    </xf>
    <xf numFmtId="0" fontId="30" fillId="0" borderId="37" xfId="68" applyFont="1" applyFill="1" applyBorder="1" applyAlignment="1">
      <alignment horizontal="center" vertical="top"/>
      <protection/>
    </xf>
    <xf numFmtId="3" fontId="30" fillId="0" borderId="37" xfId="63" applyNumberFormat="1" applyFont="1" applyFill="1" applyBorder="1" applyAlignment="1">
      <alignment/>
      <protection/>
    </xf>
    <xf numFmtId="3" fontId="30" fillId="0" borderId="37" xfId="61" applyNumberFormat="1" applyFont="1" applyFill="1" applyBorder="1" applyAlignment="1">
      <alignment horizontal="right"/>
      <protection/>
    </xf>
    <xf numFmtId="0" fontId="24" fillId="0" borderId="37" xfId="68" applyFont="1" applyFill="1" applyBorder="1" applyAlignment="1">
      <alignment horizontal="center" vertical="top"/>
      <protection/>
    </xf>
    <xf numFmtId="3" fontId="24" fillId="0" borderId="37" xfId="63" applyNumberFormat="1" applyFont="1" applyFill="1" applyBorder="1" applyAlignment="1">
      <alignment/>
      <protection/>
    </xf>
    <xf numFmtId="3" fontId="23" fillId="0" borderId="37" xfId="63" applyNumberFormat="1" applyFont="1" applyFill="1" applyBorder="1" applyAlignment="1">
      <alignment wrapText="1"/>
      <protection/>
    </xf>
    <xf numFmtId="3" fontId="23" fillId="0" borderId="37" xfId="65" applyNumberFormat="1" applyFont="1" applyFill="1" applyBorder="1" applyAlignment="1">
      <alignment wrapText="1"/>
      <protection/>
    </xf>
    <xf numFmtId="3" fontId="23" fillId="0" borderId="37" xfId="67" applyNumberFormat="1" applyFont="1" applyFill="1" applyBorder="1" applyAlignment="1">
      <alignment horizontal="center"/>
      <protection/>
    </xf>
    <xf numFmtId="3" fontId="23" fillId="0" borderId="37" xfId="67" applyNumberFormat="1" applyFont="1" applyFill="1" applyBorder="1" applyAlignment="1">
      <alignment horizontal="right"/>
      <protection/>
    </xf>
    <xf numFmtId="3" fontId="23" fillId="0" borderId="37" xfId="65" applyNumberFormat="1" applyFont="1" applyFill="1" applyBorder="1">
      <alignment/>
      <protection/>
    </xf>
    <xf numFmtId="3" fontId="23" fillId="0" borderId="37" xfId="63" applyNumberFormat="1" applyFont="1" applyFill="1" applyBorder="1">
      <alignment/>
      <protection/>
    </xf>
    <xf numFmtId="0" fontId="23" fillId="0" borderId="37" xfId="67" applyFont="1" applyFill="1" applyBorder="1" applyAlignment="1">
      <alignment horizontal="right" vertical="top" wrapText="1"/>
      <protection/>
    </xf>
    <xf numFmtId="3" fontId="23" fillId="0" borderId="37" xfId="67" applyNumberFormat="1" applyFont="1" applyFill="1" applyBorder="1" applyAlignment="1">
      <alignment/>
      <protection/>
    </xf>
    <xf numFmtId="0" fontId="24" fillId="0" borderId="93" xfId="67" applyFont="1" applyFill="1" applyBorder="1" applyAlignment="1">
      <alignment vertical="top" wrapText="1"/>
      <protection/>
    </xf>
    <xf numFmtId="3" fontId="24" fillId="0" borderId="37" xfId="65" applyNumberFormat="1" applyFont="1" applyFill="1" applyBorder="1" applyAlignment="1">
      <alignment wrapText="1"/>
      <protection/>
    </xf>
    <xf numFmtId="0" fontId="23" fillId="0" borderId="38" xfId="68" applyFont="1" applyFill="1" applyBorder="1" applyAlignment="1">
      <alignment horizontal="center" vertical="center"/>
      <protection/>
    </xf>
    <xf numFmtId="3" fontId="30" fillId="0" borderId="37" xfId="63" applyNumberFormat="1" applyFont="1" applyFill="1" applyBorder="1">
      <alignment/>
      <protection/>
    </xf>
    <xf numFmtId="3" fontId="24" fillId="0" borderId="37" xfId="63" applyNumberFormat="1" applyFont="1" applyFill="1" applyBorder="1">
      <alignment/>
      <protection/>
    </xf>
    <xf numFmtId="3" fontId="24" fillId="0" borderId="37" xfId="65" applyNumberFormat="1" applyFont="1" applyFill="1" applyBorder="1">
      <alignment/>
      <protection/>
    </xf>
    <xf numFmtId="3" fontId="24" fillId="0" borderId="37" xfId="67" applyNumberFormat="1" applyFont="1" applyFill="1" applyBorder="1">
      <alignment/>
      <protection/>
    </xf>
    <xf numFmtId="3" fontId="23" fillId="0" borderId="37" xfId="68" applyNumberFormat="1" applyFont="1" applyFill="1" applyBorder="1" applyAlignment="1">
      <alignment horizontal="right" vertical="center"/>
      <protection/>
    </xf>
    <xf numFmtId="3" fontId="30" fillId="0" borderId="37" xfId="68" applyNumberFormat="1" applyFont="1" applyFill="1" applyBorder="1" applyAlignment="1">
      <alignment horizontal="right" vertical="center"/>
      <protection/>
    </xf>
    <xf numFmtId="3" fontId="23" fillId="0" borderId="91" xfId="63" applyNumberFormat="1" applyFont="1" applyFill="1" applyBorder="1" applyAlignment="1">
      <alignment vertical="center"/>
      <protection/>
    </xf>
    <xf numFmtId="3" fontId="23" fillId="0" borderId="91" xfId="61" applyNumberFormat="1" applyFont="1" applyFill="1" applyBorder="1" applyAlignment="1">
      <alignment horizontal="right" vertical="center"/>
      <protection/>
    </xf>
    <xf numFmtId="0" fontId="23" fillId="0" borderId="37" xfId="67" applyFont="1" applyFill="1" applyBorder="1" applyAlignment="1">
      <alignment vertical="center" wrapText="1"/>
      <protection/>
    </xf>
    <xf numFmtId="0" fontId="30" fillId="0" borderId="37" xfId="67" applyFont="1" applyFill="1" applyBorder="1" applyAlignment="1">
      <alignment vertical="center" wrapText="1"/>
      <protection/>
    </xf>
    <xf numFmtId="0" fontId="24" fillId="0" borderId="39" xfId="67" applyFont="1" applyFill="1" applyBorder="1" applyAlignment="1">
      <alignment vertical="center" wrapText="1"/>
      <protection/>
    </xf>
    <xf numFmtId="0" fontId="24" fillId="0" borderId="37" xfId="67" applyFont="1" applyFill="1" applyBorder="1" applyAlignment="1">
      <alignment horizontal="center" wrapText="1"/>
      <protection/>
    </xf>
    <xf numFmtId="0" fontId="24" fillId="0" borderId="38" xfId="68" applyFont="1" applyFill="1" applyBorder="1" applyAlignment="1">
      <alignment horizontal="center" vertical="top"/>
      <protection/>
    </xf>
    <xf numFmtId="3" fontId="24" fillId="0" borderId="37" xfId="63" applyNumberFormat="1" applyFont="1" applyFill="1" applyBorder="1" applyAlignment="1">
      <alignment vertical="top"/>
      <protection/>
    </xf>
    <xf numFmtId="0" fontId="23" fillId="0" borderId="62" xfId="68" applyFont="1" applyFill="1" applyBorder="1" applyAlignment="1">
      <alignment horizontal="center"/>
      <protection/>
    </xf>
    <xf numFmtId="3" fontId="24" fillId="0" borderId="62" xfId="68" applyNumberFormat="1" applyFont="1" applyFill="1" applyBorder="1" applyAlignment="1">
      <alignment horizontal="right"/>
      <protection/>
    </xf>
    <xf numFmtId="0" fontId="24" fillId="0" borderId="93" xfId="68" applyFont="1" applyFill="1" applyBorder="1" applyAlignment="1">
      <alignment horizontal="center" vertical="top"/>
      <protection/>
    </xf>
    <xf numFmtId="0" fontId="24" fillId="0" borderId="94" xfId="68" applyFont="1" applyFill="1" applyBorder="1" applyAlignment="1">
      <alignment horizontal="center" vertical="top"/>
      <protection/>
    </xf>
    <xf numFmtId="3" fontId="24" fillId="0" borderId="93" xfId="63" applyNumberFormat="1" applyFont="1" applyFill="1" applyBorder="1" applyAlignment="1">
      <alignment vertical="top"/>
      <protection/>
    </xf>
    <xf numFmtId="0" fontId="24" fillId="0" borderId="80" xfId="67" applyFont="1" applyFill="1" applyBorder="1" applyAlignment="1">
      <alignment vertical="center" wrapText="1"/>
      <protection/>
    </xf>
    <xf numFmtId="3" fontId="23" fillId="0" borderId="75" xfId="68" applyNumberFormat="1" applyFont="1" applyFill="1" applyBorder="1" applyAlignment="1">
      <alignment horizontal="right" vertical="center"/>
      <protection/>
    </xf>
    <xf numFmtId="3" fontId="30" fillId="0" borderId="75" xfId="68" applyNumberFormat="1" applyFont="1" applyFill="1" applyBorder="1" applyAlignment="1">
      <alignment horizontal="right" vertical="center"/>
      <protection/>
    </xf>
    <xf numFmtId="3" fontId="24" fillId="0" borderId="95" xfId="68" applyNumberFormat="1" applyFont="1" applyFill="1" applyBorder="1" applyAlignment="1">
      <alignment horizontal="right" vertical="center"/>
      <protection/>
    </xf>
    <xf numFmtId="3" fontId="23" fillId="0" borderId="96" xfId="67" applyNumberFormat="1" applyFont="1" applyFill="1" applyBorder="1" applyAlignment="1">
      <alignment vertical="top"/>
      <protection/>
    </xf>
    <xf numFmtId="3" fontId="24" fillId="0" borderId="97" xfId="68" applyNumberFormat="1" applyFont="1" applyFill="1" applyBorder="1" applyAlignment="1">
      <alignment horizontal="center" vertical="center" wrapText="1"/>
      <protection/>
    </xf>
    <xf numFmtId="3" fontId="23" fillId="0" borderId="98" xfId="65" applyNumberFormat="1" applyFont="1" applyFill="1" applyBorder="1" applyAlignment="1">
      <alignment horizontal="right"/>
      <protection/>
    </xf>
    <xf numFmtId="3" fontId="30" fillId="0" borderId="98" xfId="65" applyNumberFormat="1" applyFont="1" applyFill="1" applyBorder="1" applyAlignment="1">
      <alignment horizontal="right"/>
      <protection/>
    </xf>
    <xf numFmtId="3" fontId="24" fillId="0" borderId="98" xfId="63" applyNumberFormat="1" applyFont="1" applyFill="1" applyBorder="1" applyAlignment="1">
      <alignment/>
      <protection/>
    </xf>
    <xf numFmtId="3" fontId="23" fillId="0" borderId="98" xfId="67" applyNumberFormat="1" applyFont="1" applyFill="1" applyBorder="1" applyAlignment="1">
      <alignment horizontal="right"/>
      <protection/>
    </xf>
    <xf numFmtId="3" fontId="24" fillId="0" borderId="98" xfId="65" applyNumberFormat="1" applyFont="1" applyFill="1" applyBorder="1" applyAlignment="1">
      <alignment wrapText="1"/>
      <protection/>
    </xf>
    <xf numFmtId="3" fontId="23" fillId="0" borderId="98" xfId="63" applyNumberFormat="1" applyFont="1" applyFill="1" applyBorder="1" applyAlignment="1">
      <alignment horizontal="right"/>
      <protection/>
    </xf>
    <xf numFmtId="3" fontId="24" fillId="0" borderId="98" xfId="65" applyNumberFormat="1" applyFont="1" applyFill="1" applyBorder="1">
      <alignment/>
      <protection/>
    </xf>
    <xf numFmtId="3" fontId="24" fillId="0" borderId="98" xfId="63" applyNumberFormat="1" applyFont="1" applyFill="1" applyBorder="1">
      <alignment/>
      <protection/>
    </xf>
    <xf numFmtId="3" fontId="30" fillId="0" borderId="98" xfId="63" applyNumberFormat="1" applyFont="1" applyFill="1" applyBorder="1" applyAlignment="1">
      <alignment horizontal="right"/>
      <protection/>
    </xf>
    <xf numFmtId="3" fontId="24" fillId="0" borderId="98" xfId="67" applyNumberFormat="1" applyFont="1" applyFill="1" applyBorder="1" applyAlignment="1">
      <alignment horizontal="right"/>
      <protection/>
    </xf>
    <xf numFmtId="3" fontId="24" fillId="0" borderId="98" xfId="67" applyNumberFormat="1" applyFont="1" applyFill="1" applyBorder="1">
      <alignment/>
      <protection/>
    </xf>
    <xf numFmtId="3" fontId="24" fillId="0" borderId="98" xfId="63" applyNumberFormat="1" applyFont="1" applyFill="1" applyBorder="1" applyAlignment="1">
      <alignment vertical="top"/>
      <protection/>
    </xf>
    <xf numFmtId="3" fontId="23" fillId="0" borderId="99" xfId="67" applyNumberFormat="1" applyFont="1" applyFill="1" applyBorder="1" applyAlignment="1">
      <alignment horizontal="right" vertical="center"/>
      <protection/>
    </xf>
    <xf numFmtId="3" fontId="23" fillId="0" borderId="98" xfId="68" applyNumberFormat="1" applyFont="1" applyFill="1" applyBorder="1" applyAlignment="1">
      <alignment horizontal="right" vertical="center"/>
      <protection/>
    </xf>
    <xf numFmtId="3" fontId="30" fillId="0" borderId="98" xfId="68" applyNumberFormat="1" applyFont="1" applyFill="1" applyBorder="1" applyAlignment="1">
      <alignment horizontal="right" vertical="center"/>
      <protection/>
    </xf>
    <xf numFmtId="3" fontId="24" fillId="0" borderId="100" xfId="68" applyNumberFormat="1" applyFont="1" applyFill="1" applyBorder="1" applyAlignment="1">
      <alignment horizontal="right" vertical="center"/>
      <protection/>
    </xf>
    <xf numFmtId="3" fontId="24" fillId="0" borderId="101" xfId="68" applyNumberFormat="1" applyFont="1" applyFill="1" applyBorder="1" applyAlignment="1">
      <alignment horizontal="right"/>
      <protection/>
    </xf>
    <xf numFmtId="3" fontId="23" fillId="0" borderId="98" xfId="67" applyNumberFormat="1" applyFont="1" applyFill="1" applyBorder="1" applyAlignment="1">
      <alignment horizontal="right" vertical="top"/>
      <protection/>
    </xf>
    <xf numFmtId="3" fontId="23" fillId="0" borderId="98" xfId="65" applyNumberFormat="1" applyFont="1" applyFill="1" applyBorder="1" applyAlignment="1">
      <alignment horizontal="right" vertical="center"/>
      <protection/>
    </xf>
    <xf numFmtId="3" fontId="24" fillId="0" borderId="102" xfId="63" applyNumberFormat="1" applyFont="1" applyFill="1" applyBorder="1" applyAlignment="1">
      <alignment vertical="top"/>
      <protection/>
    </xf>
    <xf numFmtId="3" fontId="24" fillId="0" borderId="103" xfId="68" applyNumberFormat="1" applyFont="1" applyFill="1" applyBorder="1" applyAlignment="1">
      <alignment horizontal="right" vertical="center"/>
      <protection/>
    </xf>
    <xf numFmtId="3" fontId="23" fillId="0" borderId="98" xfId="67" applyNumberFormat="1" applyFont="1" applyFill="1" applyBorder="1" applyAlignment="1">
      <alignment horizontal="right" vertical="center"/>
      <protection/>
    </xf>
    <xf numFmtId="3" fontId="23" fillId="0" borderId="99" xfId="67" applyNumberFormat="1" applyFont="1" applyFill="1" applyBorder="1" applyAlignment="1">
      <alignment horizontal="right" vertical="top"/>
      <protection/>
    </xf>
    <xf numFmtId="3" fontId="24" fillId="0" borderId="104" xfId="68" applyNumberFormat="1" applyFont="1" applyFill="1" applyBorder="1" applyAlignment="1">
      <alignment horizontal="center" vertical="center" wrapText="1"/>
      <protection/>
    </xf>
    <xf numFmtId="3" fontId="24" fillId="0" borderId="89" xfId="68" applyNumberFormat="1" applyFont="1" applyFill="1" applyBorder="1" applyAlignment="1">
      <alignment horizontal="center" vertical="center" wrapText="1"/>
      <protection/>
    </xf>
    <xf numFmtId="3" fontId="24" fillId="0" borderId="105" xfId="68" applyNumberFormat="1" applyFont="1" applyFill="1" applyBorder="1" applyAlignment="1">
      <alignment horizontal="center" vertical="center" wrapText="1"/>
      <protection/>
    </xf>
    <xf numFmtId="3" fontId="23" fillId="0" borderId="87" xfId="61" applyNumberFormat="1" applyFont="1" applyFill="1" applyBorder="1" applyAlignment="1">
      <alignment horizontal="right"/>
      <protection/>
    </xf>
    <xf numFmtId="3" fontId="24" fillId="0" borderId="106" xfId="65" applyNumberFormat="1" applyFont="1" applyFill="1" applyBorder="1" applyAlignment="1">
      <alignment horizontal="right"/>
      <protection/>
    </xf>
    <xf numFmtId="3" fontId="23" fillId="0" borderId="106" xfId="65" applyNumberFormat="1" applyFont="1" applyFill="1" applyBorder="1" applyAlignment="1">
      <alignment horizontal="right"/>
      <protection/>
    </xf>
    <xf numFmtId="3" fontId="30" fillId="0" borderId="87" xfId="61" applyNumberFormat="1" applyFont="1" applyFill="1" applyBorder="1" applyAlignment="1">
      <alignment horizontal="right"/>
      <protection/>
    </xf>
    <xf numFmtId="3" fontId="30" fillId="0" borderId="106" xfId="65" applyNumberFormat="1" applyFont="1" applyFill="1" applyBorder="1" applyAlignment="1">
      <alignment horizontal="right"/>
      <protection/>
    </xf>
    <xf numFmtId="3" fontId="24" fillId="0" borderId="87" xfId="63" applyNumberFormat="1" applyFont="1" applyFill="1" applyBorder="1" applyAlignment="1">
      <alignment/>
      <protection/>
    </xf>
    <xf numFmtId="3" fontId="24" fillId="0" borderId="87" xfId="65" applyNumberFormat="1" applyFont="1" applyFill="1" applyBorder="1" applyAlignment="1">
      <alignment wrapText="1"/>
      <protection/>
    </xf>
    <xf numFmtId="3" fontId="24" fillId="0" borderId="87" xfId="65" applyNumberFormat="1" applyFont="1" applyFill="1" applyBorder="1">
      <alignment/>
      <protection/>
    </xf>
    <xf numFmtId="3" fontId="24" fillId="0" borderId="87" xfId="63" applyNumberFormat="1" applyFont="1" applyFill="1" applyBorder="1">
      <alignment/>
      <protection/>
    </xf>
    <xf numFmtId="3" fontId="24" fillId="0" borderId="87" xfId="67" applyNumberFormat="1" applyFont="1" applyFill="1" applyBorder="1" applyAlignment="1">
      <alignment horizontal="right"/>
      <protection/>
    </xf>
    <xf numFmtId="3" fontId="24" fillId="0" borderId="87" xfId="67" applyNumberFormat="1" applyFont="1" applyFill="1" applyBorder="1">
      <alignment/>
      <protection/>
    </xf>
    <xf numFmtId="3" fontId="24" fillId="0" borderId="87" xfId="63" applyNumberFormat="1" applyFont="1" applyFill="1" applyBorder="1" applyAlignment="1">
      <alignment vertical="top"/>
      <protection/>
    </xf>
    <xf numFmtId="3" fontId="23" fillId="0" borderId="107" xfId="61" applyNumberFormat="1" applyFont="1" applyFill="1" applyBorder="1" applyAlignment="1">
      <alignment horizontal="right" vertical="center"/>
      <protection/>
    </xf>
    <xf numFmtId="3" fontId="23" fillId="0" borderId="87" xfId="68" applyNumberFormat="1" applyFont="1" applyFill="1" applyBorder="1" applyAlignment="1">
      <alignment horizontal="right" vertical="center"/>
      <protection/>
    </xf>
    <xf numFmtId="3" fontId="30" fillId="0" borderId="87" xfId="68" applyNumberFormat="1" applyFont="1" applyFill="1" applyBorder="1" applyAlignment="1">
      <alignment horizontal="right" vertical="center"/>
      <protection/>
    </xf>
    <xf numFmtId="3" fontId="24" fillId="0" borderId="108" xfId="68" applyNumberFormat="1" applyFont="1" applyFill="1" applyBorder="1" applyAlignment="1">
      <alignment horizontal="right" vertical="center"/>
      <protection/>
    </xf>
    <xf numFmtId="3" fontId="24" fillId="0" borderId="86" xfId="68" applyNumberFormat="1" applyFont="1" applyFill="1" applyBorder="1" applyAlignment="1">
      <alignment horizontal="right"/>
      <protection/>
    </xf>
    <xf numFmtId="3" fontId="23" fillId="0" borderId="87" xfId="61" applyNumberFormat="1" applyFont="1" applyFill="1" applyBorder="1" applyAlignment="1">
      <alignment horizontal="right" vertical="top"/>
      <protection/>
    </xf>
    <xf numFmtId="3" fontId="23" fillId="0" borderId="87" xfId="61" applyNumberFormat="1" applyFont="1" applyFill="1" applyBorder="1" applyAlignment="1">
      <alignment horizontal="right" vertical="center"/>
      <protection/>
    </xf>
    <xf numFmtId="3" fontId="24" fillId="0" borderId="109" xfId="63" applyNumberFormat="1" applyFont="1" applyFill="1" applyBorder="1" applyAlignment="1">
      <alignment vertical="top"/>
      <protection/>
    </xf>
    <xf numFmtId="3" fontId="24" fillId="0" borderId="110" xfId="68" applyNumberFormat="1" applyFont="1" applyFill="1" applyBorder="1" applyAlignment="1">
      <alignment horizontal="right" vertical="center"/>
      <protection/>
    </xf>
    <xf numFmtId="3" fontId="23" fillId="0" borderId="107" xfId="61" applyNumberFormat="1" applyFont="1" applyFill="1" applyBorder="1" applyAlignment="1">
      <alignment horizontal="right" vertical="top"/>
      <protection/>
    </xf>
    <xf numFmtId="3" fontId="24" fillId="0" borderId="111" xfId="67" applyNumberFormat="1" applyFont="1" applyFill="1" applyBorder="1" applyAlignment="1">
      <alignment horizontal="right" vertical="top"/>
      <protection/>
    </xf>
    <xf numFmtId="3" fontId="23" fillId="0" borderId="106" xfId="68" applyNumberFormat="1" applyFont="1" applyFill="1" applyBorder="1" applyAlignment="1">
      <alignment horizontal="right" vertical="center"/>
      <protection/>
    </xf>
    <xf numFmtId="3" fontId="30" fillId="0" borderId="106" xfId="68" applyNumberFormat="1" applyFont="1" applyFill="1" applyBorder="1" applyAlignment="1">
      <alignment horizontal="right" vertical="center"/>
      <protection/>
    </xf>
    <xf numFmtId="3" fontId="24" fillId="0" borderId="112" xfId="68" applyNumberFormat="1" applyFont="1" applyFill="1" applyBorder="1" applyAlignment="1">
      <alignment horizontal="right" vertical="center"/>
      <protection/>
    </xf>
    <xf numFmtId="3" fontId="24" fillId="0" borderId="113" xfId="68" applyNumberFormat="1" applyFont="1" applyFill="1" applyBorder="1" applyAlignment="1">
      <alignment horizontal="right" vertical="center"/>
      <protection/>
    </xf>
    <xf numFmtId="3" fontId="24" fillId="0" borderId="113" xfId="65" applyNumberFormat="1" applyFont="1" applyFill="1" applyBorder="1" applyAlignment="1">
      <alignment horizontal="right"/>
      <protection/>
    </xf>
    <xf numFmtId="3" fontId="24" fillId="0" borderId="111" xfId="65" applyNumberFormat="1" applyFont="1" applyFill="1" applyBorder="1" applyAlignment="1">
      <alignment horizontal="right"/>
      <protection/>
    </xf>
    <xf numFmtId="3" fontId="24" fillId="0" borderId="114" xfId="67" applyNumberFormat="1" applyFont="1" applyFill="1" applyBorder="1" applyAlignment="1">
      <alignment horizontal="center" vertical="center" wrapText="1"/>
      <protection/>
    </xf>
    <xf numFmtId="3" fontId="24" fillId="0" borderId="115" xfId="67" applyNumberFormat="1" applyFont="1" applyFill="1" applyBorder="1" applyAlignment="1">
      <alignment vertical="center"/>
      <protection/>
    </xf>
    <xf numFmtId="3" fontId="24" fillId="0" borderId="116" xfId="67" applyNumberFormat="1" applyFont="1" applyFill="1" applyBorder="1" applyAlignment="1">
      <alignment vertical="center"/>
      <protection/>
    </xf>
    <xf numFmtId="3" fontId="35" fillId="0" borderId="44" xfId="67" applyNumberFormat="1" applyFont="1" applyFill="1" applyBorder="1" applyAlignment="1">
      <alignment vertical="center"/>
      <protection/>
    </xf>
    <xf numFmtId="3" fontId="30" fillId="0" borderId="0" xfId="67" applyNumberFormat="1" applyFont="1" applyFill="1" applyBorder="1" applyAlignment="1">
      <alignment vertical="top"/>
      <protection/>
    </xf>
    <xf numFmtId="3" fontId="30" fillId="0" borderId="114" xfId="67" applyNumberFormat="1" applyFont="1" applyFill="1" applyBorder="1" applyAlignment="1">
      <alignment horizontal="center" vertical="center" wrapText="1"/>
      <protection/>
    </xf>
    <xf numFmtId="3" fontId="30" fillId="0" borderId="0" xfId="67" applyNumberFormat="1" applyFont="1" applyFill="1" applyBorder="1">
      <alignment/>
      <protection/>
    </xf>
    <xf numFmtId="3" fontId="30" fillId="0" borderId="117" xfId="67" applyNumberFormat="1" applyFont="1" applyFill="1" applyBorder="1" applyAlignment="1">
      <alignment/>
      <protection/>
    </xf>
    <xf numFmtId="3" fontId="30" fillId="0" borderId="117" xfId="67" applyNumberFormat="1" applyFont="1" applyFill="1" applyBorder="1" applyAlignment="1">
      <alignment horizontal="right"/>
      <protection/>
    </xf>
    <xf numFmtId="3" fontId="30" fillId="0" borderId="117" xfId="67" applyNumberFormat="1" applyFont="1" applyFill="1" applyBorder="1">
      <alignment/>
      <protection/>
    </xf>
    <xf numFmtId="3" fontId="30" fillId="0" borderId="117" xfId="63" applyNumberFormat="1" applyFont="1" applyFill="1" applyBorder="1" applyAlignment="1">
      <alignment vertical="center"/>
      <protection/>
    </xf>
    <xf numFmtId="3" fontId="30" fillId="0" borderId="117" xfId="67" applyNumberFormat="1" applyFont="1" applyFill="1" applyBorder="1" applyAlignment="1">
      <alignment vertical="top"/>
      <protection/>
    </xf>
    <xf numFmtId="3" fontId="30" fillId="0" borderId="118" xfId="67" applyNumberFormat="1" applyFont="1" applyFill="1" applyBorder="1" applyAlignment="1">
      <alignment/>
      <protection/>
    </xf>
    <xf numFmtId="3" fontId="30" fillId="0" borderId="117" xfId="62" applyNumberFormat="1" applyFont="1" applyFill="1" applyBorder="1" applyAlignment="1">
      <alignment horizontal="right" vertical="top"/>
      <protection/>
    </xf>
    <xf numFmtId="3" fontId="30" fillId="0" borderId="117" xfId="63" applyNumberFormat="1" applyFont="1" applyFill="1" applyBorder="1" applyAlignment="1">
      <alignment/>
      <protection/>
    </xf>
    <xf numFmtId="3" fontId="30" fillId="0" borderId="117" xfId="63" applyNumberFormat="1" applyFont="1" applyFill="1" applyBorder="1" applyAlignment="1">
      <alignment vertical="top"/>
      <protection/>
    </xf>
    <xf numFmtId="3" fontId="30" fillId="0" borderId="0" xfId="67" applyNumberFormat="1" applyFont="1" applyFill="1" applyBorder="1" applyAlignment="1">
      <alignment/>
      <protection/>
    </xf>
    <xf numFmtId="3" fontId="23" fillId="0" borderId="117" xfId="67" applyNumberFormat="1" applyFont="1" applyFill="1" applyBorder="1" applyAlignment="1">
      <alignment/>
      <protection/>
    </xf>
    <xf numFmtId="3" fontId="23" fillId="0" borderId="117" xfId="67" applyNumberFormat="1" applyFont="1" applyFill="1" applyBorder="1" applyAlignment="1">
      <alignment vertical="top"/>
      <protection/>
    </xf>
    <xf numFmtId="3" fontId="23" fillId="0" borderId="118" xfId="67" applyNumberFormat="1" applyFont="1" applyFill="1" applyBorder="1" applyAlignment="1">
      <alignment/>
      <protection/>
    </xf>
    <xf numFmtId="3" fontId="23" fillId="0" borderId="117" xfId="67" applyNumberFormat="1" applyFont="1" applyFill="1" applyBorder="1">
      <alignment/>
      <protection/>
    </xf>
    <xf numFmtId="3" fontId="23" fillId="0" borderId="117" xfId="62" applyNumberFormat="1" applyFont="1" applyFill="1" applyBorder="1" applyAlignment="1">
      <alignment horizontal="right" vertical="top"/>
      <protection/>
    </xf>
    <xf numFmtId="3" fontId="23" fillId="0" borderId="117" xfId="63" applyNumberFormat="1" applyFont="1" applyFill="1" applyBorder="1" applyAlignment="1">
      <alignment/>
      <protection/>
    </xf>
    <xf numFmtId="3" fontId="23" fillId="0" borderId="117" xfId="63" applyNumberFormat="1" applyFont="1" applyFill="1" applyBorder="1" applyAlignment="1">
      <alignment vertical="top"/>
      <protection/>
    </xf>
    <xf numFmtId="3" fontId="23" fillId="0" borderId="117" xfId="67" applyNumberFormat="1" applyFont="1" applyFill="1" applyBorder="1" applyAlignment="1">
      <alignment horizontal="right"/>
      <protection/>
    </xf>
    <xf numFmtId="3" fontId="23" fillId="0" borderId="117" xfId="63" applyNumberFormat="1" applyFont="1" applyFill="1" applyBorder="1" applyAlignment="1">
      <alignment vertical="center"/>
      <protection/>
    </xf>
    <xf numFmtId="0" fontId="24" fillId="0" borderId="119" xfId="67" applyFont="1" applyFill="1" applyBorder="1" applyAlignment="1">
      <alignment horizontal="center"/>
      <protection/>
    </xf>
    <xf numFmtId="0" fontId="24" fillId="0" borderId="120" xfId="67" applyFont="1" applyFill="1" applyBorder="1" applyAlignment="1">
      <alignment horizontal="center"/>
      <protection/>
    </xf>
    <xf numFmtId="0" fontId="24" fillId="0" borderId="120" xfId="67" applyFont="1" applyFill="1" applyBorder="1" applyAlignment="1">
      <alignment horizontal="center" wrapText="1"/>
      <protection/>
    </xf>
    <xf numFmtId="3" fontId="24" fillId="0" borderId="120" xfId="67" applyNumberFormat="1" applyFont="1" applyFill="1" applyBorder="1" applyAlignment="1">
      <alignment/>
      <protection/>
    </xf>
    <xf numFmtId="3" fontId="30" fillId="0" borderId="121" xfId="67" applyNumberFormat="1" applyFont="1" applyFill="1" applyBorder="1" applyAlignment="1">
      <alignment/>
      <protection/>
    </xf>
    <xf numFmtId="3" fontId="24" fillId="0" borderId="121" xfId="67" applyNumberFormat="1" applyFont="1" applyFill="1" applyBorder="1" applyAlignment="1">
      <alignment/>
      <protection/>
    </xf>
    <xf numFmtId="0" fontId="24" fillId="0" borderId="0" xfId="67" applyFont="1" applyFill="1" applyBorder="1" applyAlignment="1">
      <alignment/>
      <protection/>
    </xf>
    <xf numFmtId="0" fontId="24" fillId="0" borderId="117" xfId="63" applyFont="1" applyFill="1" applyBorder="1" applyAlignment="1">
      <alignment horizontal="left" wrapText="1"/>
      <protection/>
    </xf>
    <xf numFmtId="0" fontId="23" fillId="0" borderId="117" xfId="63" applyFont="1" applyFill="1" applyBorder="1" applyAlignment="1">
      <alignment horizontal="right" wrapText="1"/>
      <protection/>
    </xf>
    <xf numFmtId="3" fontId="24" fillId="0" borderId="21" xfId="67" applyNumberFormat="1" applyFont="1" applyFill="1" applyBorder="1" applyAlignment="1">
      <alignment horizontal="center" vertical="center" wrapText="1"/>
      <protection/>
    </xf>
    <xf numFmtId="3" fontId="23" fillId="0" borderId="122" xfId="67" applyNumberFormat="1" applyFont="1" applyFill="1" applyBorder="1" applyAlignment="1">
      <alignment/>
      <protection/>
    </xf>
    <xf numFmtId="3" fontId="23" fillId="0" borderId="122" xfId="67" applyNumberFormat="1" applyFont="1" applyFill="1" applyBorder="1" applyAlignment="1">
      <alignment horizontal="right"/>
      <protection/>
    </xf>
    <xf numFmtId="3" fontId="23" fillId="0" borderId="122" xfId="67" applyNumberFormat="1" applyFont="1" applyFill="1" applyBorder="1">
      <alignment/>
      <protection/>
    </xf>
    <xf numFmtId="0" fontId="23" fillId="0" borderId="122" xfId="67" applyFont="1" applyFill="1" applyBorder="1">
      <alignment/>
      <protection/>
    </xf>
    <xf numFmtId="3" fontId="24" fillId="0" borderId="123" xfId="67" applyNumberFormat="1" applyFont="1" applyFill="1" applyBorder="1" applyAlignment="1">
      <alignment vertical="center"/>
      <protection/>
    </xf>
    <xf numFmtId="3" fontId="24" fillId="0" borderId="19" xfId="67" applyNumberFormat="1" applyFont="1" applyFill="1" applyBorder="1" applyAlignment="1">
      <alignment/>
      <protection/>
    </xf>
    <xf numFmtId="3" fontId="23" fillId="0" borderId="124" xfId="67" applyNumberFormat="1" applyFont="1" applyFill="1" applyBorder="1" applyAlignment="1">
      <alignment/>
      <protection/>
    </xf>
    <xf numFmtId="3" fontId="24" fillId="0" borderId="125" xfId="67" applyNumberFormat="1" applyFont="1" applyFill="1" applyBorder="1" applyAlignment="1">
      <alignment vertical="center"/>
      <protection/>
    </xf>
    <xf numFmtId="3" fontId="23" fillId="0" borderId="124" xfId="67" applyNumberFormat="1" applyFont="1" applyFill="1" applyBorder="1">
      <alignment/>
      <protection/>
    </xf>
    <xf numFmtId="3" fontId="24" fillId="0" borderId="11" xfId="67" applyNumberFormat="1" applyFont="1" applyFill="1" applyBorder="1" applyAlignment="1">
      <alignment vertical="center"/>
      <protection/>
    </xf>
    <xf numFmtId="3" fontId="23" fillId="0" borderId="126" xfId="67" applyNumberFormat="1" applyFont="1" applyFill="1" applyBorder="1" applyAlignment="1">
      <alignment horizontal="center" vertical="center" wrapText="1"/>
      <protection/>
    </xf>
    <xf numFmtId="3" fontId="24" fillId="0" borderId="127" xfId="67" applyNumberFormat="1" applyFont="1" applyFill="1" applyBorder="1" applyAlignment="1">
      <alignment horizontal="center" vertical="center" wrapText="1"/>
      <protection/>
    </xf>
    <xf numFmtId="3" fontId="23" fillId="0" borderId="128" xfId="67" applyNumberFormat="1" applyFont="1" applyFill="1" applyBorder="1">
      <alignment/>
      <protection/>
    </xf>
    <xf numFmtId="3" fontId="24" fillId="0" borderId="129" xfId="67" applyNumberFormat="1" applyFont="1" applyFill="1" applyBorder="1">
      <alignment/>
      <protection/>
    </xf>
    <xf numFmtId="3" fontId="23" fillId="0" borderId="130" xfId="67" applyNumberFormat="1" applyFont="1" applyFill="1" applyBorder="1" applyAlignment="1">
      <alignment/>
      <protection/>
    </xf>
    <xf numFmtId="3" fontId="24" fillId="0" borderId="131" xfId="67" applyNumberFormat="1" applyFont="1" applyFill="1" applyBorder="1" applyAlignment="1">
      <alignment/>
      <protection/>
    </xf>
    <xf numFmtId="3" fontId="23" fillId="0" borderId="130" xfId="67" applyNumberFormat="1" applyFont="1" applyFill="1" applyBorder="1" applyAlignment="1">
      <alignment horizontal="right"/>
      <protection/>
    </xf>
    <xf numFmtId="3" fontId="23" fillId="0" borderId="130" xfId="67" applyNumberFormat="1" applyFont="1" applyFill="1" applyBorder="1">
      <alignment/>
      <protection/>
    </xf>
    <xf numFmtId="3" fontId="23" fillId="0" borderId="130" xfId="63" applyNumberFormat="1" applyFont="1" applyFill="1" applyBorder="1" applyAlignment="1">
      <alignment vertical="center"/>
      <protection/>
    </xf>
    <xf numFmtId="3" fontId="23" fillId="0" borderId="130" xfId="67" applyNumberFormat="1" applyFont="1" applyFill="1" applyBorder="1" applyAlignment="1">
      <alignment vertical="top"/>
      <protection/>
    </xf>
    <xf numFmtId="3" fontId="24" fillId="0" borderId="132" xfId="67" applyNumberFormat="1" applyFont="1" applyFill="1" applyBorder="1" applyAlignment="1">
      <alignment vertical="center"/>
      <protection/>
    </xf>
    <xf numFmtId="3" fontId="24" fillId="0" borderId="133" xfId="67" applyNumberFormat="1" applyFont="1" applyFill="1" applyBorder="1" applyAlignment="1">
      <alignment vertical="center"/>
      <protection/>
    </xf>
    <xf numFmtId="3" fontId="23" fillId="0" borderId="134" xfId="67" applyNumberFormat="1" applyFont="1" applyFill="1" applyBorder="1" applyAlignment="1">
      <alignment/>
      <protection/>
    </xf>
    <xf numFmtId="3" fontId="24" fillId="0" borderId="135" xfId="67" applyNumberFormat="1" applyFont="1" applyFill="1" applyBorder="1" applyAlignment="1">
      <alignment/>
      <protection/>
    </xf>
    <xf numFmtId="3" fontId="24" fillId="0" borderId="131" xfId="67" applyNumberFormat="1" applyFont="1" applyFill="1" applyBorder="1" applyAlignment="1">
      <alignment vertical="top"/>
      <protection/>
    </xf>
    <xf numFmtId="3" fontId="23" fillId="0" borderId="136" xfId="67" applyNumberFormat="1" applyFont="1" applyFill="1" applyBorder="1" applyAlignment="1">
      <alignment/>
      <protection/>
    </xf>
    <xf numFmtId="3" fontId="23" fillId="0" borderId="130" xfId="62" applyNumberFormat="1" applyFont="1" applyFill="1" applyBorder="1" applyAlignment="1">
      <alignment horizontal="right" vertical="top"/>
      <protection/>
    </xf>
    <xf numFmtId="3" fontId="23" fillId="0" borderId="130" xfId="63" applyNumberFormat="1" applyFont="1" applyFill="1" applyBorder="1" applyAlignment="1">
      <alignment/>
      <protection/>
    </xf>
    <xf numFmtId="3" fontId="23" fillId="0" borderId="130" xfId="63" applyNumberFormat="1" applyFont="1" applyFill="1" applyBorder="1" applyAlignment="1">
      <alignment vertical="top"/>
      <protection/>
    </xf>
    <xf numFmtId="3" fontId="28" fillId="0" borderId="137" xfId="61" applyNumberFormat="1" applyFont="1" applyFill="1" applyBorder="1" applyAlignment="1">
      <alignment horizontal="center" vertical="center" wrapText="1"/>
      <protection/>
    </xf>
    <xf numFmtId="3" fontId="25" fillId="0" borderId="138" xfId="61" applyNumberFormat="1" applyFont="1" applyFill="1" applyBorder="1">
      <alignment/>
      <protection/>
    </xf>
    <xf numFmtId="3" fontId="28" fillId="0" borderId="128" xfId="61" applyNumberFormat="1" applyFont="1" applyFill="1" applyBorder="1">
      <alignment/>
      <protection/>
    </xf>
    <xf numFmtId="3" fontId="25" fillId="0" borderId="128" xfId="61" applyNumberFormat="1" applyFont="1" applyFill="1" applyBorder="1">
      <alignment/>
      <protection/>
    </xf>
    <xf numFmtId="3" fontId="32" fillId="0" borderId="128" xfId="61" applyNumberFormat="1" applyFont="1" applyFill="1" applyBorder="1">
      <alignment/>
      <protection/>
    </xf>
    <xf numFmtId="3" fontId="25" fillId="0" borderId="128" xfId="61" applyNumberFormat="1" applyFont="1" applyFill="1" applyBorder="1" applyAlignment="1">
      <alignment vertical="center"/>
      <protection/>
    </xf>
    <xf numFmtId="3" fontId="28" fillId="0" borderId="128" xfId="61" applyNumberFormat="1" applyFont="1" applyFill="1" applyBorder="1" applyAlignment="1">
      <alignment vertical="top"/>
      <protection/>
    </xf>
    <xf numFmtId="3" fontId="25" fillId="0" borderId="139" xfId="61" applyNumberFormat="1" applyFont="1" applyFill="1" applyBorder="1" applyAlignment="1">
      <alignment vertical="center"/>
      <protection/>
    </xf>
    <xf numFmtId="3" fontId="28" fillId="0" borderId="128" xfId="61" applyNumberFormat="1" applyFont="1" applyFill="1" applyBorder="1" applyAlignment="1">
      <alignment/>
      <protection/>
    </xf>
    <xf numFmtId="3" fontId="27" fillId="0" borderId="137" xfId="61" applyNumberFormat="1" applyFont="1" applyFill="1" applyBorder="1" applyAlignment="1">
      <alignment horizontal="center" vertical="center" wrapText="1"/>
      <protection/>
    </xf>
    <xf numFmtId="3" fontId="26" fillId="0" borderId="140" xfId="61" applyNumberFormat="1" applyFont="1" applyBorder="1" applyAlignment="1">
      <alignment horizontal="right" wrapText="1"/>
      <protection/>
    </xf>
    <xf numFmtId="3" fontId="26" fillId="0" borderId="128" xfId="61" applyNumberFormat="1" applyFont="1" applyBorder="1" applyAlignment="1">
      <alignment horizontal="right" wrapText="1"/>
      <protection/>
    </xf>
    <xf numFmtId="3" fontId="26" fillId="0" borderId="128" xfId="0" applyNumberFormat="1" applyFont="1" applyBorder="1" applyAlignment="1">
      <alignment/>
    </xf>
    <xf numFmtId="3" fontId="27" fillId="0" borderId="128" xfId="0" applyNumberFormat="1" applyFont="1" applyFill="1" applyBorder="1" applyAlignment="1">
      <alignment/>
    </xf>
    <xf numFmtId="3" fontId="26" fillId="0" borderId="128" xfId="0" applyNumberFormat="1" applyFont="1" applyFill="1" applyBorder="1" applyAlignment="1">
      <alignment/>
    </xf>
    <xf numFmtId="3" fontId="26" fillId="0" borderId="128" xfId="0" applyNumberFormat="1" applyFont="1" applyBorder="1" applyAlignment="1">
      <alignment/>
    </xf>
    <xf numFmtId="3" fontId="26" fillId="0" borderId="141" xfId="0" applyNumberFormat="1" applyFont="1" applyFill="1" applyBorder="1" applyAlignment="1">
      <alignment/>
    </xf>
    <xf numFmtId="3" fontId="26" fillId="0" borderId="141" xfId="61" applyNumberFormat="1" applyFont="1" applyBorder="1" applyAlignment="1">
      <alignment horizontal="right" wrapText="1"/>
      <protection/>
    </xf>
    <xf numFmtId="3" fontId="26" fillId="0" borderId="128" xfId="0" applyNumberFormat="1" applyFont="1" applyFill="1" applyBorder="1" applyAlignment="1">
      <alignment/>
    </xf>
    <xf numFmtId="3" fontId="26" fillId="0" borderId="142" xfId="0" applyNumberFormat="1" applyFont="1" applyFill="1" applyBorder="1" applyAlignment="1">
      <alignment vertical="center"/>
    </xf>
    <xf numFmtId="3" fontId="26" fillId="0" borderId="143" xfId="0" applyNumberFormat="1" applyFont="1" applyBorder="1" applyAlignment="1">
      <alignment vertical="center"/>
    </xf>
    <xf numFmtId="3" fontId="26" fillId="0" borderId="144" xfId="0" applyNumberFormat="1" applyFont="1" applyFill="1" applyBorder="1" applyAlignment="1">
      <alignment vertical="center"/>
    </xf>
    <xf numFmtId="3" fontId="26" fillId="0" borderId="128" xfId="0" applyNumberFormat="1" applyFont="1" applyFill="1" applyBorder="1" applyAlignment="1">
      <alignment vertical="center"/>
    </xf>
    <xf numFmtId="3" fontId="27" fillId="0" borderId="141" xfId="0" applyNumberFormat="1" applyFont="1" applyFill="1" applyBorder="1" applyAlignment="1">
      <alignment/>
    </xf>
    <xf numFmtId="3" fontId="26" fillId="0" borderId="145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top"/>
    </xf>
    <xf numFmtId="3" fontId="22" fillId="0" borderId="7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3" fillId="0" borderId="128" xfId="0" applyNumberFormat="1" applyFont="1" applyFill="1" applyBorder="1" applyAlignment="1">
      <alignment/>
    </xf>
    <xf numFmtId="3" fontId="23" fillId="0" borderId="128" xfId="0" applyNumberFormat="1" applyFont="1" applyFill="1" applyBorder="1" applyAlignment="1">
      <alignment vertical="center"/>
    </xf>
    <xf numFmtId="3" fontId="30" fillId="0" borderId="128" xfId="0" applyNumberFormat="1" applyFont="1" applyFill="1" applyBorder="1" applyAlignment="1">
      <alignment vertical="center"/>
    </xf>
    <xf numFmtId="3" fontId="24" fillId="0" borderId="128" xfId="0" applyNumberFormat="1" applyFont="1" applyFill="1" applyBorder="1" applyAlignment="1">
      <alignment vertical="center"/>
    </xf>
    <xf numFmtId="3" fontId="24" fillId="0" borderId="146" xfId="0" applyNumberFormat="1" applyFont="1" applyFill="1" applyBorder="1" applyAlignment="1">
      <alignment vertical="center"/>
    </xf>
    <xf numFmtId="3" fontId="23" fillId="0" borderId="138" xfId="0" applyNumberFormat="1" applyFont="1" applyFill="1" applyBorder="1" applyAlignment="1">
      <alignment vertical="center"/>
    </xf>
    <xf numFmtId="3" fontId="23" fillId="0" borderId="139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horizontal="center"/>
    </xf>
    <xf numFmtId="3" fontId="23" fillId="0" borderId="0" xfId="68" applyNumberFormat="1" applyFont="1" applyFill="1" applyBorder="1">
      <alignment/>
      <protection/>
    </xf>
    <xf numFmtId="3" fontId="23" fillId="0" borderId="75" xfId="68" applyNumberFormat="1" applyFont="1" applyFill="1" applyBorder="1" applyAlignment="1">
      <alignment vertical="center"/>
      <protection/>
    </xf>
    <xf numFmtId="3" fontId="30" fillId="0" borderId="75" xfId="68" applyNumberFormat="1" applyFont="1" applyFill="1" applyBorder="1" applyAlignment="1">
      <alignment vertical="center"/>
      <protection/>
    </xf>
    <xf numFmtId="3" fontId="24" fillId="0" borderId="85" xfId="68" applyNumberFormat="1" applyFont="1" applyFill="1" applyBorder="1" applyAlignment="1">
      <alignment vertical="center"/>
      <protection/>
    </xf>
    <xf numFmtId="3" fontId="37" fillId="0" borderId="0" xfId="68" applyNumberFormat="1" applyFont="1" applyFill="1" applyBorder="1">
      <alignment/>
      <protection/>
    </xf>
    <xf numFmtId="3" fontId="43" fillId="0" borderId="0" xfId="61" applyNumberFormat="1" applyFont="1" applyFill="1" applyBorder="1" applyAlignment="1">
      <alignment/>
      <protection/>
    </xf>
    <xf numFmtId="3" fontId="30" fillId="0" borderId="147" xfId="68" applyNumberFormat="1" applyFont="1" applyFill="1" applyBorder="1" applyAlignment="1">
      <alignment horizontal="right" vertical="center"/>
      <protection/>
    </xf>
    <xf numFmtId="3" fontId="28" fillId="0" borderId="0" xfId="63" applyNumberFormat="1" applyFont="1" applyFill="1" applyBorder="1" applyAlignment="1">
      <alignment wrapText="1"/>
      <protection/>
    </xf>
    <xf numFmtId="3" fontId="43" fillId="0" borderId="0" xfId="61" applyNumberFormat="1" applyFont="1" applyFill="1" applyBorder="1" applyAlignment="1">
      <alignment wrapText="1"/>
      <protection/>
    </xf>
    <xf numFmtId="0" fontId="25" fillId="0" borderId="0" xfId="0" applyFont="1" applyFill="1" applyBorder="1" applyAlignment="1">
      <alignment vertical="center" wrapText="1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/>
    </xf>
    <xf numFmtId="3" fontId="23" fillId="0" borderId="148" xfId="61" applyNumberFormat="1" applyFont="1" applyFill="1" applyBorder="1" applyAlignment="1">
      <alignment horizontal="center" vertical="center" wrapText="1"/>
      <protection/>
    </xf>
    <xf numFmtId="3" fontId="26" fillId="0" borderId="30" xfId="61" applyNumberFormat="1" applyFont="1" applyFill="1" applyBorder="1" applyAlignment="1">
      <alignment horizontal="right" wrapText="1"/>
      <protection/>
    </xf>
    <xf numFmtId="3" fontId="25" fillId="0" borderId="0" xfId="61" applyNumberFormat="1" applyFont="1" applyFill="1" applyBorder="1" applyAlignment="1">
      <alignment horizontal="right" wrapText="1"/>
      <protection/>
    </xf>
    <xf numFmtId="3" fontId="26" fillId="0" borderId="46" xfId="61" applyNumberFormat="1" applyFont="1" applyFill="1" applyBorder="1" applyAlignment="1">
      <alignment horizontal="right" wrapText="1"/>
      <protection/>
    </xf>
    <xf numFmtId="3" fontId="25" fillId="0" borderId="25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0" xfId="66" applyNumberFormat="1" applyFont="1" applyBorder="1" applyAlignment="1">
      <alignment vertical="center"/>
      <protection/>
    </xf>
    <xf numFmtId="3" fontId="30" fillId="0" borderId="14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vertical="center"/>
    </xf>
    <xf numFmtId="3" fontId="31" fillId="0" borderId="25" xfId="0" applyNumberFormat="1" applyFont="1" applyBorder="1" applyAlignment="1">
      <alignment vertical="center"/>
    </xf>
    <xf numFmtId="3" fontId="31" fillId="0" borderId="25" xfId="0" applyNumberFormat="1" applyFont="1" applyFill="1" applyBorder="1" applyAlignment="1">
      <alignment vertical="center"/>
    </xf>
    <xf numFmtId="3" fontId="30" fillId="0" borderId="47" xfId="0" applyNumberFormat="1" applyFont="1" applyFill="1" applyBorder="1" applyAlignment="1">
      <alignment vertical="center"/>
    </xf>
    <xf numFmtId="3" fontId="23" fillId="0" borderId="0" xfId="66" applyNumberFormat="1" applyFont="1" applyBorder="1" applyAlignment="1">
      <alignment vertical="center" wrapText="1"/>
      <protection/>
    </xf>
    <xf numFmtId="3" fontId="23" fillId="0" borderId="0" xfId="0" applyNumberFormat="1" applyFont="1" applyAlignment="1">
      <alignment horizontal="center" vertical="top"/>
    </xf>
    <xf numFmtId="3" fontId="23" fillId="0" borderId="14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center" vertical="top"/>
    </xf>
    <xf numFmtId="3" fontId="23" fillId="0" borderId="57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horizontal="center" vertical="top"/>
    </xf>
    <xf numFmtId="3" fontId="30" fillId="0" borderId="0" xfId="66" applyNumberFormat="1" applyFont="1" applyBorder="1" applyAlignment="1">
      <alignment vertical="center"/>
      <protection/>
    </xf>
    <xf numFmtId="3" fontId="23" fillId="0" borderId="56" xfId="0" applyNumberFormat="1" applyFont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/>
    </xf>
    <xf numFmtId="3" fontId="23" fillId="0" borderId="46" xfId="0" applyNumberFormat="1" applyFont="1" applyBorder="1" applyAlignment="1">
      <alignment vertical="center"/>
    </xf>
    <xf numFmtId="3" fontId="22" fillId="0" borderId="46" xfId="0" applyNumberFormat="1" applyFont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left" vertical="center"/>
    </xf>
    <xf numFmtId="3" fontId="23" fillId="0" borderId="46" xfId="66" applyNumberFormat="1" applyFont="1" applyBorder="1" applyAlignment="1">
      <alignment vertical="center" wrapText="1"/>
      <protection/>
    </xf>
    <xf numFmtId="3" fontId="23" fillId="0" borderId="48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vertical="center"/>
    </xf>
    <xf numFmtId="3" fontId="24" fillId="0" borderId="106" xfId="65" applyNumberFormat="1" applyFont="1" applyFill="1" applyBorder="1" applyAlignment="1">
      <alignment horizontal="right" vertical="top"/>
      <protection/>
    </xf>
    <xf numFmtId="3" fontId="24" fillId="0" borderId="149" xfId="63" applyNumberFormat="1" applyFont="1" applyFill="1" applyBorder="1" applyAlignment="1">
      <alignment vertical="top"/>
      <protection/>
    </xf>
    <xf numFmtId="3" fontId="24" fillId="0" borderId="150" xfId="67" applyNumberFormat="1" applyFont="1" applyFill="1" applyBorder="1" applyAlignment="1">
      <alignment vertical="center"/>
      <protection/>
    </xf>
    <xf numFmtId="3" fontId="24" fillId="0" borderId="151" xfId="67" applyNumberFormat="1" applyFont="1" applyFill="1" applyBorder="1" applyAlignment="1">
      <alignment vertical="center"/>
      <protection/>
    </xf>
    <xf numFmtId="3" fontId="24" fillId="0" borderId="152" xfId="67" applyNumberFormat="1" applyFont="1" applyFill="1" applyBorder="1" applyAlignment="1">
      <alignment vertical="center"/>
      <protection/>
    </xf>
    <xf numFmtId="3" fontId="28" fillId="0" borderId="0" xfId="64" applyNumberFormat="1" applyFont="1" applyFill="1" applyBorder="1" applyAlignment="1">
      <alignment wrapText="1"/>
      <protection/>
    </xf>
    <xf numFmtId="3" fontId="24" fillId="0" borderId="106" xfId="63" applyNumberFormat="1" applyFont="1" applyFill="1" applyBorder="1" applyAlignment="1">
      <alignment vertical="top"/>
      <protection/>
    </xf>
    <xf numFmtId="3" fontId="23" fillId="0" borderId="91" xfId="63" applyNumberFormat="1" applyFont="1" applyFill="1" applyBorder="1" applyAlignment="1">
      <alignment vertical="center" wrapText="1"/>
      <protection/>
    </xf>
    <xf numFmtId="3" fontId="24" fillId="0" borderId="111" xfId="65" applyNumberFormat="1" applyFont="1" applyFill="1" applyBorder="1" applyAlignment="1">
      <alignment horizontal="right" vertical="center"/>
      <protection/>
    </xf>
    <xf numFmtId="3" fontId="23" fillId="0" borderId="99" xfId="65" applyNumberFormat="1" applyFont="1" applyFill="1" applyBorder="1" applyAlignment="1">
      <alignment horizontal="right" vertical="center"/>
      <protection/>
    </xf>
    <xf numFmtId="3" fontId="23" fillId="0" borderId="75" xfId="63" applyNumberFormat="1" applyFont="1" applyFill="1" applyBorder="1" applyAlignment="1">
      <alignment vertical="center"/>
      <protection/>
    </xf>
    <xf numFmtId="3" fontId="23" fillId="0" borderId="87" xfId="63" applyNumberFormat="1" applyFont="1" applyFill="1" applyBorder="1" applyAlignment="1">
      <alignment vertical="center"/>
      <protection/>
    </xf>
    <xf numFmtId="3" fontId="23" fillId="0" borderId="106" xfId="65" applyNumberFormat="1" applyFont="1" applyFill="1" applyBorder="1" applyAlignment="1">
      <alignment horizontal="right" vertical="center"/>
      <protection/>
    </xf>
    <xf numFmtId="3" fontId="23" fillId="0" borderId="98" xfId="63" applyNumberFormat="1" applyFont="1" applyFill="1" applyBorder="1" applyAlignment="1">
      <alignment vertical="center"/>
      <protection/>
    </xf>
    <xf numFmtId="3" fontId="30" fillId="0" borderId="37" xfId="63" applyNumberFormat="1" applyFont="1" applyFill="1" applyBorder="1" applyAlignment="1">
      <alignment vertical="center"/>
      <protection/>
    </xf>
    <xf numFmtId="3" fontId="30" fillId="0" borderId="75" xfId="63" applyNumberFormat="1" applyFont="1" applyFill="1" applyBorder="1" applyAlignment="1">
      <alignment vertical="center"/>
      <protection/>
    </xf>
    <xf numFmtId="3" fontId="30" fillId="0" borderId="87" xfId="63" applyNumberFormat="1" applyFont="1" applyFill="1" applyBorder="1" applyAlignment="1">
      <alignment vertical="center"/>
      <protection/>
    </xf>
    <xf numFmtId="3" fontId="30" fillId="0" borderId="106" xfId="63" applyNumberFormat="1" applyFont="1" applyFill="1" applyBorder="1" applyAlignment="1">
      <alignment vertical="center"/>
      <protection/>
    </xf>
    <xf numFmtId="3" fontId="30" fillId="0" borderId="98" xfId="63" applyNumberFormat="1" applyFont="1" applyFill="1" applyBorder="1" applyAlignment="1">
      <alignment vertical="center"/>
      <protection/>
    </xf>
    <xf numFmtId="3" fontId="24" fillId="0" borderId="39" xfId="63" applyNumberFormat="1" applyFont="1" applyFill="1" applyBorder="1" applyAlignment="1">
      <alignment vertical="center"/>
      <protection/>
    </xf>
    <xf numFmtId="3" fontId="24" fillId="0" borderId="95" xfId="63" applyNumberFormat="1" applyFont="1" applyFill="1" applyBorder="1" applyAlignment="1">
      <alignment vertical="center"/>
      <protection/>
    </xf>
    <xf numFmtId="3" fontId="24" fillId="0" borderId="108" xfId="63" applyNumberFormat="1" applyFont="1" applyFill="1" applyBorder="1" applyAlignment="1">
      <alignment vertical="center"/>
      <protection/>
    </xf>
    <xf numFmtId="3" fontId="24" fillId="0" borderId="112" xfId="65" applyNumberFormat="1" applyFont="1" applyFill="1" applyBorder="1" applyAlignment="1">
      <alignment horizontal="right" vertical="center"/>
      <protection/>
    </xf>
    <xf numFmtId="3" fontId="24" fillId="0" borderId="100" xfId="63" applyNumberFormat="1" applyFont="1" applyFill="1" applyBorder="1" applyAlignment="1">
      <alignment vertical="center"/>
      <protection/>
    </xf>
    <xf numFmtId="3" fontId="43" fillId="0" borderId="0" xfId="66" applyNumberFormat="1" applyFont="1" applyFill="1" applyBorder="1" applyAlignment="1">
      <alignment wrapText="1"/>
      <protection/>
    </xf>
    <xf numFmtId="3" fontId="28" fillId="0" borderId="0" xfId="66" applyNumberFormat="1" applyFont="1" applyFill="1" applyBorder="1" applyAlignment="1">
      <alignment wrapText="1"/>
      <protection/>
    </xf>
    <xf numFmtId="3" fontId="31" fillId="0" borderId="71" xfId="61" applyNumberFormat="1" applyFont="1" applyFill="1" applyBorder="1" applyAlignment="1">
      <alignment horizontal="center"/>
      <protection/>
    </xf>
    <xf numFmtId="3" fontId="29" fillId="0" borderId="71" xfId="61" applyNumberFormat="1" applyFont="1" applyFill="1" applyBorder="1" applyAlignment="1">
      <alignment horizontal="center"/>
      <protection/>
    </xf>
    <xf numFmtId="3" fontId="28" fillId="0" borderId="0" xfId="61" applyNumberFormat="1" applyFont="1" applyFill="1" applyBorder="1" applyAlignment="1">
      <alignment wrapText="1"/>
      <protection/>
    </xf>
    <xf numFmtId="0" fontId="28" fillId="0" borderId="0" xfId="0" applyFont="1" applyFill="1" applyAlignment="1">
      <alignment horizontal="left" indent="2"/>
    </xf>
    <xf numFmtId="3" fontId="24" fillId="0" borderId="106" xfId="63" applyNumberFormat="1" applyFont="1" applyFill="1" applyBorder="1" applyAlignment="1">
      <alignment/>
      <protection/>
    </xf>
    <xf numFmtId="3" fontId="23" fillId="0" borderId="60" xfId="0" applyNumberFormat="1" applyFont="1" applyFill="1" applyBorder="1" applyAlignment="1">
      <alignment vertical="center"/>
    </xf>
    <xf numFmtId="3" fontId="24" fillId="0" borderId="0" xfId="66" applyNumberFormat="1" applyFont="1" applyFill="1" applyBorder="1" applyAlignment="1">
      <alignment/>
      <protection/>
    </xf>
    <xf numFmtId="3" fontId="23" fillId="0" borderId="0" xfId="66" applyNumberFormat="1" applyFont="1" applyFill="1" applyBorder="1" applyAlignment="1">
      <alignment horizontal="center" wrapText="1"/>
      <protection/>
    </xf>
    <xf numFmtId="3" fontId="22" fillId="0" borderId="0" xfId="0" applyNumberFormat="1" applyFont="1" applyFill="1" applyAlignment="1">
      <alignment horizontal="left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0" xfId="66" applyNumberFormat="1" applyFont="1" applyFill="1" applyBorder="1" applyAlignment="1">
      <alignment horizontal="center"/>
      <protection/>
    </xf>
    <xf numFmtId="3" fontId="23" fillId="0" borderId="138" xfId="0" applyNumberFormat="1" applyFont="1" applyFill="1" applyBorder="1" applyAlignment="1">
      <alignment/>
    </xf>
    <xf numFmtId="3" fontId="23" fillId="0" borderId="0" xfId="66" applyNumberFormat="1" applyFont="1" applyFill="1" applyBorder="1" applyAlignment="1">
      <alignment horizontal="center" vertical="center"/>
      <protection/>
    </xf>
    <xf numFmtId="3" fontId="30" fillId="0" borderId="128" xfId="0" applyNumberFormat="1" applyFont="1" applyFill="1" applyBorder="1" applyAlignment="1">
      <alignment/>
    </xf>
    <xf numFmtId="3" fontId="24" fillId="0" borderId="0" xfId="66" applyNumberFormat="1" applyFont="1" applyFill="1" applyBorder="1" applyAlignment="1">
      <alignment horizontal="center" vertical="center"/>
      <protection/>
    </xf>
    <xf numFmtId="3" fontId="23" fillId="0" borderId="128" xfId="0" applyNumberFormat="1" applyFont="1" applyFill="1" applyBorder="1" applyAlignment="1">
      <alignment vertical="top"/>
    </xf>
    <xf numFmtId="3" fontId="23" fillId="0" borderId="19" xfId="0" applyNumberFormat="1" applyFont="1" applyFill="1" applyBorder="1" applyAlignment="1">
      <alignment vertical="top"/>
    </xf>
    <xf numFmtId="3" fontId="30" fillId="0" borderId="128" xfId="0" applyNumberFormat="1" applyFont="1" applyFill="1" applyBorder="1" applyAlignment="1">
      <alignment vertical="top"/>
    </xf>
    <xf numFmtId="3" fontId="24" fillId="0" borderId="128" xfId="0" applyNumberFormat="1" applyFont="1" applyFill="1" applyBorder="1" applyAlignment="1">
      <alignment/>
    </xf>
    <xf numFmtId="3" fontId="24" fillId="0" borderId="0" xfId="66" applyNumberFormat="1" applyFont="1" applyFill="1" applyBorder="1" applyAlignment="1">
      <alignment horizontal="center" vertical="top"/>
      <protection/>
    </xf>
    <xf numFmtId="3" fontId="24" fillId="0" borderId="128" xfId="0" applyNumberFormat="1" applyFont="1" applyFill="1" applyBorder="1" applyAlignment="1">
      <alignment vertical="top"/>
    </xf>
    <xf numFmtId="3" fontId="23" fillId="0" borderId="153" xfId="0" applyNumberFormat="1" applyFont="1" applyFill="1" applyBorder="1" applyAlignment="1">
      <alignment vertical="center"/>
    </xf>
    <xf numFmtId="3" fontId="24" fillId="0" borderId="35" xfId="66" applyNumberFormat="1" applyFont="1" applyFill="1" applyBorder="1" applyAlignment="1">
      <alignment horizontal="center" vertical="center"/>
      <protection/>
    </xf>
    <xf numFmtId="3" fontId="23" fillId="0" borderId="70" xfId="66" applyNumberFormat="1" applyFont="1" applyFill="1" applyBorder="1" applyAlignment="1">
      <alignment horizontal="center" wrapText="1"/>
      <protection/>
    </xf>
    <xf numFmtId="3" fontId="30" fillId="0" borderId="154" xfId="0" applyNumberFormat="1" applyFont="1" applyFill="1" applyBorder="1" applyAlignment="1">
      <alignment/>
    </xf>
    <xf numFmtId="3" fontId="30" fillId="0" borderId="70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 vertical="top"/>
    </xf>
    <xf numFmtId="3" fontId="23" fillId="0" borderId="59" xfId="66" applyNumberFormat="1" applyFont="1" applyFill="1" applyBorder="1" applyAlignment="1">
      <alignment horizontal="center" vertical="center" wrapText="1"/>
      <protection/>
    </xf>
    <xf numFmtId="3" fontId="24" fillId="0" borderId="153" xfId="0" applyNumberFormat="1" applyFont="1" applyFill="1" applyBorder="1" applyAlignment="1">
      <alignment vertical="center"/>
    </xf>
    <xf numFmtId="3" fontId="24" fillId="0" borderId="59" xfId="0" applyNumberFormat="1" applyFont="1" applyFill="1" applyBorder="1" applyAlignment="1">
      <alignment vertical="center"/>
    </xf>
    <xf numFmtId="3" fontId="23" fillId="0" borderId="0" xfId="66" applyNumberFormat="1" applyFont="1" applyFill="1" applyBorder="1" applyAlignment="1">
      <alignment horizontal="center" vertical="center" wrapText="1"/>
      <protection/>
    </xf>
    <xf numFmtId="3" fontId="23" fillId="0" borderId="17" xfId="66" applyNumberFormat="1" applyFont="1" applyFill="1" applyBorder="1" applyAlignment="1">
      <alignment horizontal="center" vertical="center" wrapText="1"/>
      <protection/>
    </xf>
    <xf numFmtId="3" fontId="24" fillId="0" borderId="138" xfId="0" applyNumberFormat="1" applyFont="1" applyFill="1" applyBorder="1" applyAlignment="1">
      <alignment vertical="center"/>
    </xf>
    <xf numFmtId="3" fontId="24" fillId="0" borderId="10" xfId="66" applyNumberFormat="1" applyFont="1" applyFill="1" applyBorder="1" applyAlignment="1">
      <alignment horizontal="center" vertical="center"/>
      <protection/>
    </xf>
    <xf numFmtId="3" fontId="24" fillId="0" borderId="155" xfId="0" applyNumberFormat="1" applyFont="1" applyFill="1" applyBorder="1" applyAlignment="1">
      <alignment vertical="center"/>
    </xf>
    <xf numFmtId="3" fontId="30" fillId="0" borderId="0" xfId="66" applyNumberFormat="1" applyFont="1" applyFill="1" applyBorder="1" applyAlignment="1">
      <alignment vertical="center" wrapText="1"/>
      <protection/>
    </xf>
    <xf numFmtId="3" fontId="37" fillId="0" borderId="0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/>
    </xf>
    <xf numFmtId="0" fontId="23" fillId="0" borderId="0" xfId="68" applyFont="1" applyFill="1" applyBorder="1">
      <alignment/>
      <protection/>
    </xf>
    <xf numFmtId="3" fontId="28" fillId="0" borderId="46" xfId="69" applyNumberFormat="1" applyFont="1" applyFill="1" applyBorder="1">
      <alignment/>
      <protection/>
    </xf>
    <xf numFmtId="0" fontId="30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28" fillId="0" borderId="0" xfId="61" applyNumberFormat="1" applyFont="1" applyFill="1" applyBorder="1" applyAlignment="1">
      <alignment horizontal="left" indent="2"/>
      <protection/>
    </xf>
    <xf numFmtId="3" fontId="32" fillId="0" borderId="46" xfId="0" applyNumberFormat="1" applyFont="1" applyFill="1" applyBorder="1" applyAlignment="1">
      <alignment vertical="top"/>
    </xf>
    <xf numFmtId="0" fontId="28" fillId="0" borderId="0" xfId="69" applyFont="1" applyFill="1" applyBorder="1" applyAlignment="1">
      <alignment horizontal="left" wrapText="1" indent="2"/>
      <protection/>
    </xf>
    <xf numFmtId="3" fontId="42" fillId="0" borderId="0" xfId="61" applyNumberFormat="1" applyFont="1" applyFill="1" applyBorder="1" applyAlignment="1">
      <alignment horizontal="left" wrapText="1"/>
      <protection/>
    </xf>
    <xf numFmtId="3" fontId="28" fillId="0" borderId="0" xfId="61" applyNumberFormat="1" applyFont="1" applyFill="1" applyBorder="1" applyAlignment="1">
      <alignment horizontal="left" wrapText="1"/>
      <protection/>
    </xf>
    <xf numFmtId="0" fontId="43" fillId="0" borderId="0" xfId="69" applyFont="1" applyFill="1" applyBorder="1" applyAlignment="1">
      <alignment wrapText="1"/>
      <protection/>
    </xf>
    <xf numFmtId="0" fontId="32" fillId="0" borderId="27" xfId="69" applyFont="1" applyFill="1" applyBorder="1" applyAlignment="1">
      <alignment horizontal="right" vertical="center" wrapText="1"/>
      <protection/>
    </xf>
    <xf numFmtId="3" fontId="32" fillId="0" borderId="27" xfId="69" applyNumberFormat="1" applyFont="1" applyFill="1" applyBorder="1" applyAlignment="1">
      <alignment vertical="center"/>
      <protection/>
    </xf>
    <xf numFmtId="0" fontId="28" fillId="0" borderId="0" xfId="69" applyFont="1" applyFill="1" applyBorder="1" applyAlignment="1">
      <alignment horizontal="left" wrapText="1" indent="4"/>
      <protection/>
    </xf>
    <xf numFmtId="0" fontId="28" fillId="0" borderId="0" xfId="69" applyFont="1" applyFill="1" applyBorder="1" applyAlignment="1">
      <alignment vertical="top" wrapText="1"/>
      <protection/>
    </xf>
    <xf numFmtId="3" fontId="28" fillId="0" borderId="0" xfId="64" applyNumberFormat="1" applyFont="1" applyFill="1" applyBorder="1" applyAlignment="1">
      <alignment vertical="top" wrapText="1"/>
      <protection/>
    </xf>
    <xf numFmtId="0" fontId="28" fillId="0" borderId="0" xfId="64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/>
    </xf>
    <xf numFmtId="3" fontId="37" fillId="0" borderId="0" xfId="61" applyNumberFormat="1" applyFont="1" applyFill="1" applyBorder="1" applyAlignment="1">
      <alignment horizontal="center"/>
      <protection/>
    </xf>
    <xf numFmtId="3" fontId="32" fillId="0" borderId="68" xfId="61" applyNumberFormat="1" applyFont="1" applyFill="1" applyBorder="1" applyAlignment="1">
      <alignment horizontal="left" indent="2"/>
      <protection/>
    </xf>
    <xf numFmtId="3" fontId="32" fillId="0" borderId="37" xfId="61" applyNumberFormat="1" applyFont="1" applyFill="1" applyBorder="1" applyAlignment="1">
      <alignment wrapText="1"/>
      <protection/>
    </xf>
    <xf numFmtId="3" fontId="32" fillId="0" borderId="72" xfId="61" applyNumberFormat="1" applyFont="1" applyFill="1" applyBorder="1" applyAlignment="1">
      <alignment horizontal="center"/>
      <protection/>
    </xf>
    <xf numFmtId="3" fontId="32" fillId="0" borderId="72" xfId="61" applyNumberFormat="1" applyFont="1" applyFill="1" applyBorder="1" applyAlignment="1">
      <alignment horizontal="right"/>
      <protection/>
    </xf>
    <xf numFmtId="3" fontId="32" fillId="0" borderId="83" xfId="61" applyNumberFormat="1" applyFont="1" applyFill="1" applyBorder="1" applyAlignment="1">
      <alignment horizontal="right"/>
      <protection/>
    </xf>
    <xf numFmtId="3" fontId="32" fillId="0" borderId="72" xfId="0" applyNumberFormat="1" applyFont="1" applyFill="1" applyBorder="1" applyAlignment="1">
      <alignment horizontal="right" wrapText="1"/>
    </xf>
    <xf numFmtId="3" fontId="32" fillId="0" borderId="73" xfId="0" applyNumberFormat="1" applyFont="1" applyFill="1" applyBorder="1" applyAlignment="1">
      <alignment horizontal="right" wrapText="1"/>
    </xf>
    <xf numFmtId="3" fontId="25" fillId="0" borderId="37" xfId="61" applyNumberFormat="1" applyFont="1" applyFill="1" applyBorder="1" applyAlignment="1">
      <alignment wrapText="1"/>
      <protection/>
    </xf>
    <xf numFmtId="3" fontId="25" fillId="0" borderId="72" xfId="61" applyNumberFormat="1" applyFont="1" applyFill="1" applyBorder="1" applyAlignment="1">
      <alignment horizontal="center"/>
      <protection/>
    </xf>
    <xf numFmtId="3" fontId="25" fillId="0" borderId="72" xfId="61" applyNumberFormat="1" applyFont="1" applyFill="1" applyBorder="1" applyAlignment="1">
      <alignment horizontal="right"/>
      <protection/>
    </xf>
    <xf numFmtId="3" fontId="25" fillId="0" borderId="83" xfId="61" applyNumberFormat="1" applyFont="1" applyFill="1" applyBorder="1" applyAlignment="1">
      <alignment horizontal="right"/>
      <protection/>
    </xf>
    <xf numFmtId="3" fontId="25" fillId="0" borderId="72" xfId="0" applyNumberFormat="1" applyFont="1" applyFill="1" applyBorder="1" applyAlignment="1">
      <alignment horizontal="right" wrapText="1"/>
    </xf>
    <xf numFmtId="3" fontId="32" fillId="0" borderId="87" xfId="61" applyNumberFormat="1" applyFont="1" applyFill="1" applyBorder="1" applyAlignment="1">
      <alignment horizontal="right" vertical="center"/>
      <protection/>
    </xf>
    <xf numFmtId="3" fontId="37" fillId="0" borderId="0" xfId="61" applyNumberFormat="1" applyFont="1" applyFill="1" applyBorder="1" applyAlignment="1">
      <alignment horizontal="center" vertical="center"/>
      <protection/>
    </xf>
    <xf numFmtId="3" fontId="37" fillId="0" borderId="0" xfId="61" applyNumberFormat="1" applyFont="1" applyFill="1" applyBorder="1" applyAlignment="1">
      <alignment horizontal="left"/>
      <protection/>
    </xf>
    <xf numFmtId="3" fontId="49" fillId="0" borderId="76" xfId="0" applyNumberFormat="1" applyFont="1" applyFill="1" applyBorder="1" applyAlignment="1">
      <alignment horizontal="center" wrapText="1"/>
    </xf>
    <xf numFmtId="3" fontId="49" fillId="0" borderId="77" xfId="0" applyNumberFormat="1" applyFont="1" applyFill="1" applyBorder="1" applyAlignment="1">
      <alignment horizontal="center" wrapText="1"/>
    </xf>
    <xf numFmtId="3" fontId="50" fillId="0" borderId="77" xfId="0" applyNumberFormat="1" applyFont="1" applyFill="1" applyBorder="1" applyAlignment="1">
      <alignment wrapText="1"/>
    </xf>
    <xf numFmtId="3" fontId="49" fillId="0" borderId="77" xfId="0" applyNumberFormat="1" applyFont="1" applyFill="1" applyBorder="1" applyAlignment="1">
      <alignment/>
    </xf>
    <xf numFmtId="3" fontId="49" fillId="0" borderId="84" xfId="0" applyNumberFormat="1" applyFont="1" applyFill="1" applyBorder="1" applyAlignment="1">
      <alignment/>
    </xf>
    <xf numFmtId="3" fontId="49" fillId="0" borderId="89" xfId="61" applyNumberFormat="1" applyFont="1" applyFill="1" applyBorder="1" applyAlignment="1">
      <alignment/>
      <protection/>
    </xf>
    <xf numFmtId="3" fontId="49" fillId="0" borderId="77" xfId="61" applyNumberFormat="1" applyFont="1" applyFill="1" applyBorder="1" applyAlignment="1">
      <alignment/>
      <protection/>
    </xf>
    <xf numFmtId="3" fontId="49" fillId="0" borderId="78" xfId="61" applyNumberFormat="1" applyFont="1" applyFill="1" applyBorder="1" applyAlignment="1">
      <alignment/>
      <protection/>
    </xf>
    <xf numFmtId="3" fontId="49" fillId="0" borderId="0" xfId="61" applyNumberFormat="1" applyFont="1" applyFill="1" applyAlignment="1">
      <alignment/>
      <protection/>
    </xf>
    <xf numFmtId="3" fontId="49" fillId="0" borderId="38" xfId="0" applyNumberFormat="1" applyFont="1" applyFill="1" applyBorder="1" applyAlignment="1">
      <alignment horizontal="center" wrapText="1"/>
    </xf>
    <xf numFmtId="3" fontId="49" fillId="0" borderId="37" xfId="0" applyNumberFormat="1" applyFont="1" applyFill="1" applyBorder="1" applyAlignment="1">
      <alignment horizontal="center" wrapText="1"/>
    </xf>
    <xf numFmtId="3" fontId="50" fillId="0" borderId="37" xfId="0" applyNumberFormat="1" applyFont="1" applyFill="1" applyBorder="1" applyAlignment="1">
      <alignment horizontal="left" wrapText="1" indent="1"/>
    </xf>
    <xf numFmtId="3" fontId="49" fillId="0" borderId="37" xfId="0" applyNumberFormat="1" applyFont="1" applyFill="1" applyBorder="1" applyAlignment="1">
      <alignment/>
    </xf>
    <xf numFmtId="3" fontId="49" fillId="0" borderId="75" xfId="61" applyNumberFormat="1" applyFont="1" applyFill="1" applyBorder="1" applyAlignment="1">
      <alignment/>
      <protection/>
    </xf>
    <xf numFmtId="3" fontId="49" fillId="0" borderId="87" xfId="0" applyNumberFormat="1" applyFont="1" applyFill="1" applyBorder="1" applyAlignment="1">
      <alignment/>
    </xf>
    <xf numFmtId="3" fontId="49" fillId="0" borderId="37" xfId="0" applyNumberFormat="1" applyFont="1" applyFill="1" applyBorder="1" applyAlignment="1">
      <alignment horizontal="right"/>
    </xf>
    <xf numFmtId="3" fontId="49" fillId="0" borderId="63" xfId="0" applyNumberFormat="1" applyFont="1" applyFill="1" applyBorder="1" applyAlignment="1">
      <alignment horizontal="right"/>
    </xf>
    <xf numFmtId="3" fontId="49" fillId="0" borderId="75" xfId="0" applyNumberFormat="1" applyFont="1" applyFill="1" applyBorder="1" applyAlignment="1">
      <alignment/>
    </xf>
    <xf numFmtId="3" fontId="49" fillId="0" borderId="87" xfId="61" applyNumberFormat="1" applyFont="1" applyFill="1" applyBorder="1" applyAlignment="1">
      <alignment/>
      <protection/>
    </xf>
    <xf numFmtId="3" fontId="49" fillId="0" borderId="37" xfId="61" applyNumberFormat="1" applyFont="1" applyFill="1" applyBorder="1" applyAlignment="1">
      <alignment/>
      <protection/>
    </xf>
    <xf numFmtId="3" fontId="49" fillId="0" borderId="63" xfId="61" applyNumberFormat="1" applyFont="1" applyFill="1" applyBorder="1" applyAlignment="1">
      <alignment/>
      <protection/>
    </xf>
    <xf numFmtId="3" fontId="51" fillId="0" borderId="38" xfId="0" applyNumberFormat="1" applyFont="1" applyFill="1" applyBorder="1" applyAlignment="1">
      <alignment horizontal="center" wrapText="1"/>
    </xf>
    <xf numFmtId="3" fontId="51" fillId="0" borderId="37" xfId="0" applyNumberFormat="1" applyFont="1" applyFill="1" applyBorder="1" applyAlignment="1">
      <alignment horizontal="center" wrapText="1"/>
    </xf>
    <xf numFmtId="3" fontId="52" fillId="0" borderId="37" xfId="0" applyNumberFormat="1" applyFont="1" applyFill="1" applyBorder="1" applyAlignment="1">
      <alignment horizontal="left" wrapText="1" indent="1"/>
    </xf>
    <xf numFmtId="3" fontId="51" fillId="0" borderId="37" xfId="0" applyNumberFormat="1" applyFont="1" applyFill="1" applyBorder="1" applyAlignment="1">
      <alignment/>
    </xf>
    <xf numFmtId="3" fontId="51" fillId="0" borderId="75" xfId="0" applyNumberFormat="1" applyFont="1" applyFill="1" applyBorder="1" applyAlignment="1">
      <alignment/>
    </xf>
    <xf numFmtId="3" fontId="51" fillId="0" borderId="87" xfId="0" applyNumberFormat="1" applyFont="1" applyFill="1" applyBorder="1" applyAlignment="1">
      <alignment/>
    </xf>
    <xf numFmtId="3" fontId="51" fillId="0" borderId="0" xfId="61" applyNumberFormat="1" applyFont="1" applyFill="1" applyAlignment="1">
      <alignment/>
      <protection/>
    </xf>
    <xf numFmtId="3" fontId="50" fillId="0" borderId="37" xfId="0" applyNumberFormat="1" applyFont="1" applyFill="1" applyBorder="1" applyAlignment="1">
      <alignment wrapText="1"/>
    </xf>
    <xf numFmtId="3" fontId="51" fillId="0" borderId="79" xfId="0" applyNumberFormat="1" applyFont="1" applyFill="1" applyBorder="1" applyAlignment="1">
      <alignment horizontal="center" wrapText="1"/>
    </xf>
    <xf numFmtId="3" fontId="51" fillId="0" borderId="80" xfId="0" applyNumberFormat="1" applyFont="1" applyFill="1" applyBorder="1" applyAlignment="1">
      <alignment horizontal="center" wrapText="1"/>
    </xf>
    <xf numFmtId="3" fontId="52" fillId="0" borderId="80" xfId="0" applyNumberFormat="1" applyFont="1" applyFill="1" applyBorder="1" applyAlignment="1">
      <alignment horizontal="left" wrapText="1" indent="1"/>
    </xf>
    <xf numFmtId="3" fontId="51" fillId="0" borderId="80" xfId="0" applyNumberFormat="1" applyFont="1" applyFill="1" applyBorder="1" applyAlignment="1">
      <alignment/>
    </xf>
    <xf numFmtId="3" fontId="51" fillId="0" borderId="85" xfId="0" applyNumberFormat="1" applyFont="1" applyFill="1" applyBorder="1" applyAlignment="1">
      <alignment/>
    </xf>
    <xf numFmtId="3" fontId="51" fillId="0" borderId="90" xfId="0" applyNumberFormat="1" applyFont="1" applyFill="1" applyBorder="1" applyAlignment="1">
      <alignment/>
    </xf>
    <xf numFmtId="3" fontId="49" fillId="0" borderId="37" xfId="61" applyNumberFormat="1" applyFont="1" applyFill="1" applyBorder="1" applyAlignment="1">
      <alignment wrapText="1"/>
      <protection/>
    </xf>
    <xf numFmtId="3" fontId="49" fillId="0" borderId="72" xfId="61" applyNumberFormat="1" applyFont="1" applyFill="1" applyBorder="1" applyAlignment="1">
      <alignment wrapText="1"/>
      <protection/>
    </xf>
    <xf numFmtId="3" fontId="24" fillId="0" borderId="156" xfId="65" applyNumberFormat="1" applyFont="1" applyFill="1" applyBorder="1" applyAlignment="1">
      <alignment horizontal="right" vertical="top"/>
      <protection/>
    </xf>
    <xf numFmtId="3" fontId="24" fillId="0" borderId="147" xfId="63" applyNumberFormat="1" applyFont="1" applyFill="1" applyBorder="1" applyAlignment="1">
      <alignment vertical="top"/>
      <protection/>
    </xf>
    <xf numFmtId="3" fontId="24" fillId="0" borderId="37" xfId="63" applyNumberFormat="1" applyFont="1" applyFill="1" applyBorder="1" applyAlignment="1">
      <alignment wrapText="1"/>
      <protection/>
    </xf>
    <xf numFmtId="3" fontId="30" fillId="0" borderId="106" xfId="67" applyNumberFormat="1" applyFont="1" applyFill="1" applyBorder="1" applyAlignment="1">
      <alignment horizontal="right"/>
      <protection/>
    </xf>
    <xf numFmtId="3" fontId="24" fillId="0" borderId="106" xfId="63" applyNumberFormat="1" applyFont="1" applyFill="1" applyBorder="1">
      <alignment/>
      <protection/>
    </xf>
    <xf numFmtId="3" fontId="24" fillId="0" borderId="147" xfId="63" applyNumberFormat="1" applyFont="1" applyFill="1" applyBorder="1">
      <alignment/>
      <protection/>
    </xf>
    <xf numFmtId="3" fontId="24" fillId="0" borderId="0" xfId="68" applyNumberFormat="1" applyFont="1" applyFill="1" applyBorder="1" applyAlignment="1">
      <alignment/>
      <protection/>
    </xf>
    <xf numFmtId="3" fontId="23" fillId="0" borderId="0" xfId="68" applyNumberFormat="1" applyFont="1" applyFill="1" applyBorder="1" applyAlignment="1">
      <alignment/>
      <protection/>
    </xf>
    <xf numFmtId="0" fontId="23" fillId="0" borderId="0" xfId="68" applyFont="1" applyFill="1" applyBorder="1" applyAlignment="1">
      <alignment wrapText="1"/>
      <protection/>
    </xf>
    <xf numFmtId="3" fontId="23" fillId="0" borderId="0" xfId="68" applyNumberFormat="1" applyFont="1" applyFill="1" applyBorder="1" applyAlignment="1">
      <alignment horizontal="right"/>
      <protection/>
    </xf>
    <xf numFmtId="3" fontId="24" fillId="0" borderId="0" xfId="68" applyNumberFormat="1" applyFont="1" applyFill="1" applyBorder="1" applyAlignment="1">
      <alignment horizontal="center"/>
      <protection/>
    </xf>
    <xf numFmtId="0" fontId="23" fillId="0" borderId="0" xfId="68" applyFont="1" applyFill="1" applyBorder="1" applyAlignment="1">
      <alignment/>
      <protection/>
    </xf>
    <xf numFmtId="0" fontId="30" fillId="0" borderId="0" xfId="68" applyFont="1" applyFill="1" applyBorder="1">
      <alignment/>
      <protection/>
    </xf>
    <xf numFmtId="0" fontId="24" fillId="0" borderId="0" xfId="68" applyFont="1" applyFill="1" applyBorder="1">
      <alignment/>
      <protection/>
    </xf>
    <xf numFmtId="0" fontId="24" fillId="0" borderId="0" xfId="68" applyFont="1" applyFill="1" applyBorder="1" applyAlignment="1">
      <alignment vertical="top"/>
      <protection/>
    </xf>
    <xf numFmtId="0" fontId="24" fillId="0" borderId="91" xfId="68" applyFont="1" applyFill="1" applyBorder="1" applyAlignment="1">
      <alignment horizontal="center" vertical="center"/>
      <protection/>
    </xf>
    <xf numFmtId="0" fontId="24" fillId="0" borderId="0" xfId="68" applyFont="1" applyFill="1" applyBorder="1" applyAlignment="1">
      <alignment vertical="center"/>
      <protection/>
    </xf>
    <xf numFmtId="0" fontId="39" fillId="0" borderId="62" xfId="68" applyFont="1" applyFill="1" applyBorder="1" applyAlignment="1">
      <alignment horizontal="left"/>
      <protection/>
    </xf>
    <xf numFmtId="0" fontId="24" fillId="0" borderId="62" xfId="68" applyFont="1" applyFill="1" applyBorder="1" applyAlignment="1">
      <alignment horizontal="center"/>
      <protection/>
    </xf>
    <xf numFmtId="0" fontId="24" fillId="0" borderId="0" xfId="68" applyFont="1" applyFill="1" applyBorder="1" applyAlignment="1">
      <alignment/>
      <protection/>
    </xf>
    <xf numFmtId="0" fontId="23" fillId="0" borderId="0" xfId="68" applyFont="1" applyFill="1" applyBorder="1" applyAlignment="1">
      <alignment vertical="center"/>
      <protection/>
    </xf>
    <xf numFmtId="0" fontId="23" fillId="0" borderId="0" xfId="68" applyFont="1" applyFill="1" applyBorder="1" applyAlignment="1">
      <alignment vertical="top"/>
      <protection/>
    </xf>
    <xf numFmtId="0" fontId="30" fillId="0" borderId="0" xfId="68" applyFont="1" applyFill="1" applyBorder="1" applyAlignment="1">
      <alignment vertical="center"/>
      <protection/>
    </xf>
    <xf numFmtId="0" fontId="24" fillId="0" borderId="68" xfId="68" applyFont="1" applyFill="1" applyBorder="1" applyAlignment="1">
      <alignment horizontal="center" vertical="center"/>
      <protection/>
    </xf>
    <xf numFmtId="3" fontId="23" fillId="0" borderId="37" xfId="68" applyNumberFormat="1" applyFont="1" applyFill="1" applyBorder="1" applyAlignment="1">
      <alignment vertical="center"/>
      <protection/>
    </xf>
    <xf numFmtId="3" fontId="23" fillId="0" borderId="87" xfId="68" applyNumberFormat="1" applyFont="1" applyFill="1" applyBorder="1" applyAlignment="1">
      <alignment vertical="center"/>
      <protection/>
    </xf>
    <xf numFmtId="3" fontId="23" fillId="0" borderId="106" xfId="68" applyNumberFormat="1" applyFont="1" applyFill="1" applyBorder="1" applyAlignment="1">
      <alignment vertical="center"/>
      <protection/>
    </xf>
    <xf numFmtId="3" fontId="23" fillId="0" borderId="98" xfId="68" applyNumberFormat="1" applyFont="1" applyFill="1" applyBorder="1" applyAlignment="1">
      <alignment vertical="center"/>
      <protection/>
    </xf>
    <xf numFmtId="3" fontId="30" fillId="0" borderId="37" xfId="68" applyNumberFormat="1" applyFont="1" applyFill="1" applyBorder="1" applyAlignment="1">
      <alignment vertical="center"/>
      <protection/>
    </xf>
    <xf numFmtId="3" fontId="30" fillId="0" borderId="87" xfId="68" applyNumberFormat="1" applyFont="1" applyFill="1" applyBorder="1" applyAlignment="1">
      <alignment vertical="center"/>
      <protection/>
    </xf>
    <xf numFmtId="3" fontId="30" fillId="0" borderId="106" xfId="68" applyNumberFormat="1" applyFont="1" applyFill="1" applyBorder="1" applyAlignment="1">
      <alignment vertical="center"/>
      <protection/>
    </xf>
    <xf numFmtId="3" fontId="30" fillId="0" borderId="98" xfId="68" applyNumberFormat="1" applyFont="1" applyFill="1" applyBorder="1" applyAlignment="1">
      <alignment vertical="center"/>
      <protection/>
    </xf>
    <xf numFmtId="3" fontId="24" fillId="0" borderId="80" xfId="68" applyNumberFormat="1" applyFont="1" applyFill="1" applyBorder="1" applyAlignment="1">
      <alignment vertical="center"/>
      <protection/>
    </xf>
    <xf numFmtId="3" fontId="24" fillId="0" borderId="90" xfId="68" applyNumberFormat="1" applyFont="1" applyFill="1" applyBorder="1" applyAlignment="1">
      <alignment vertical="center"/>
      <protection/>
    </xf>
    <xf numFmtId="3" fontId="24" fillId="0" borderId="157" xfId="68" applyNumberFormat="1" applyFont="1" applyFill="1" applyBorder="1" applyAlignment="1">
      <alignment vertical="center"/>
      <protection/>
    </xf>
    <xf numFmtId="3" fontId="24" fillId="0" borderId="158" xfId="68" applyNumberFormat="1" applyFont="1" applyFill="1" applyBorder="1" applyAlignment="1">
      <alignment vertical="center"/>
      <protection/>
    </xf>
    <xf numFmtId="3" fontId="41" fillId="0" borderId="0" xfId="68" applyNumberFormat="1" applyFont="1" applyFill="1" applyBorder="1">
      <alignment/>
      <protection/>
    </xf>
    <xf numFmtId="0" fontId="37" fillId="0" borderId="0" xfId="68" applyFont="1" applyFill="1" applyBorder="1">
      <alignment/>
      <protection/>
    </xf>
    <xf numFmtId="3" fontId="24" fillId="0" borderId="0" xfId="68" applyNumberFormat="1" applyFont="1" applyFill="1" applyBorder="1">
      <alignment/>
      <protection/>
    </xf>
    <xf numFmtId="3" fontId="28" fillId="0" borderId="46" xfId="66" applyNumberFormat="1" applyFont="1" applyFill="1" applyBorder="1" applyAlignment="1">
      <alignment wrapText="1"/>
      <protection/>
    </xf>
    <xf numFmtId="3" fontId="32" fillId="0" borderId="0" xfId="66" applyNumberFormat="1" applyFont="1" applyFill="1" applyBorder="1" applyAlignment="1">
      <alignment wrapText="1"/>
      <protection/>
    </xf>
    <xf numFmtId="0" fontId="28" fillId="0" borderId="35" xfId="0" applyFont="1" applyFill="1" applyBorder="1" applyAlignment="1">
      <alignment vertical="center"/>
    </xf>
    <xf numFmtId="0" fontId="32" fillId="0" borderId="35" xfId="0" applyFont="1" applyFill="1" applyBorder="1" applyAlignment="1">
      <alignment horizontal="center" vertical="center" wrapText="1"/>
    </xf>
    <xf numFmtId="3" fontId="32" fillId="0" borderId="35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wrapText="1"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26" fillId="0" borderId="29" xfId="0" applyNumberFormat="1" applyFont="1" applyBorder="1" applyAlignment="1">
      <alignment vertical="center"/>
    </xf>
    <xf numFmtId="3" fontId="26" fillId="0" borderId="159" xfId="0" applyNumberFormat="1" applyFont="1" applyBorder="1" applyAlignment="1">
      <alignment vertical="center"/>
    </xf>
    <xf numFmtId="3" fontId="27" fillId="0" borderId="46" xfId="0" applyNumberFormat="1" applyFont="1" applyBorder="1" applyAlignment="1">
      <alignment/>
    </xf>
    <xf numFmtId="0" fontId="24" fillId="0" borderId="44" xfId="68" applyFont="1" applyFill="1" applyBorder="1" applyAlignment="1">
      <alignment horizontal="right" vertical="center"/>
      <protection/>
    </xf>
    <xf numFmtId="0" fontId="39" fillId="0" borderId="120" xfId="68" applyFont="1" applyFill="1" applyBorder="1" applyAlignment="1">
      <alignment horizontal="left"/>
      <protection/>
    </xf>
    <xf numFmtId="0" fontId="24" fillId="0" borderId="45" xfId="68" applyFont="1" applyFill="1" applyBorder="1" applyAlignment="1">
      <alignment horizontal="right" vertical="center"/>
      <protection/>
    </xf>
    <xf numFmtId="3" fontId="28" fillId="0" borderId="0" xfId="0" applyNumberFormat="1" applyFont="1" applyFill="1" applyAlignment="1">
      <alignment vertical="top"/>
    </xf>
    <xf numFmtId="3" fontId="23" fillId="0" borderId="37" xfId="63" applyNumberFormat="1" applyFont="1" applyFill="1" applyBorder="1" applyAlignment="1">
      <alignment horizontal="center" wrapText="1"/>
      <protection/>
    </xf>
    <xf numFmtId="3" fontId="24" fillId="0" borderId="37" xfId="63" applyNumberFormat="1" applyFont="1" applyFill="1" applyBorder="1" applyAlignment="1">
      <alignment horizontal="center"/>
      <protection/>
    </xf>
    <xf numFmtId="3" fontId="50" fillId="0" borderId="87" xfId="61" applyNumberFormat="1" applyFont="1" applyFill="1" applyBorder="1" applyAlignment="1">
      <alignment/>
      <protection/>
    </xf>
    <xf numFmtId="3" fontId="50" fillId="0" borderId="37" xfId="61" applyNumberFormat="1" applyFont="1" applyFill="1" applyBorder="1" applyAlignment="1">
      <alignment/>
      <protection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center"/>
    </xf>
    <xf numFmtId="3" fontId="24" fillId="0" borderId="160" xfId="0" applyNumberFormat="1" applyFont="1" applyFill="1" applyBorder="1" applyAlignment="1">
      <alignment vertical="center"/>
    </xf>
    <xf numFmtId="0" fontId="23" fillId="0" borderId="77" xfId="67" applyFont="1" applyFill="1" applyBorder="1" applyAlignment="1">
      <alignment horizontal="center" textRotation="90" wrapText="1"/>
      <protection/>
    </xf>
    <xf numFmtId="0" fontId="23" fillId="0" borderId="37" xfId="67" applyFont="1" applyFill="1" applyBorder="1" applyAlignment="1">
      <alignment horizontal="center" wrapText="1"/>
      <protection/>
    </xf>
    <xf numFmtId="0" fontId="24" fillId="0" borderId="93" xfId="67" applyFont="1" applyFill="1" applyBorder="1" applyAlignment="1">
      <alignment horizontal="center" wrapText="1"/>
      <protection/>
    </xf>
    <xf numFmtId="0" fontId="24" fillId="0" borderId="91" xfId="68" applyFont="1" applyFill="1" applyBorder="1" applyAlignment="1">
      <alignment horizontal="center"/>
      <protection/>
    </xf>
    <xf numFmtId="0" fontId="24" fillId="0" borderId="39" xfId="68" applyFont="1" applyFill="1" applyBorder="1" applyAlignment="1">
      <alignment horizontal="center"/>
      <protection/>
    </xf>
    <xf numFmtId="3" fontId="23" fillId="0" borderId="91" xfId="63" applyNumberFormat="1" applyFont="1" applyFill="1" applyBorder="1" applyAlignment="1">
      <alignment horizontal="center" wrapText="1"/>
      <protection/>
    </xf>
    <xf numFmtId="0" fontId="24" fillId="0" borderId="39" xfId="67" applyFont="1" applyFill="1" applyBorder="1" applyAlignment="1">
      <alignment horizontal="center" wrapText="1"/>
      <protection/>
    </xf>
    <xf numFmtId="0" fontId="24" fillId="0" borderId="68" xfId="68" applyFont="1" applyFill="1" applyBorder="1" applyAlignment="1">
      <alignment horizontal="center"/>
      <protection/>
    </xf>
    <xf numFmtId="0" fontId="24" fillId="0" borderId="37" xfId="68" applyFont="1" applyFill="1" applyBorder="1" applyAlignment="1">
      <alignment horizontal="center"/>
      <protection/>
    </xf>
    <xf numFmtId="0" fontId="23" fillId="0" borderId="37" xfId="68" applyFont="1" applyFill="1" applyBorder="1" applyAlignment="1">
      <alignment horizontal="center" wrapText="1"/>
      <protection/>
    </xf>
    <xf numFmtId="0" fontId="23" fillId="0" borderId="80" xfId="68" applyFont="1" applyFill="1" applyBorder="1" applyAlignment="1">
      <alignment horizontal="center" wrapText="1"/>
      <protection/>
    </xf>
    <xf numFmtId="0" fontId="37" fillId="0" borderId="0" xfId="68" applyFont="1" applyFill="1" applyBorder="1" applyAlignment="1">
      <alignment horizontal="center" wrapText="1"/>
      <protection/>
    </xf>
    <xf numFmtId="3" fontId="23" fillId="0" borderId="106" xfId="63" applyNumberFormat="1" applyFont="1" applyFill="1" applyBorder="1" applyAlignment="1">
      <alignment wrapText="1"/>
      <protection/>
    </xf>
    <xf numFmtId="3" fontId="23" fillId="0" borderId="106" xfId="63" applyNumberFormat="1" applyFont="1" applyFill="1" applyBorder="1" applyAlignment="1">
      <alignment/>
      <protection/>
    </xf>
    <xf numFmtId="3" fontId="30" fillId="0" borderId="106" xfId="63" applyNumberFormat="1" applyFont="1" applyFill="1" applyBorder="1" applyAlignment="1">
      <alignment/>
      <protection/>
    </xf>
    <xf numFmtId="3" fontId="23" fillId="0" borderId="106" xfId="67" applyNumberFormat="1" applyFont="1" applyFill="1" applyBorder="1" applyAlignment="1">
      <alignment horizontal="right"/>
      <protection/>
    </xf>
    <xf numFmtId="3" fontId="24" fillId="0" borderId="106" xfId="65" applyNumberFormat="1" applyFont="1" applyFill="1" applyBorder="1" applyAlignment="1">
      <alignment wrapText="1"/>
      <protection/>
    </xf>
    <xf numFmtId="3" fontId="23" fillId="0" borderId="37" xfId="68" applyNumberFormat="1" applyFont="1" applyFill="1" applyBorder="1">
      <alignment/>
      <protection/>
    </xf>
    <xf numFmtId="3" fontId="23" fillId="0" borderId="106" xfId="68" applyNumberFormat="1" applyFont="1" applyFill="1" applyBorder="1">
      <alignment/>
      <protection/>
    </xf>
    <xf numFmtId="3" fontId="23" fillId="0" borderId="106" xfId="65" applyNumberFormat="1" applyFont="1" applyFill="1" applyBorder="1">
      <alignment/>
      <protection/>
    </xf>
    <xf numFmtId="3" fontId="24" fillId="0" borderId="106" xfId="65" applyNumberFormat="1" applyFont="1" applyFill="1" applyBorder="1">
      <alignment/>
      <protection/>
    </xf>
    <xf numFmtId="0" fontId="23" fillId="0" borderId="37" xfId="68" applyFont="1" applyFill="1" applyBorder="1" applyAlignment="1">
      <alignment/>
      <protection/>
    </xf>
    <xf numFmtId="3" fontId="23" fillId="0" borderId="106" xfId="67" applyNumberFormat="1" applyFont="1" applyFill="1" applyBorder="1" applyAlignment="1">
      <alignment/>
      <protection/>
    </xf>
    <xf numFmtId="3" fontId="24" fillId="0" borderId="106" xfId="67" applyNumberFormat="1" applyFont="1" applyFill="1" applyBorder="1" applyAlignment="1">
      <alignment horizontal="right"/>
      <protection/>
    </xf>
    <xf numFmtId="3" fontId="23" fillId="0" borderId="106" xfId="67" applyNumberFormat="1" applyFont="1" applyFill="1" applyBorder="1">
      <alignment/>
      <protection/>
    </xf>
    <xf numFmtId="3" fontId="24" fillId="0" borderId="106" xfId="67" applyNumberFormat="1" applyFont="1" applyFill="1" applyBorder="1">
      <alignment/>
      <protection/>
    </xf>
    <xf numFmtId="0" fontId="23" fillId="0" borderId="37" xfId="68" applyFont="1" applyFill="1" applyBorder="1">
      <alignment/>
      <protection/>
    </xf>
    <xf numFmtId="0" fontId="30" fillId="0" borderId="37" xfId="68" applyFont="1" applyFill="1" applyBorder="1">
      <alignment/>
      <protection/>
    </xf>
    <xf numFmtId="0" fontId="0" fillId="0" borderId="37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3" fontId="23" fillId="0" borderId="106" xfId="67" applyNumberFormat="1" applyFont="1" applyFill="1" applyBorder="1" applyAlignment="1">
      <alignment vertical="center"/>
      <protection/>
    </xf>
    <xf numFmtId="3" fontId="23" fillId="0" borderId="106" xfId="67" applyNumberFormat="1" applyFont="1" applyFill="1" applyBorder="1" applyAlignment="1">
      <alignment vertical="top"/>
      <protection/>
    </xf>
    <xf numFmtId="3" fontId="24" fillId="0" borderId="161" xfId="68" applyNumberFormat="1" applyFont="1" applyFill="1" applyBorder="1" applyAlignment="1">
      <alignment horizontal="right"/>
      <protection/>
    </xf>
    <xf numFmtId="3" fontId="24" fillId="0" borderId="62" xfId="68" applyNumberFormat="1" applyFont="1" applyFill="1" applyBorder="1" applyAlignment="1">
      <alignment horizontal="right" vertical="center"/>
      <protection/>
    </xf>
    <xf numFmtId="3" fontId="24" fillId="0" borderId="161" xfId="68" applyNumberFormat="1" applyFont="1" applyFill="1" applyBorder="1" applyAlignment="1">
      <alignment horizontal="right" vertical="center"/>
      <protection/>
    </xf>
    <xf numFmtId="0" fontId="37" fillId="0" borderId="0" xfId="68" applyFont="1" applyFill="1" applyBorder="1" applyAlignment="1">
      <alignment vertical="top"/>
      <protection/>
    </xf>
    <xf numFmtId="0" fontId="37" fillId="0" borderId="0" xfId="68" applyFont="1" applyFill="1" applyBorder="1" applyAlignment="1">
      <alignment horizontal="center" vertical="top"/>
      <protection/>
    </xf>
    <xf numFmtId="0" fontId="23" fillId="0" borderId="0" xfId="68" applyFont="1" applyFill="1" applyBorder="1" applyAlignment="1">
      <alignment horizontal="center" vertical="top" wrapText="1"/>
      <protection/>
    </xf>
    <xf numFmtId="3" fontId="23" fillId="0" borderId="0" xfId="68" applyNumberFormat="1" applyFont="1" applyFill="1" applyBorder="1" applyAlignment="1">
      <alignment horizontal="center" vertical="top"/>
      <protection/>
    </xf>
    <xf numFmtId="3" fontId="23" fillId="0" borderId="76" xfId="61" applyNumberFormat="1" applyFont="1" applyFill="1" applyBorder="1" applyAlignment="1">
      <alignment horizontal="center" vertical="top"/>
      <protection/>
    </xf>
    <xf numFmtId="3" fontId="23" fillId="0" borderId="77" xfId="61" applyNumberFormat="1" applyFont="1" applyFill="1" applyBorder="1" applyAlignment="1">
      <alignment horizontal="center" vertical="top" textRotation="90"/>
      <protection/>
    </xf>
    <xf numFmtId="0" fontId="23" fillId="0" borderId="38" xfId="68" applyFont="1" applyFill="1" applyBorder="1" applyAlignment="1">
      <alignment horizontal="center" vertical="top"/>
      <protection/>
    </xf>
    <xf numFmtId="0" fontId="30" fillId="0" borderId="38" xfId="68" applyFont="1" applyFill="1" applyBorder="1" applyAlignment="1">
      <alignment horizontal="center" vertical="top"/>
      <protection/>
    </xf>
    <xf numFmtId="0" fontId="23" fillId="0" borderId="162" xfId="68" applyFont="1" applyFill="1" applyBorder="1" applyAlignment="1">
      <alignment horizontal="center" vertical="top"/>
      <protection/>
    </xf>
    <xf numFmtId="0" fontId="23" fillId="0" borderId="163" xfId="68" applyFont="1" applyFill="1" applyBorder="1" applyAlignment="1">
      <alignment horizontal="center" vertical="top"/>
      <protection/>
    </xf>
    <xf numFmtId="0" fontId="23" fillId="0" borderId="92" xfId="68" applyFont="1" applyFill="1" applyBorder="1" applyAlignment="1">
      <alignment horizontal="center" vertical="top"/>
      <protection/>
    </xf>
    <xf numFmtId="0" fontId="23" fillId="0" borderId="62" xfId="68" applyFont="1" applyFill="1" applyBorder="1" applyAlignment="1">
      <alignment horizontal="center" vertical="top"/>
      <protection/>
    </xf>
    <xf numFmtId="0" fontId="24" fillId="0" borderId="163" xfId="68" applyFont="1" applyFill="1" applyBorder="1" applyAlignment="1">
      <alignment horizontal="center" vertical="top"/>
      <protection/>
    </xf>
    <xf numFmtId="0" fontId="24" fillId="0" borderId="39" xfId="68" applyFont="1" applyFill="1" applyBorder="1" applyAlignment="1">
      <alignment horizontal="center" vertical="top"/>
      <protection/>
    </xf>
    <xf numFmtId="0" fontId="23" fillId="0" borderId="67" xfId="68" applyFont="1" applyFill="1" applyBorder="1" applyAlignment="1">
      <alignment horizontal="center" vertical="top"/>
      <protection/>
    </xf>
    <xf numFmtId="0" fontId="23" fillId="0" borderId="68" xfId="68" applyFont="1" applyFill="1" applyBorder="1" applyAlignment="1">
      <alignment horizontal="center" vertical="top"/>
      <protection/>
    </xf>
    <xf numFmtId="0" fontId="23" fillId="0" borderId="79" xfId="68" applyFont="1" applyFill="1" applyBorder="1" applyAlignment="1">
      <alignment horizontal="center" vertical="top"/>
      <protection/>
    </xf>
    <xf numFmtId="0" fontId="23" fillId="0" borderId="80" xfId="68" applyFont="1" applyFill="1" applyBorder="1" applyAlignment="1">
      <alignment horizontal="center" vertical="top"/>
      <protection/>
    </xf>
    <xf numFmtId="0" fontId="37" fillId="0" borderId="0" xfId="68" applyFont="1" applyFill="1" applyBorder="1" applyAlignment="1">
      <alignment horizontal="center"/>
      <protection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" fontId="23" fillId="0" borderId="164" xfId="0" applyNumberFormat="1" applyFont="1" applyBorder="1" applyAlignment="1">
      <alignment/>
    </xf>
    <xf numFmtId="0" fontId="23" fillId="0" borderId="128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/>
    </xf>
    <xf numFmtId="0" fontId="23" fillId="0" borderId="128" xfId="0" applyFont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4" fillId="0" borderId="25" xfId="0" applyFont="1" applyFill="1" applyBorder="1" applyAlignment="1">
      <alignment horizontal="left" vertical="center"/>
    </xf>
    <xf numFmtId="3" fontId="24" fillId="0" borderId="14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3" fontId="24" fillId="0" borderId="164" xfId="0" applyNumberFormat="1" applyFont="1" applyBorder="1" applyAlignment="1">
      <alignment horizontal="center"/>
    </xf>
    <xf numFmtId="0" fontId="24" fillId="0" borderId="12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164" xfId="0" applyNumberFormat="1" applyFont="1" applyBorder="1" applyAlignment="1">
      <alignment horizontal="right"/>
    </xf>
    <xf numFmtId="1" fontId="23" fillId="0" borderId="128" xfId="0" applyNumberFormat="1" applyFont="1" applyBorder="1" applyAlignment="1">
      <alignment horizontal="center"/>
    </xf>
    <xf numFmtId="0" fontId="24" fillId="0" borderId="27" xfId="0" applyFont="1" applyFill="1" applyBorder="1" applyAlignment="1">
      <alignment horizontal="left" vertical="center"/>
    </xf>
    <xf numFmtId="3" fontId="24" fillId="0" borderId="165" xfId="0" applyNumberFormat="1" applyFont="1" applyBorder="1" applyAlignment="1">
      <alignment vertical="center"/>
    </xf>
    <xf numFmtId="3" fontId="24" fillId="0" borderId="143" xfId="0" applyNumberFormat="1" applyFont="1" applyBorder="1" applyAlignment="1">
      <alignment horizontal="center" vertical="center"/>
    </xf>
    <xf numFmtId="0" fontId="24" fillId="0" borderId="166" xfId="0" applyFont="1" applyBorder="1" applyAlignment="1">
      <alignment horizontal="center" vertical="center"/>
    </xf>
    <xf numFmtId="0" fontId="24" fillId="0" borderId="167" xfId="0" applyFont="1" applyBorder="1" applyAlignment="1">
      <alignment vertical="center"/>
    </xf>
    <xf numFmtId="3" fontId="23" fillId="0" borderId="164" xfId="0" applyNumberFormat="1" applyFont="1" applyBorder="1" applyAlignment="1">
      <alignment vertical="center"/>
    </xf>
    <xf numFmtId="0" fontId="23" fillId="0" borderId="1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3" fontId="23" fillId="0" borderId="165" xfId="0" applyNumberFormat="1" applyFont="1" applyBorder="1" applyAlignment="1">
      <alignment vertical="center"/>
    </xf>
    <xf numFmtId="0" fontId="23" fillId="0" borderId="143" xfId="0" applyFont="1" applyFill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4" fillId="0" borderId="143" xfId="0" applyFont="1" applyBorder="1" applyAlignment="1">
      <alignment horizontal="right" vertical="center"/>
    </xf>
    <xf numFmtId="0" fontId="24" fillId="0" borderId="70" xfId="0" applyFont="1" applyFill="1" applyBorder="1" applyAlignment="1">
      <alignment horizontal="left" vertical="center"/>
    </xf>
    <xf numFmtId="3" fontId="24" fillId="0" borderId="1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168" xfId="0" applyNumberFormat="1" applyFont="1" applyBorder="1" applyAlignment="1">
      <alignment/>
    </xf>
    <xf numFmtId="3" fontId="24" fillId="0" borderId="169" xfId="0" applyNumberFormat="1" applyFont="1" applyBorder="1" applyAlignment="1">
      <alignment vertical="center"/>
    </xf>
    <xf numFmtId="3" fontId="24" fillId="0" borderId="170" xfId="0" applyNumberFormat="1" applyFont="1" applyBorder="1" applyAlignment="1">
      <alignment vertical="center"/>
    </xf>
    <xf numFmtId="3" fontId="24" fillId="0" borderId="168" xfId="0" applyNumberFormat="1" applyFont="1" applyBorder="1" applyAlignment="1">
      <alignment horizontal="center"/>
    </xf>
    <xf numFmtId="3" fontId="23" fillId="0" borderId="168" xfId="0" applyNumberFormat="1" applyFont="1" applyBorder="1" applyAlignment="1">
      <alignment horizontal="right"/>
    </xf>
    <xf numFmtId="3" fontId="24" fillId="0" borderId="171" xfId="0" applyNumberFormat="1" applyFont="1" applyBorder="1" applyAlignment="1">
      <alignment vertical="center"/>
    </xf>
    <xf numFmtId="3" fontId="24" fillId="0" borderId="172" xfId="0" applyNumberFormat="1" applyFont="1" applyBorder="1" applyAlignment="1">
      <alignment vertical="center"/>
    </xf>
    <xf numFmtId="3" fontId="24" fillId="0" borderId="173" xfId="0" applyNumberFormat="1" applyFont="1" applyBorder="1" applyAlignment="1">
      <alignment vertical="center"/>
    </xf>
    <xf numFmtId="3" fontId="23" fillId="0" borderId="168" xfId="0" applyNumberFormat="1" applyFont="1" applyBorder="1" applyAlignment="1">
      <alignment vertical="center"/>
    </xf>
    <xf numFmtId="3" fontId="23" fillId="0" borderId="171" xfId="0" applyNumberFormat="1" applyFont="1" applyBorder="1" applyAlignment="1">
      <alignment vertical="center"/>
    </xf>
    <xf numFmtId="3" fontId="24" fillId="0" borderId="174" xfId="0" applyNumberFormat="1" applyFont="1" applyBorder="1" applyAlignment="1">
      <alignment vertical="center"/>
    </xf>
    <xf numFmtId="3" fontId="24" fillId="0" borderId="164" xfId="0" applyNumberFormat="1" applyFont="1" applyBorder="1" applyAlignment="1">
      <alignment vertical="center"/>
    </xf>
    <xf numFmtId="0" fontId="24" fillId="0" borderId="175" xfId="0" applyFont="1" applyBorder="1" applyAlignment="1">
      <alignment horizontal="center" vertical="center"/>
    </xf>
    <xf numFmtId="3" fontId="24" fillId="0" borderId="176" xfId="0" applyNumberFormat="1" applyFont="1" applyBorder="1" applyAlignment="1">
      <alignment horizontal="center" vertical="center"/>
    </xf>
    <xf numFmtId="3" fontId="24" fillId="0" borderId="177" xfId="0" applyNumberFormat="1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3" fontId="23" fillId="0" borderId="168" xfId="0" applyNumberFormat="1" applyFont="1" applyBorder="1" applyAlignment="1">
      <alignment vertical="top"/>
    </xf>
    <xf numFmtId="3" fontId="24" fillId="0" borderId="169" xfId="0" applyNumberFormat="1" applyFont="1" applyBorder="1" applyAlignment="1">
      <alignment horizontal="right" vertical="center"/>
    </xf>
    <xf numFmtId="3" fontId="24" fillId="0" borderId="171" xfId="0" applyNumberFormat="1" applyFont="1" applyBorder="1" applyAlignment="1">
      <alignment horizontal="right" vertical="center"/>
    </xf>
    <xf numFmtId="3" fontId="24" fillId="0" borderId="168" xfId="0" applyNumberFormat="1" applyFont="1" applyBorder="1" applyAlignment="1">
      <alignment horizontal="right" vertical="center"/>
    </xf>
    <xf numFmtId="3" fontId="24" fillId="0" borderId="168" xfId="0" applyNumberFormat="1" applyFont="1" applyBorder="1" applyAlignment="1">
      <alignment vertical="center"/>
    </xf>
    <xf numFmtId="0" fontId="23" fillId="0" borderId="178" xfId="0" applyFont="1" applyBorder="1" applyAlignment="1">
      <alignment horizontal="right"/>
    </xf>
    <xf numFmtId="0" fontId="23" fillId="0" borderId="59" xfId="0" applyFont="1" applyBorder="1" applyAlignment="1">
      <alignment/>
    </xf>
    <xf numFmtId="165" fontId="23" fillId="0" borderId="176" xfId="76" applyNumberFormat="1" applyFont="1" applyBorder="1" applyAlignment="1">
      <alignment horizontal="center"/>
    </xf>
    <xf numFmtId="165" fontId="23" fillId="0" borderId="59" xfId="76" applyNumberFormat="1" applyFont="1" applyBorder="1" applyAlignment="1">
      <alignment horizontal="center"/>
    </xf>
    <xf numFmtId="0" fontId="23" fillId="0" borderId="153" xfId="0" applyFont="1" applyBorder="1" applyAlignment="1">
      <alignment horizontal="right"/>
    </xf>
    <xf numFmtId="0" fontId="23" fillId="0" borderId="179" xfId="0" applyFont="1" applyBorder="1" applyAlignment="1">
      <alignment horizontal="right"/>
    </xf>
    <xf numFmtId="0" fontId="23" fillId="0" borderId="46" xfId="0" applyFont="1" applyBorder="1" applyAlignment="1">
      <alignment/>
    </xf>
    <xf numFmtId="165" fontId="23" fillId="0" borderId="180" xfId="76" applyNumberFormat="1" applyFont="1" applyBorder="1" applyAlignment="1">
      <alignment horizontal="center"/>
    </xf>
    <xf numFmtId="165" fontId="23" fillId="0" borderId="46" xfId="76" applyNumberFormat="1" applyFont="1" applyBorder="1" applyAlignment="1">
      <alignment horizontal="center"/>
    </xf>
    <xf numFmtId="0" fontId="23" fillId="0" borderId="141" xfId="0" applyFont="1" applyBorder="1" applyAlignment="1">
      <alignment horizontal="right"/>
    </xf>
    <xf numFmtId="0" fontId="24" fillId="0" borderId="178" xfId="0" applyFont="1" applyBorder="1" applyAlignment="1">
      <alignment horizontal="left" vertical="center"/>
    </xf>
    <xf numFmtId="3" fontId="24" fillId="0" borderId="176" xfId="0" applyNumberFormat="1" applyFont="1" applyBorder="1" applyAlignment="1">
      <alignment horizontal="center" vertical="center" wrapText="1"/>
    </xf>
    <xf numFmtId="0" fontId="23" fillId="0" borderId="181" xfId="0" applyFont="1" applyBorder="1" applyAlignment="1">
      <alignment horizontal="center" vertical="top"/>
    </xf>
    <xf numFmtId="0" fontId="24" fillId="0" borderId="182" xfId="0" applyFont="1" applyBorder="1" applyAlignment="1">
      <alignment horizontal="right" vertical="center"/>
    </xf>
    <xf numFmtId="0" fontId="24" fillId="0" borderId="181" xfId="0" applyFont="1" applyBorder="1" applyAlignment="1">
      <alignment horizontal="left"/>
    </xf>
    <xf numFmtId="3" fontId="23" fillId="0" borderId="168" xfId="0" applyNumberFormat="1" applyFont="1" applyBorder="1" applyAlignment="1">
      <alignment horizontal="center" vertical="center" textRotation="180"/>
    </xf>
    <xf numFmtId="0" fontId="23" fillId="0" borderId="181" xfId="0" applyFont="1" applyBorder="1" applyAlignment="1">
      <alignment horizontal="center"/>
    </xf>
    <xf numFmtId="0" fontId="24" fillId="0" borderId="183" xfId="0" applyFont="1" applyBorder="1" applyAlignment="1">
      <alignment horizontal="right" vertical="center"/>
    </xf>
    <xf numFmtId="0" fontId="24" fillId="0" borderId="184" xfId="0" applyFont="1" applyBorder="1" applyAlignment="1">
      <alignment vertical="center"/>
    </xf>
    <xf numFmtId="0" fontId="23" fillId="0" borderId="181" xfId="0" applyFont="1" applyBorder="1" applyAlignment="1">
      <alignment horizontal="right" vertical="center"/>
    </xf>
    <xf numFmtId="0" fontId="23" fillId="0" borderId="181" xfId="0" applyFont="1" applyBorder="1" applyAlignment="1">
      <alignment horizontal="center" vertical="center"/>
    </xf>
    <xf numFmtId="0" fontId="23" fillId="0" borderId="183" xfId="0" applyFont="1" applyBorder="1" applyAlignment="1">
      <alignment horizontal="center" vertical="center"/>
    </xf>
    <xf numFmtId="0" fontId="23" fillId="0" borderId="183" xfId="0" applyFont="1" applyBorder="1" applyAlignment="1">
      <alignment horizontal="right" vertical="center"/>
    </xf>
    <xf numFmtId="0" fontId="24" fillId="0" borderId="185" xfId="0" applyFont="1" applyBorder="1" applyAlignment="1">
      <alignment horizontal="right" vertical="center"/>
    </xf>
    <xf numFmtId="0" fontId="24" fillId="0" borderId="181" xfId="0" applyFont="1" applyBorder="1" applyAlignment="1">
      <alignment horizontal="right" vertical="center"/>
    </xf>
    <xf numFmtId="3" fontId="23" fillId="0" borderId="68" xfId="68" applyNumberFormat="1" applyFont="1" applyFill="1" applyBorder="1" applyAlignment="1">
      <alignment horizontal="right" vertical="center"/>
      <protection/>
    </xf>
    <xf numFmtId="3" fontId="23" fillId="0" borderId="186" xfId="68" applyNumberFormat="1" applyFont="1" applyFill="1" applyBorder="1" applyAlignment="1">
      <alignment horizontal="right" vertical="center"/>
      <protection/>
    </xf>
    <xf numFmtId="3" fontId="30" fillId="0" borderId="25" xfId="0" applyNumberFormat="1" applyFont="1" applyFill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3" fontId="26" fillId="0" borderId="187" xfId="61" applyNumberFormat="1" applyFont="1" applyBorder="1" applyAlignment="1">
      <alignment horizontal="right" wrapText="1"/>
      <protection/>
    </xf>
    <xf numFmtId="3" fontId="26" fillId="0" borderId="188" xfId="0" applyNumberFormat="1" applyFont="1" applyBorder="1" applyAlignment="1">
      <alignment vertical="center"/>
    </xf>
    <xf numFmtId="3" fontId="26" fillId="0" borderId="18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horizontal="right" wrapText="1"/>
    </xf>
    <xf numFmtId="3" fontId="32" fillId="0" borderId="63" xfId="61" applyNumberFormat="1" applyFont="1" applyFill="1" applyBorder="1" applyAlignment="1">
      <alignment horizontal="right" vertical="center"/>
      <protection/>
    </xf>
    <xf numFmtId="3" fontId="49" fillId="0" borderId="63" xfId="0" applyNumberFormat="1" applyFont="1" applyFill="1" applyBorder="1" applyAlignment="1">
      <alignment/>
    </xf>
    <xf numFmtId="3" fontId="50" fillId="0" borderId="63" xfId="61" applyNumberFormat="1" applyFont="1" applyFill="1" applyBorder="1" applyAlignment="1">
      <alignment/>
      <protection/>
    </xf>
    <xf numFmtId="3" fontId="51" fillId="0" borderId="63" xfId="0" applyNumberFormat="1" applyFont="1" applyFill="1" applyBorder="1" applyAlignment="1">
      <alignment/>
    </xf>
    <xf numFmtId="3" fontId="51" fillId="0" borderId="81" xfId="0" applyNumberFormat="1" applyFont="1" applyFill="1" applyBorder="1" applyAlignment="1">
      <alignment/>
    </xf>
    <xf numFmtId="3" fontId="22" fillId="0" borderId="190" xfId="0" applyNumberFormat="1" applyFont="1" applyFill="1" applyBorder="1" applyAlignment="1">
      <alignment horizontal="center" vertical="center" wrapText="1"/>
    </xf>
    <xf numFmtId="3" fontId="22" fillId="0" borderId="191" xfId="0" applyNumberFormat="1" applyFont="1" applyFill="1" applyBorder="1" applyAlignment="1">
      <alignment horizontal="center" vertical="center" wrapText="1"/>
    </xf>
    <xf numFmtId="3" fontId="29" fillId="0" borderId="190" xfId="0" applyNumberFormat="1" applyFont="1" applyBorder="1" applyAlignment="1">
      <alignment horizontal="center" vertical="center"/>
    </xf>
    <xf numFmtId="3" fontId="29" fillId="0" borderId="191" xfId="0" applyNumberFormat="1" applyFont="1" applyBorder="1" applyAlignment="1">
      <alignment horizontal="center" vertical="center"/>
    </xf>
    <xf numFmtId="3" fontId="22" fillId="0" borderId="190" xfId="0" applyNumberFormat="1" applyFont="1" applyBorder="1" applyAlignment="1">
      <alignment horizontal="center" vertical="center" textRotation="90"/>
    </xf>
    <xf numFmtId="0" fontId="36" fillId="0" borderId="191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vertical="center"/>
    </xf>
    <xf numFmtId="3" fontId="22" fillId="0" borderId="190" xfId="0" applyNumberFormat="1" applyFont="1" applyBorder="1" applyAlignment="1">
      <alignment horizontal="center" vertical="center" wrapText="1"/>
    </xf>
    <xf numFmtId="3" fontId="22" fillId="0" borderId="191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192" xfId="0" applyNumberFormat="1" applyFont="1" applyBorder="1" applyAlignment="1">
      <alignment horizontal="center" vertical="center" textRotation="90"/>
    </xf>
    <xf numFmtId="3" fontId="22" fillId="0" borderId="193" xfId="0" applyNumberFormat="1" applyFont="1" applyBorder="1" applyAlignment="1">
      <alignment horizontal="center" vertical="center" textRotation="90"/>
    </xf>
    <xf numFmtId="3" fontId="22" fillId="0" borderId="194" xfId="0" applyNumberFormat="1" applyFont="1" applyBorder="1" applyAlignment="1">
      <alignment horizontal="center" vertical="center" wrapText="1"/>
    </xf>
    <xf numFmtId="3" fontId="22" fillId="0" borderId="195" xfId="0" applyNumberFormat="1" applyFont="1" applyBorder="1" applyAlignment="1">
      <alignment horizontal="center" vertical="center" wrapText="1"/>
    </xf>
    <xf numFmtId="3" fontId="23" fillId="0" borderId="191" xfId="0" applyNumberFormat="1" applyFont="1" applyFill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left" vertical="center"/>
    </xf>
    <xf numFmtId="3" fontId="23" fillId="0" borderId="17" xfId="66" applyNumberFormat="1" applyFont="1" applyFill="1" applyBorder="1" applyAlignment="1">
      <alignment horizontal="left"/>
      <protection/>
    </xf>
    <xf numFmtId="3" fontId="23" fillId="0" borderId="19" xfId="66" applyNumberFormat="1" applyFont="1" applyFill="1" applyBorder="1" applyAlignment="1">
      <alignment horizontal="left" wrapText="1"/>
      <protection/>
    </xf>
    <xf numFmtId="3" fontId="23" fillId="0" borderId="19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/>
    </xf>
    <xf numFmtId="3" fontId="25" fillId="0" borderId="0" xfId="61" applyNumberFormat="1" applyFont="1" applyFill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3" fontId="28" fillId="0" borderId="0" xfId="61" applyNumberFormat="1" applyFont="1" applyFill="1" applyAlignment="1">
      <alignment horizontal="left" vertical="center"/>
      <protection/>
    </xf>
    <xf numFmtId="3" fontId="22" fillId="0" borderId="0" xfId="61" applyNumberFormat="1" applyFont="1" applyFill="1" applyBorder="1" applyAlignment="1">
      <alignment horizontal="right"/>
      <protection/>
    </xf>
    <xf numFmtId="3" fontId="28" fillId="0" borderId="0" xfId="61" applyNumberFormat="1" applyFont="1" applyFill="1" applyAlignment="1">
      <alignment horizontal="center" vertical="center"/>
      <protection/>
    </xf>
    <xf numFmtId="3" fontId="23" fillId="0" borderId="196" xfId="0" applyNumberFormat="1" applyFont="1" applyFill="1" applyBorder="1" applyAlignment="1">
      <alignment horizontal="center" vertical="center" wrapText="1"/>
    </xf>
    <xf numFmtId="3" fontId="23" fillId="0" borderId="19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0" xfId="66" applyNumberFormat="1" applyFont="1" applyFill="1" applyBorder="1" applyAlignment="1">
      <alignment horizontal="left"/>
      <protection/>
    </xf>
    <xf numFmtId="3" fontId="24" fillId="0" borderId="0" xfId="0" applyNumberFormat="1" applyFont="1" applyFill="1" applyBorder="1" applyAlignment="1">
      <alignment horizontal="left" vertical="center"/>
    </xf>
    <xf numFmtId="3" fontId="23" fillId="0" borderId="0" xfId="66" applyNumberFormat="1" applyFont="1" applyFill="1" applyBorder="1" applyAlignment="1">
      <alignment horizontal="left" wrapText="1"/>
      <protection/>
    </xf>
    <xf numFmtId="3" fontId="23" fillId="0" borderId="0" xfId="0" applyNumberFormat="1" applyFont="1" applyFill="1" applyBorder="1" applyAlignment="1">
      <alignment horizontal="left"/>
    </xf>
    <xf numFmtId="3" fontId="29" fillId="0" borderId="190" xfId="0" applyNumberFormat="1" applyFont="1" applyFill="1" applyBorder="1" applyAlignment="1">
      <alignment horizontal="center" vertical="center"/>
    </xf>
    <xf numFmtId="3" fontId="29" fillId="0" borderId="191" xfId="0" applyNumberFormat="1" applyFont="1" applyFill="1" applyBorder="1" applyAlignment="1">
      <alignment horizontal="center" vertical="center"/>
    </xf>
    <xf numFmtId="3" fontId="22" fillId="0" borderId="190" xfId="0" applyNumberFormat="1" applyFont="1" applyFill="1" applyBorder="1" applyAlignment="1">
      <alignment horizontal="center" vertical="center" textRotation="90"/>
    </xf>
    <xf numFmtId="0" fontId="36" fillId="0" borderId="191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left" vertical="center"/>
    </xf>
    <xf numFmtId="3" fontId="22" fillId="0" borderId="192" xfId="0" applyNumberFormat="1" applyFont="1" applyFill="1" applyBorder="1" applyAlignment="1">
      <alignment horizontal="center" vertical="center" textRotation="90"/>
    </xf>
    <xf numFmtId="3" fontId="22" fillId="0" borderId="193" xfId="0" applyNumberFormat="1" applyFont="1" applyFill="1" applyBorder="1" applyAlignment="1">
      <alignment horizontal="center" vertical="center" textRotation="90"/>
    </xf>
    <xf numFmtId="3" fontId="22" fillId="0" borderId="65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65" xfId="0" applyNumberFormat="1" applyFont="1" applyFill="1" applyBorder="1" applyAlignment="1">
      <alignment horizontal="center" vertical="center" textRotation="90"/>
    </xf>
    <xf numFmtId="3" fontId="22" fillId="0" borderId="12" xfId="0" applyNumberFormat="1" applyFont="1" applyFill="1" applyBorder="1" applyAlignment="1">
      <alignment horizontal="center" vertical="center" textRotation="90"/>
    </xf>
    <xf numFmtId="3" fontId="23" fillId="0" borderId="49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9" fillId="0" borderId="65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3" fontId="30" fillId="0" borderId="14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left" vertical="center"/>
    </xf>
    <xf numFmtId="3" fontId="23" fillId="0" borderId="129" xfId="66" applyNumberFormat="1" applyFont="1" applyFill="1" applyBorder="1" applyAlignment="1">
      <alignment horizontal="left" wrapText="1"/>
      <protection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59" xfId="0" applyNumberFormat="1" applyFont="1" applyFill="1" applyBorder="1" applyAlignment="1">
      <alignment horizontal="left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57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left" vertical="top"/>
    </xf>
    <xf numFmtId="3" fontId="30" fillId="0" borderId="14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65" xfId="61" applyNumberFormat="1" applyFont="1" applyFill="1" applyBorder="1" applyAlignment="1">
      <alignment horizontal="center" vertical="center" wrapText="1"/>
      <protection/>
    </xf>
    <xf numFmtId="3" fontId="23" fillId="0" borderId="0" xfId="66" applyNumberFormat="1" applyFont="1" applyFill="1" applyBorder="1" applyAlignment="1">
      <alignment horizontal="left" wrapText="1" indent="1"/>
      <protection/>
    </xf>
    <xf numFmtId="3" fontId="23" fillId="0" borderId="198" xfId="0" applyNumberFormat="1" applyFont="1" applyFill="1" applyBorder="1" applyAlignment="1">
      <alignment horizontal="center" vertical="center" wrapText="1"/>
    </xf>
    <xf numFmtId="3" fontId="23" fillId="0" borderId="199" xfId="0" applyNumberFormat="1" applyFont="1" applyFill="1" applyBorder="1" applyAlignment="1">
      <alignment horizontal="center" vertical="center" wrapText="1"/>
    </xf>
    <xf numFmtId="3" fontId="22" fillId="0" borderId="65" xfId="0" applyNumberFormat="1" applyFont="1" applyFill="1" applyBorder="1" applyAlignment="1">
      <alignment horizontal="center" vertical="center" textRotation="90" wrapText="1"/>
    </xf>
    <xf numFmtId="0" fontId="36" fillId="0" borderId="12" xfId="0" applyFont="1" applyFill="1" applyBorder="1" applyAlignment="1">
      <alignment horizontal="center" vertical="center" textRotation="90" wrapText="1"/>
    </xf>
    <xf numFmtId="3" fontId="22" fillId="0" borderId="49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5" fillId="0" borderId="0" xfId="61" applyNumberFormat="1" applyFont="1" applyFill="1" applyAlignment="1">
      <alignment horizontal="center"/>
      <protection/>
    </xf>
    <xf numFmtId="3" fontId="22" fillId="0" borderId="0" xfId="0" applyNumberFormat="1" applyFont="1" applyFill="1" applyBorder="1" applyAlignment="1">
      <alignment horizontal="left"/>
    </xf>
    <xf numFmtId="3" fontId="28" fillId="0" borderId="0" xfId="61" applyNumberFormat="1" applyFont="1" applyFill="1" applyAlignment="1">
      <alignment horizontal="left"/>
      <protection/>
    </xf>
    <xf numFmtId="3" fontId="23" fillId="0" borderId="76" xfId="61" applyNumberFormat="1" applyFont="1" applyFill="1" applyBorder="1" applyAlignment="1">
      <alignment horizontal="center" vertical="center" textRotation="90"/>
      <protection/>
    </xf>
    <xf numFmtId="3" fontId="23" fillId="0" borderId="163" xfId="61" applyNumberFormat="1" applyFont="1" applyFill="1" applyBorder="1" applyAlignment="1">
      <alignment horizontal="center" vertical="center" textRotation="90"/>
      <protection/>
    </xf>
    <xf numFmtId="0" fontId="24" fillId="0" borderId="77" xfId="61" applyFont="1" applyFill="1" applyBorder="1" applyAlignment="1">
      <alignment horizontal="center" vertical="center"/>
      <protection/>
    </xf>
    <xf numFmtId="0" fontId="24" fillId="0" borderId="39" xfId="61" applyFont="1" applyFill="1" applyBorder="1" applyAlignment="1">
      <alignment horizontal="center" vertical="center"/>
      <protection/>
    </xf>
    <xf numFmtId="3" fontId="28" fillId="0" borderId="0" xfId="61" applyNumberFormat="1" applyFont="1" applyFill="1" applyAlignment="1">
      <alignment horizontal="right"/>
      <protection/>
    </xf>
    <xf numFmtId="3" fontId="23" fillId="0" borderId="89" xfId="61" applyNumberFormat="1" applyFont="1" applyFill="1" applyBorder="1" applyAlignment="1">
      <alignment horizontal="center" vertical="center" wrapText="1"/>
      <protection/>
    </xf>
    <xf numFmtId="3" fontId="23" fillId="0" borderId="108" xfId="61" applyNumberFormat="1" applyFont="1" applyFill="1" applyBorder="1" applyAlignment="1">
      <alignment horizontal="center" vertical="center" wrapText="1"/>
      <protection/>
    </xf>
    <xf numFmtId="3" fontId="23" fillId="0" borderId="77" xfId="61" applyNumberFormat="1" applyFont="1" applyFill="1" applyBorder="1" applyAlignment="1">
      <alignment horizontal="center" vertical="center" textRotation="90"/>
      <protection/>
    </xf>
    <xf numFmtId="3" fontId="23" fillId="0" borderId="39" xfId="61" applyNumberFormat="1" applyFont="1" applyFill="1" applyBorder="1" applyAlignment="1">
      <alignment horizontal="center" vertical="center" textRotation="90"/>
      <protection/>
    </xf>
    <xf numFmtId="3" fontId="23" fillId="0" borderId="77" xfId="61" applyNumberFormat="1" applyFont="1" applyFill="1" applyBorder="1" applyAlignment="1">
      <alignment horizontal="center" vertical="center" wrapText="1"/>
      <protection/>
    </xf>
    <xf numFmtId="3" fontId="23" fillId="0" borderId="39" xfId="61" applyNumberFormat="1" applyFont="1" applyFill="1" applyBorder="1" applyAlignment="1">
      <alignment horizontal="center" vertical="center" wrapText="1"/>
      <protection/>
    </xf>
    <xf numFmtId="3" fontId="23" fillId="0" borderId="77" xfId="0" applyNumberFormat="1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horizontal="center" vertical="center"/>
    </xf>
    <xf numFmtId="3" fontId="23" fillId="0" borderId="84" xfId="61" applyNumberFormat="1" applyFont="1" applyFill="1" applyBorder="1" applyAlignment="1">
      <alignment horizontal="center" vertical="center" wrapText="1"/>
      <protection/>
    </xf>
    <xf numFmtId="3" fontId="23" fillId="0" borderId="95" xfId="61" applyNumberFormat="1" applyFont="1" applyFill="1" applyBorder="1" applyAlignment="1">
      <alignment horizontal="center" vertical="center" wrapText="1"/>
      <protection/>
    </xf>
    <xf numFmtId="3" fontId="37" fillId="0" borderId="77" xfId="0" applyNumberFormat="1" applyFont="1" applyFill="1" applyBorder="1" applyAlignment="1">
      <alignment horizontal="center" vertical="center" textRotation="90" wrapText="1"/>
    </xf>
    <xf numFmtId="0" fontId="37" fillId="0" borderId="39" xfId="0" applyFont="1" applyFill="1" applyBorder="1" applyAlignment="1">
      <alignment horizontal="center" vertical="center" textRotation="90" wrapText="1"/>
    </xf>
    <xf numFmtId="3" fontId="28" fillId="0" borderId="75" xfId="61" applyNumberFormat="1" applyFont="1" applyFill="1" applyBorder="1" applyAlignment="1">
      <alignment horizontal="left"/>
      <protection/>
    </xf>
    <xf numFmtId="0" fontId="0" fillId="0" borderId="200" xfId="0" applyFont="1" applyFill="1" applyBorder="1" applyAlignment="1">
      <alignment/>
    </xf>
    <xf numFmtId="0" fontId="0" fillId="0" borderId="147" xfId="0" applyFont="1" applyFill="1" applyBorder="1" applyAlignment="1">
      <alignment/>
    </xf>
    <xf numFmtId="3" fontId="24" fillId="0" borderId="18" xfId="68" applyNumberFormat="1" applyFont="1" applyFill="1" applyBorder="1" applyAlignment="1">
      <alignment horizontal="center" vertical="center" wrapText="1"/>
      <protection/>
    </xf>
    <xf numFmtId="3" fontId="24" fillId="0" borderId="11" xfId="68" applyNumberFormat="1" applyFont="1" applyFill="1" applyBorder="1" applyAlignment="1">
      <alignment horizontal="center" vertical="center" wrapText="1"/>
      <protection/>
    </xf>
    <xf numFmtId="3" fontId="24" fillId="0" borderId="201" xfId="68" applyNumberFormat="1" applyFont="1" applyFill="1" applyBorder="1" applyAlignment="1">
      <alignment horizontal="center" vertical="center" wrapText="1"/>
      <protection/>
    </xf>
    <xf numFmtId="3" fontId="24" fillId="0" borderId="202" xfId="68" applyNumberFormat="1" applyFont="1" applyFill="1" applyBorder="1" applyAlignment="1">
      <alignment horizontal="center" vertical="center" wrapText="1"/>
      <protection/>
    </xf>
    <xf numFmtId="3" fontId="24" fillId="0" borderId="203" xfId="68" applyNumberFormat="1" applyFont="1" applyFill="1" applyBorder="1" applyAlignment="1">
      <alignment horizontal="center" vertical="center" wrapText="1"/>
      <protection/>
    </xf>
    <xf numFmtId="3" fontId="24" fillId="0" borderId="116" xfId="68" applyNumberFormat="1" applyFont="1" applyFill="1" applyBorder="1" applyAlignment="1">
      <alignment horizontal="center" vertical="center" wrapText="1"/>
      <protection/>
    </xf>
    <xf numFmtId="3" fontId="24" fillId="0" borderId="138" xfId="68" applyNumberFormat="1" applyFont="1" applyFill="1" applyBorder="1" applyAlignment="1">
      <alignment horizontal="center" vertical="center" wrapText="1"/>
      <protection/>
    </xf>
    <xf numFmtId="3" fontId="24" fillId="0" borderId="204" xfId="68" applyNumberFormat="1" applyFont="1" applyFill="1" applyBorder="1" applyAlignment="1">
      <alignment horizontal="center" vertical="center" wrapText="1"/>
      <protection/>
    </xf>
    <xf numFmtId="0" fontId="23" fillId="0" borderId="0" xfId="68" applyFont="1" applyFill="1" applyBorder="1" applyAlignment="1">
      <alignment horizontal="left"/>
      <protection/>
    </xf>
    <xf numFmtId="3" fontId="23" fillId="0" borderId="205" xfId="61" applyNumberFormat="1" applyFont="1" applyFill="1" applyBorder="1" applyAlignment="1">
      <alignment horizontal="center" vertical="top" textRotation="90"/>
      <protection/>
    </xf>
    <xf numFmtId="3" fontId="23" fillId="0" borderId="54" xfId="61" applyNumberFormat="1" applyFont="1" applyFill="1" applyBorder="1" applyAlignment="1">
      <alignment horizontal="center" vertical="top" textRotation="90"/>
      <protection/>
    </xf>
    <xf numFmtId="3" fontId="23" fillId="0" borderId="206" xfId="61" applyNumberFormat="1" applyFont="1" applyFill="1" applyBorder="1" applyAlignment="1">
      <alignment horizontal="center" vertical="top" textRotation="90"/>
      <protection/>
    </xf>
    <xf numFmtId="3" fontId="23" fillId="0" borderId="207" xfId="61" applyNumberFormat="1" applyFont="1" applyFill="1" applyBorder="1" applyAlignment="1">
      <alignment horizontal="center" vertical="top" textRotation="90"/>
      <protection/>
    </xf>
    <xf numFmtId="3" fontId="24" fillId="0" borderId="208" xfId="68" applyNumberFormat="1" applyFont="1" applyFill="1" applyBorder="1" applyAlignment="1">
      <alignment horizontal="center" vertical="center" wrapText="1"/>
      <protection/>
    </xf>
    <xf numFmtId="3" fontId="24" fillId="0" borderId="45" xfId="68" applyNumberFormat="1" applyFont="1" applyFill="1" applyBorder="1" applyAlignment="1">
      <alignment horizontal="center" vertical="center" wrapText="1"/>
      <protection/>
    </xf>
    <xf numFmtId="0" fontId="24" fillId="0" borderId="204" xfId="68" applyFont="1" applyFill="1" applyBorder="1" applyAlignment="1">
      <alignment horizontal="center" vertical="center" wrapText="1"/>
      <protection/>
    </xf>
    <xf numFmtId="0" fontId="24" fillId="0" borderId="209" xfId="68" applyFont="1" applyFill="1" applyBorder="1" applyAlignment="1">
      <alignment horizontal="center" vertical="center" wrapText="1"/>
      <protection/>
    </xf>
    <xf numFmtId="0" fontId="24" fillId="0" borderId="0" xfId="68" applyFont="1" applyFill="1" applyBorder="1" applyAlignment="1">
      <alignment horizontal="center"/>
      <protection/>
    </xf>
    <xf numFmtId="0" fontId="23" fillId="0" borderId="208" xfId="67" applyFont="1" applyFill="1" applyBorder="1" applyAlignment="1">
      <alignment horizontal="center" vertical="center" textRotation="90" wrapText="1"/>
      <protection/>
    </xf>
    <xf numFmtId="0" fontId="23" fillId="0" borderId="45" xfId="67" applyFont="1" applyFill="1" applyBorder="1" applyAlignment="1">
      <alignment horizontal="center" vertical="center" textRotation="90" wrapText="1"/>
      <protection/>
    </xf>
    <xf numFmtId="0" fontId="23" fillId="0" borderId="0" xfId="67" applyFont="1" applyFill="1" applyBorder="1" applyAlignment="1">
      <alignment horizontal="left" vertical="top"/>
      <protection/>
    </xf>
    <xf numFmtId="0" fontId="24" fillId="0" borderId="0" xfId="67" applyFont="1" applyFill="1" applyBorder="1" applyAlignment="1">
      <alignment horizontal="center"/>
      <protection/>
    </xf>
    <xf numFmtId="3" fontId="23" fillId="0" borderId="0" xfId="67" applyNumberFormat="1" applyFont="1" applyFill="1" applyBorder="1" applyAlignment="1">
      <alignment horizontal="right"/>
      <protection/>
    </xf>
    <xf numFmtId="0" fontId="25" fillId="0" borderId="4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25" fillId="0" borderId="57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28" fillId="0" borderId="10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5" fillId="0" borderId="6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2007.évi konc. összefoglaló bevétel" xfId="61"/>
    <cellStyle name="Normál_2012. évi KONCEPCIÓ_2011_11_04" xfId="62"/>
    <cellStyle name="Normál_Beruházási tábla 2007" xfId="63"/>
    <cellStyle name="Normál_Beruházási tábla 2007_Koltsegvetes_modositas_aprilis_tablazatai" xfId="64"/>
    <cellStyle name="Normál_EU-s tábla kv-hez" xfId="65"/>
    <cellStyle name="Normál_Intézményi bevétel-kiadás" xfId="66"/>
    <cellStyle name="Normál_Városfejlesztési Iroda - 2008. kv. tervezés" xfId="67"/>
    <cellStyle name="Normál_Városfejlesztési Iroda - 2008. kv. tervezés_2014.évi eredeti előirányzat" xfId="68"/>
    <cellStyle name="Normál_Városfejlesztési Iroda - 2008. kv. tervezés_Koltsegvetes_modositas_aprilis_tablazatai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zilvi\2014k&#246;lts&#233;gvet&#233;s\Onbe,%20Onki%20munkap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3.Onki"/>
    </sheetNames>
    <sheetDataSet>
      <sheetData sheetId="1">
        <row r="32">
          <cell r="G32">
            <v>15438188</v>
          </cell>
          <cell r="H32">
            <v>13498810</v>
          </cell>
          <cell r="I32">
            <v>16224863</v>
          </cell>
          <cell r="J32">
            <v>16308080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8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3.625" style="301" bestFit="1" customWidth="1"/>
    <col min="2" max="2" width="3.75390625" style="303" customWidth="1"/>
    <col min="3" max="3" width="4.125" style="304" customWidth="1"/>
    <col min="4" max="4" width="81.25390625" style="305" bestFit="1" customWidth="1"/>
    <col min="5" max="5" width="15.25390625" style="57" bestFit="1" customWidth="1"/>
    <col min="6" max="6" width="10.25390625" style="303" hidden="1" customWidth="1"/>
    <col min="7" max="7" width="0" style="303" hidden="1" customWidth="1"/>
    <col min="8" max="8" width="11.25390625" style="303" hidden="1" customWidth="1"/>
    <col min="9" max="11" width="0" style="303" hidden="1" customWidth="1"/>
    <col min="12" max="12" width="10.125" style="303" bestFit="1" customWidth="1"/>
    <col min="13" max="16384" width="9.125" style="303" customWidth="1"/>
  </cols>
  <sheetData>
    <row r="1" spans="1:5" s="12" customFormat="1" ht="31.5" customHeight="1">
      <c r="A1" s="301"/>
      <c r="B1" s="1330"/>
      <c r="C1" s="1330"/>
      <c r="D1" s="1330"/>
      <c r="E1" s="302"/>
    </row>
    <row r="2" spans="1:5" s="12" customFormat="1" ht="19.5" customHeight="1">
      <c r="A2" s="301"/>
      <c r="B2" s="1331" t="s">
        <v>1121</v>
      </c>
      <c r="C2" s="1331"/>
      <c r="D2" s="1331"/>
      <c r="E2" s="1331"/>
    </row>
    <row r="3" spans="1:5" s="12" customFormat="1" ht="16.5">
      <c r="A3" s="301"/>
      <c r="B3" s="1332" t="s">
        <v>1122</v>
      </c>
      <c r="C3" s="1332"/>
      <c r="D3" s="1332"/>
      <c r="E3" s="1332"/>
    </row>
    <row r="4" spans="1:5" s="12" customFormat="1" ht="16.5">
      <c r="A4" s="301"/>
      <c r="B4" s="1332" t="s">
        <v>1164</v>
      </c>
      <c r="C4" s="1332"/>
      <c r="D4" s="1332"/>
      <c r="E4" s="1332"/>
    </row>
    <row r="5" spans="3:5" ht="16.5">
      <c r="C5" s="304" t="s">
        <v>1123</v>
      </c>
      <c r="E5" s="306" t="s">
        <v>861</v>
      </c>
    </row>
    <row r="6" spans="1:5" s="307" customFormat="1" ht="17.25" thickBot="1">
      <c r="A6" s="301"/>
      <c r="C6" s="308"/>
      <c r="D6" s="309" t="s">
        <v>873</v>
      </c>
      <c r="E6" s="310" t="s">
        <v>874</v>
      </c>
    </row>
    <row r="7" spans="1:5" s="16" customFormat="1" ht="30" customHeight="1" thickBot="1">
      <c r="A7" s="301"/>
      <c r="B7" s="311"/>
      <c r="C7" s="312"/>
      <c r="D7" s="313" t="s">
        <v>862</v>
      </c>
      <c r="E7" s="314" t="s">
        <v>860</v>
      </c>
    </row>
    <row r="8" spans="1:4" ht="39.75" customHeight="1">
      <c r="A8" s="301">
        <v>1</v>
      </c>
      <c r="B8" s="315" t="s">
        <v>61</v>
      </c>
      <c r="C8" s="316"/>
      <c r="D8" s="317" t="s">
        <v>1142</v>
      </c>
    </row>
    <row r="9" spans="1:5" s="318" customFormat="1" ht="24.75" customHeight="1">
      <c r="A9" s="301">
        <v>2</v>
      </c>
      <c r="C9" s="319" t="s">
        <v>392</v>
      </c>
      <c r="D9" s="320" t="s">
        <v>409</v>
      </c>
      <c r="E9" s="321"/>
    </row>
    <row r="10" spans="1:5" ht="17.25">
      <c r="A10" s="301">
        <v>3</v>
      </c>
      <c r="D10" s="305" t="s">
        <v>593</v>
      </c>
      <c r="E10" s="322">
        <v>22633</v>
      </c>
    </row>
    <row r="11" spans="1:8" ht="17.25">
      <c r="A11" s="301">
        <v>4</v>
      </c>
      <c r="D11" s="305" t="s">
        <v>603</v>
      </c>
      <c r="E11" s="322">
        <v>1357</v>
      </c>
      <c r="H11" s="57">
        <f>E10+E11</f>
        <v>23990</v>
      </c>
    </row>
    <row r="12" spans="1:5" s="318" customFormat="1" ht="24.75" customHeight="1">
      <c r="A12" s="301">
        <v>5</v>
      </c>
      <c r="C12" s="319" t="s">
        <v>393</v>
      </c>
      <c r="D12" s="320" t="s">
        <v>598</v>
      </c>
      <c r="E12" s="321"/>
    </row>
    <row r="13" spans="1:5" ht="33">
      <c r="A13" s="1156">
        <v>6</v>
      </c>
      <c r="D13" s="305" t="s">
        <v>589</v>
      </c>
      <c r="E13" s="57">
        <v>5827</v>
      </c>
    </row>
    <row r="14" spans="1:5" ht="16.5">
      <c r="A14" s="301">
        <v>7</v>
      </c>
      <c r="D14" s="305" t="s">
        <v>776</v>
      </c>
      <c r="E14" s="57">
        <v>2470</v>
      </c>
    </row>
    <row r="15" spans="1:5" ht="33">
      <c r="A15" s="1156">
        <v>8</v>
      </c>
      <c r="D15" s="305" t="s">
        <v>777</v>
      </c>
      <c r="E15" s="57">
        <v>5500</v>
      </c>
    </row>
    <row r="16" spans="1:5" ht="33">
      <c r="A16" s="1156">
        <v>9</v>
      </c>
      <c r="D16" s="305" t="s">
        <v>541</v>
      </c>
      <c r="E16" s="57">
        <v>2000</v>
      </c>
    </row>
    <row r="17" spans="1:8" ht="33">
      <c r="A17" s="1156">
        <v>10</v>
      </c>
      <c r="D17" s="989" t="s">
        <v>235</v>
      </c>
      <c r="E17" s="57">
        <v>7500</v>
      </c>
      <c r="H17" s="303">
        <v>7500</v>
      </c>
    </row>
    <row r="18" spans="1:5" ht="16.5">
      <c r="A18" s="301">
        <v>11</v>
      </c>
      <c r="D18" s="989" t="s">
        <v>550</v>
      </c>
      <c r="E18" s="57">
        <v>30000</v>
      </c>
    </row>
    <row r="19" spans="1:5" ht="16.5">
      <c r="A19" s="301">
        <v>12</v>
      </c>
      <c r="D19" s="305" t="s">
        <v>554</v>
      </c>
      <c r="E19" s="57">
        <v>19629</v>
      </c>
    </row>
    <row r="20" spans="1:8" ht="36" customHeight="1">
      <c r="A20" s="1156">
        <v>13</v>
      </c>
      <c r="D20" s="305" t="s">
        <v>954</v>
      </c>
      <c r="E20" s="57">
        <v>34732</v>
      </c>
      <c r="H20" s="303">
        <v>34732</v>
      </c>
    </row>
    <row r="21" spans="1:8" ht="49.5">
      <c r="A21" s="1156">
        <v>14</v>
      </c>
      <c r="D21" s="305" t="s">
        <v>955</v>
      </c>
      <c r="E21" s="57">
        <v>57473</v>
      </c>
      <c r="H21" s="303">
        <v>57473</v>
      </c>
    </row>
    <row r="22" spans="1:8" ht="33">
      <c r="A22" s="1156">
        <v>15</v>
      </c>
      <c r="D22" s="305" t="s">
        <v>956</v>
      </c>
      <c r="E22" s="57">
        <v>7954</v>
      </c>
      <c r="H22" s="303">
        <v>7954</v>
      </c>
    </row>
    <row r="23" spans="1:8" ht="33">
      <c r="A23" s="1156">
        <v>16</v>
      </c>
      <c r="D23" s="305" t="s">
        <v>957</v>
      </c>
      <c r="E23" s="57">
        <v>16662</v>
      </c>
      <c r="H23" s="303">
        <v>16662</v>
      </c>
    </row>
    <row r="24" spans="1:8" ht="33">
      <c r="A24" s="1156">
        <v>17</v>
      </c>
      <c r="D24" s="305" t="s">
        <v>958</v>
      </c>
      <c r="E24" s="57">
        <v>1200</v>
      </c>
      <c r="H24" s="303">
        <v>1200</v>
      </c>
    </row>
    <row r="25" spans="1:8" ht="33">
      <c r="A25" s="1156">
        <v>18</v>
      </c>
      <c r="D25" s="305" t="s">
        <v>959</v>
      </c>
      <c r="E25" s="57">
        <v>2105</v>
      </c>
      <c r="F25" s="57">
        <v>2105</v>
      </c>
      <c r="G25" s="57"/>
      <c r="H25" s="57">
        <v>2105</v>
      </c>
    </row>
    <row r="26" spans="1:8" ht="33">
      <c r="A26" s="1156">
        <v>19</v>
      </c>
      <c r="D26" s="305" t="s">
        <v>960</v>
      </c>
      <c r="E26" s="216">
        <v>8100</v>
      </c>
      <c r="F26" s="216">
        <v>8100</v>
      </c>
      <c r="G26" s="216"/>
      <c r="H26" s="216">
        <v>8100</v>
      </c>
    </row>
    <row r="27" spans="1:8" s="304" customFormat="1" ht="24.75" customHeight="1">
      <c r="A27" s="1156">
        <v>20</v>
      </c>
      <c r="D27" s="323"/>
      <c r="E27" s="324">
        <f>SUM(E13:E26)</f>
        <v>201152</v>
      </c>
      <c r="F27" s="324">
        <f>SUM(F13:F26)</f>
        <v>10205</v>
      </c>
      <c r="G27" s="324">
        <f>SUM(G13:G26)</f>
        <v>0</v>
      </c>
      <c r="H27" s="324">
        <f>SUM(H13:H26)</f>
        <v>135726</v>
      </c>
    </row>
    <row r="28" spans="1:8" s="304" customFormat="1" ht="25.5" customHeight="1">
      <c r="A28" s="301">
        <v>21</v>
      </c>
      <c r="D28" s="1032" t="s">
        <v>850</v>
      </c>
      <c r="E28" s="986"/>
      <c r="F28" s="986"/>
      <c r="G28" s="986"/>
      <c r="H28" s="986"/>
    </row>
    <row r="29" spans="1:8" s="304" customFormat="1" ht="33.75" customHeight="1">
      <c r="A29" s="1156">
        <v>22</v>
      </c>
      <c r="D29" s="985" t="s">
        <v>360</v>
      </c>
      <c r="E29" s="986">
        <v>1632</v>
      </c>
      <c r="F29" s="986"/>
      <c r="G29" s="986"/>
      <c r="H29" s="986"/>
    </row>
    <row r="30" spans="1:8" s="304" customFormat="1" ht="33.75" customHeight="1">
      <c r="A30" s="1156">
        <v>23</v>
      </c>
      <c r="D30" s="985" t="s">
        <v>671</v>
      </c>
      <c r="E30" s="986">
        <v>2500</v>
      </c>
      <c r="F30" s="986">
        <v>2500</v>
      </c>
      <c r="G30" s="986"/>
      <c r="H30" s="986">
        <v>2500</v>
      </c>
    </row>
    <row r="31" spans="1:9" s="304" customFormat="1" ht="33.75" customHeight="1">
      <c r="A31" s="1156">
        <v>24</v>
      </c>
      <c r="D31" s="985" t="s">
        <v>361</v>
      </c>
      <c r="E31" s="986">
        <v>11250</v>
      </c>
      <c r="F31" s="986">
        <v>11250</v>
      </c>
      <c r="G31" s="986"/>
      <c r="H31" s="986">
        <v>11250</v>
      </c>
      <c r="I31" s="986"/>
    </row>
    <row r="32" spans="1:8" s="304" customFormat="1" ht="19.5" customHeight="1">
      <c r="A32" s="301">
        <v>25</v>
      </c>
      <c r="D32" s="986" t="s">
        <v>236</v>
      </c>
      <c r="E32" s="986">
        <v>405</v>
      </c>
      <c r="F32" s="986">
        <v>405</v>
      </c>
      <c r="G32" s="986">
        <v>405</v>
      </c>
      <c r="H32" s="986"/>
    </row>
    <row r="33" spans="1:8" s="304" customFormat="1" ht="19.5" customHeight="1">
      <c r="A33" s="301">
        <v>26</v>
      </c>
      <c r="D33" s="986" t="s">
        <v>237</v>
      </c>
      <c r="E33" s="1136">
        <v>9207</v>
      </c>
      <c r="F33" s="1136">
        <v>9207</v>
      </c>
      <c r="G33" s="1136">
        <v>9207</v>
      </c>
      <c r="H33" s="1136"/>
    </row>
    <row r="34" spans="1:8" s="304" customFormat="1" ht="19.5" customHeight="1">
      <c r="A34" s="301">
        <v>27</v>
      </c>
      <c r="D34" s="986"/>
      <c r="E34" s="1137">
        <f>SUM(E29:E33)</f>
        <v>24994</v>
      </c>
      <c r="F34" s="1137">
        <f>SUM(F29:F33)</f>
        <v>23362</v>
      </c>
      <c r="G34" s="1137">
        <f>SUM(G29:G33)</f>
        <v>9612</v>
      </c>
      <c r="H34" s="1137">
        <f>SUM(H29:H33)</f>
        <v>13750</v>
      </c>
    </row>
    <row r="35" spans="1:8" s="304" customFormat="1" ht="25.5" customHeight="1">
      <c r="A35" s="301">
        <v>28</v>
      </c>
      <c r="D35" s="1032" t="s">
        <v>167</v>
      </c>
      <c r="E35" s="986"/>
      <c r="F35" s="986"/>
      <c r="G35" s="986"/>
      <c r="H35" s="986"/>
    </row>
    <row r="36" spans="1:8" s="304" customFormat="1" ht="16.5">
      <c r="A36" s="301">
        <v>29</v>
      </c>
      <c r="D36" s="1033" t="s">
        <v>168</v>
      </c>
      <c r="E36" s="986">
        <v>1999</v>
      </c>
      <c r="F36" s="986"/>
      <c r="G36" s="986"/>
      <c r="H36" s="986"/>
    </row>
    <row r="37" spans="1:8" s="304" customFormat="1" ht="25.5" customHeight="1">
      <c r="A37" s="301">
        <v>30</v>
      </c>
      <c r="D37" s="1032" t="s">
        <v>710</v>
      </c>
      <c r="E37" s="986"/>
      <c r="F37" s="986"/>
      <c r="G37" s="986"/>
      <c r="H37" s="986"/>
    </row>
    <row r="38" spans="1:8" s="304" customFormat="1" ht="16.5">
      <c r="A38" s="301">
        <v>31</v>
      </c>
      <c r="D38" s="986" t="s">
        <v>239</v>
      </c>
      <c r="E38" s="986">
        <v>11175</v>
      </c>
      <c r="F38" s="986"/>
      <c r="G38" s="986"/>
      <c r="H38" s="986"/>
    </row>
    <row r="39" spans="1:8" s="304" customFormat="1" ht="17.25">
      <c r="A39" s="301">
        <v>32</v>
      </c>
      <c r="C39" s="318" t="s">
        <v>394</v>
      </c>
      <c r="D39" s="1032" t="s">
        <v>953</v>
      </c>
      <c r="E39" s="986"/>
      <c r="F39" s="986"/>
      <c r="G39" s="986"/>
      <c r="H39" s="986"/>
    </row>
    <row r="40" spans="1:8" s="12" customFormat="1" ht="33">
      <c r="A40" s="1156">
        <v>33</v>
      </c>
      <c r="C40" s="325"/>
      <c r="D40" s="305" t="s">
        <v>665</v>
      </c>
      <c r="E40" s="618">
        <v>119555</v>
      </c>
      <c r="F40" s="618">
        <v>119555</v>
      </c>
      <c r="G40" s="618"/>
      <c r="H40" s="618">
        <v>119555</v>
      </c>
    </row>
    <row r="41" spans="1:8" s="12" customFormat="1" ht="33">
      <c r="A41" s="1156">
        <v>34</v>
      </c>
      <c r="C41" s="325"/>
      <c r="D41" s="305" t="s">
        <v>666</v>
      </c>
      <c r="E41" s="618">
        <v>250057</v>
      </c>
      <c r="F41" s="618">
        <v>250057</v>
      </c>
      <c r="G41" s="618"/>
      <c r="H41" s="618">
        <v>250057</v>
      </c>
    </row>
    <row r="42" spans="1:8" s="12" customFormat="1" ht="17.25">
      <c r="A42" s="301">
        <v>35</v>
      </c>
      <c r="C42" s="325"/>
      <c r="D42" s="305" t="s">
        <v>667</v>
      </c>
      <c r="E42" s="618">
        <v>39476</v>
      </c>
      <c r="F42" s="618">
        <v>39476</v>
      </c>
      <c r="G42" s="618"/>
      <c r="H42" s="618">
        <v>39476</v>
      </c>
    </row>
    <row r="43" spans="1:8" s="12" customFormat="1" ht="33">
      <c r="A43" s="1156">
        <v>36</v>
      </c>
      <c r="C43" s="325"/>
      <c r="D43" s="305" t="s">
        <v>904</v>
      </c>
      <c r="E43" s="618">
        <v>73812</v>
      </c>
      <c r="F43" s="618">
        <v>73812</v>
      </c>
      <c r="G43" s="618"/>
      <c r="H43" s="618">
        <v>73812</v>
      </c>
    </row>
    <row r="44" spans="1:8" s="12" customFormat="1" ht="33">
      <c r="A44" s="1156">
        <v>37</v>
      </c>
      <c r="C44" s="325"/>
      <c r="D44" s="305" t="s">
        <v>668</v>
      </c>
      <c r="E44" s="618">
        <v>89895</v>
      </c>
      <c r="F44" s="618">
        <v>89895</v>
      </c>
      <c r="G44" s="618"/>
      <c r="H44" s="618">
        <v>89895</v>
      </c>
    </row>
    <row r="45" spans="1:8" s="12" customFormat="1" ht="33">
      <c r="A45" s="1156">
        <v>38</v>
      </c>
      <c r="C45" s="325"/>
      <c r="D45" s="305" t="s">
        <v>669</v>
      </c>
      <c r="E45" s="618">
        <v>158500</v>
      </c>
      <c r="F45" s="618">
        <v>158500</v>
      </c>
      <c r="G45" s="618"/>
      <c r="H45" s="618">
        <v>158500</v>
      </c>
    </row>
    <row r="46" spans="1:8" s="12" customFormat="1" ht="33">
      <c r="A46" s="1156">
        <v>39</v>
      </c>
      <c r="C46" s="325"/>
      <c r="D46" s="305" t="s">
        <v>967</v>
      </c>
      <c r="E46" s="618">
        <v>31138</v>
      </c>
      <c r="F46" s="618">
        <v>31138</v>
      </c>
      <c r="G46" s="618"/>
      <c r="H46" s="618">
        <v>31138</v>
      </c>
    </row>
    <row r="47" spans="1:8" s="12" customFormat="1" ht="17.25">
      <c r="A47" s="301">
        <v>40</v>
      </c>
      <c r="C47" s="325"/>
      <c r="D47" s="305" t="s">
        <v>14</v>
      </c>
      <c r="E47" s="618">
        <v>80770</v>
      </c>
      <c r="F47" s="618">
        <v>80770</v>
      </c>
      <c r="G47" s="618"/>
      <c r="H47" s="618">
        <v>80770</v>
      </c>
    </row>
    <row r="48" spans="1:8" s="12" customFormat="1" ht="33">
      <c r="A48" s="1156">
        <v>41</v>
      </c>
      <c r="C48" s="325"/>
      <c r="D48" s="305" t="s">
        <v>968</v>
      </c>
      <c r="E48" s="618">
        <v>267550</v>
      </c>
      <c r="F48" s="618">
        <v>267550</v>
      </c>
      <c r="G48" s="618"/>
      <c r="H48" s="618">
        <v>267550</v>
      </c>
    </row>
    <row r="49" spans="1:8" s="12" customFormat="1" ht="17.25">
      <c r="A49" s="301">
        <v>42</v>
      </c>
      <c r="C49" s="325"/>
      <c r="D49" s="305" t="s">
        <v>966</v>
      </c>
      <c r="E49" s="618">
        <v>17895</v>
      </c>
      <c r="F49" s="618">
        <v>17895</v>
      </c>
      <c r="G49" s="618"/>
      <c r="H49" s="618">
        <v>17895</v>
      </c>
    </row>
    <row r="50" spans="1:9" s="12" customFormat="1" ht="33.75" customHeight="1">
      <c r="A50" s="1156">
        <v>43</v>
      </c>
      <c r="C50" s="325"/>
      <c r="D50" s="305" t="s">
        <v>670</v>
      </c>
      <c r="E50" s="1024">
        <v>27257</v>
      </c>
      <c r="F50" s="1024">
        <v>27257</v>
      </c>
      <c r="G50" s="1024"/>
      <c r="H50" s="1024">
        <v>27257</v>
      </c>
      <c r="I50" s="1024"/>
    </row>
    <row r="51" spans="1:12" s="12" customFormat="1" ht="17.25">
      <c r="A51" s="301">
        <v>44</v>
      </c>
      <c r="C51" s="325"/>
      <c r="D51" s="305"/>
      <c r="E51" s="326">
        <f>SUM(E39:E50)</f>
        <v>1155905</v>
      </c>
      <c r="F51" s="326">
        <f>SUM(F39:F50)</f>
        <v>1155905</v>
      </c>
      <c r="G51" s="326">
        <f>SUM(G39:G50)</f>
        <v>0</v>
      </c>
      <c r="H51" s="326">
        <f>SUM(H39:H50)</f>
        <v>1155905</v>
      </c>
      <c r="L51" s="1028">
        <f>H27+H34+H51</f>
        <v>1305381</v>
      </c>
    </row>
    <row r="52" spans="1:5" s="304" customFormat="1" ht="17.25">
      <c r="A52" s="301">
        <v>46</v>
      </c>
      <c r="C52" s="327" t="s">
        <v>406</v>
      </c>
      <c r="D52" s="320" t="s">
        <v>586</v>
      </c>
      <c r="E52" s="322"/>
    </row>
    <row r="53" spans="1:5" s="304" customFormat="1" ht="17.25">
      <c r="A53" s="301">
        <v>47</v>
      </c>
      <c r="C53" s="327"/>
      <c r="D53" s="305" t="s">
        <v>587</v>
      </c>
      <c r="E53" s="322">
        <v>142701</v>
      </c>
    </row>
    <row r="54" spans="1:5" s="304" customFormat="1" ht="17.25">
      <c r="A54" s="301">
        <v>48</v>
      </c>
      <c r="C54" s="327"/>
      <c r="D54" s="305" t="s">
        <v>620</v>
      </c>
      <c r="E54" s="322">
        <v>171583</v>
      </c>
    </row>
    <row r="55" spans="1:8" s="304" customFormat="1" ht="18" thickBot="1">
      <c r="A55" s="301">
        <v>49</v>
      </c>
      <c r="C55" s="327"/>
      <c r="D55" s="305" t="s">
        <v>621</v>
      </c>
      <c r="E55" s="322">
        <v>752742</v>
      </c>
      <c r="H55" s="1151">
        <f>E53+E54+E55</f>
        <v>1067026</v>
      </c>
    </row>
    <row r="56" spans="1:5" s="12" customFormat="1" ht="27.75" customHeight="1" thickBot="1">
      <c r="A56" s="1157">
        <v>50</v>
      </c>
      <c r="B56" s="311" t="s">
        <v>61</v>
      </c>
      <c r="C56" s="329"/>
      <c r="D56" s="330" t="s">
        <v>1143</v>
      </c>
      <c r="E56" s="331">
        <f>SUM(,E51,E27,E10)+E53+E9+E29+E11+E36+E31+E32+E33+E54+E55+E38+E30</f>
        <v>2486241</v>
      </c>
    </row>
    <row r="57" spans="1:4" ht="27.75" customHeight="1">
      <c r="A57" s="301">
        <v>51</v>
      </c>
      <c r="B57" s="315" t="s">
        <v>62</v>
      </c>
      <c r="C57" s="316"/>
      <c r="D57" s="317" t="s">
        <v>1144</v>
      </c>
    </row>
    <row r="58" spans="1:4" ht="17.25">
      <c r="A58" s="301">
        <v>52</v>
      </c>
      <c r="C58" s="327" t="s">
        <v>392</v>
      </c>
      <c r="D58" s="320" t="s">
        <v>520</v>
      </c>
    </row>
    <row r="59" spans="1:4" ht="17.25">
      <c r="A59" s="301">
        <v>53</v>
      </c>
      <c r="C59" s="327"/>
      <c r="D59" s="315" t="s">
        <v>1145</v>
      </c>
    </row>
    <row r="60" spans="1:4" ht="17.25">
      <c r="A60" s="301">
        <v>54</v>
      </c>
      <c r="C60" s="327"/>
      <c r="D60" s="915" t="s">
        <v>926</v>
      </c>
    </row>
    <row r="61" spans="1:5" ht="17.25">
      <c r="A61" s="301">
        <v>55</v>
      </c>
      <c r="C61" s="327"/>
      <c r="D61" s="355" t="s">
        <v>596</v>
      </c>
      <c r="E61" s="57">
        <v>1594</v>
      </c>
    </row>
    <row r="62" spans="1:4" ht="17.25">
      <c r="A62" s="301">
        <v>56</v>
      </c>
      <c r="C62" s="327"/>
      <c r="D62" s="915" t="s">
        <v>819</v>
      </c>
    </row>
    <row r="63" spans="1:5" ht="17.25">
      <c r="A63" s="301">
        <v>57</v>
      </c>
      <c r="C63" s="327"/>
      <c r="D63" s="355" t="s">
        <v>596</v>
      </c>
      <c r="E63" s="46">
        <v>2747</v>
      </c>
    </row>
    <row r="64" spans="1:5" ht="17.25">
      <c r="A64" s="301">
        <v>58</v>
      </c>
      <c r="C64" s="327"/>
      <c r="D64" s="355" t="s">
        <v>626</v>
      </c>
      <c r="E64" s="46">
        <v>1433</v>
      </c>
    </row>
    <row r="65" spans="1:5" ht="17.25">
      <c r="A65" s="301">
        <v>59</v>
      </c>
      <c r="C65" s="327"/>
      <c r="D65" s="332" t="s">
        <v>240</v>
      </c>
      <c r="E65" s="46">
        <v>-4650</v>
      </c>
    </row>
    <row r="66" spans="1:5" ht="17.25">
      <c r="A66" s="301">
        <v>60</v>
      </c>
      <c r="C66" s="327"/>
      <c r="D66" s="332" t="s">
        <v>373</v>
      </c>
      <c r="E66" s="46">
        <v>4650</v>
      </c>
    </row>
    <row r="67" spans="1:5" ht="17.25">
      <c r="A67" s="301">
        <v>61</v>
      </c>
      <c r="C67" s="327"/>
      <c r="D67" s="332" t="s">
        <v>754</v>
      </c>
      <c r="E67" s="46">
        <v>-800</v>
      </c>
    </row>
    <row r="68" spans="1:5" ht="17.25">
      <c r="A68" s="301">
        <v>62</v>
      </c>
      <c r="C68" s="327"/>
      <c r="D68" s="333" t="s">
        <v>755</v>
      </c>
      <c r="E68" s="46">
        <v>-700</v>
      </c>
    </row>
    <row r="69" spans="1:5" ht="17.25">
      <c r="A69" s="301">
        <v>63</v>
      </c>
      <c r="C69" s="327"/>
      <c r="D69" s="333" t="s">
        <v>758</v>
      </c>
      <c r="E69" s="46">
        <v>-30000</v>
      </c>
    </row>
    <row r="70" spans="1:5" ht="17.25">
      <c r="A70" s="301">
        <v>64</v>
      </c>
      <c r="C70" s="327"/>
      <c r="D70" s="333" t="s">
        <v>757</v>
      </c>
      <c r="E70" s="46">
        <v>30000</v>
      </c>
    </row>
    <row r="71" spans="1:5" ht="17.25">
      <c r="A71" s="301">
        <v>65</v>
      </c>
      <c r="C71" s="327"/>
      <c r="D71" s="333" t="s">
        <v>169</v>
      </c>
      <c r="E71" s="46">
        <v>1999</v>
      </c>
    </row>
    <row r="72" spans="1:5" ht="17.25">
      <c r="A72" s="301">
        <v>66</v>
      </c>
      <c r="C72" s="327"/>
      <c r="D72" s="333" t="s">
        <v>778</v>
      </c>
      <c r="E72" s="46">
        <v>2470</v>
      </c>
    </row>
    <row r="73" spans="1:5" ht="17.25">
      <c r="A73" s="301">
        <v>67</v>
      </c>
      <c r="C73" s="327"/>
      <c r="D73" s="333" t="s">
        <v>779</v>
      </c>
      <c r="E73" s="46">
        <v>2500</v>
      </c>
    </row>
    <row r="74" spans="1:5" ht="17.25">
      <c r="A74" s="301">
        <v>68</v>
      </c>
      <c r="C74" s="327"/>
      <c r="D74" s="349" t="s">
        <v>783</v>
      </c>
      <c r="E74" s="46">
        <v>1000</v>
      </c>
    </row>
    <row r="75" spans="1:5" ht="17.25">
      <c r="A75" s="301">
        <v>69</v>
      </c>
      <c r="C75" s="327"/>
      <c r="D75" s="349" t="s">
        <v>786</v>
      </c>
      <c r="E75" s="46">
        <v>-40</v>
      </c>
    </row>
    <row r="76" spans="1:5" ht="17.25">
      <c r="A76" s="301">
        <v>70</v>
      </c>
      <c r="C76" s="327"/>
      <c r="D76" s="333" t="s">
        <v>544</v>
      </c>
      <c r="E76" s="46">
        <v>1500</v>
      </c>
    </row>
    <row r="77" spans="1:5" ht="17.25">
      <c r="A77" s="301">
        <v>71</v>
      </c>
      <c r="C77" s="327"/>
      <c r="D77" s="349" t="s">
        <v>542</v>
      </c>
      <c r="E77" s="46">
        <v>2000</v>
      </c>
    </row>
    <row r="78" spans="1:5" ht="17.25">
      <c r="A78" s="301">
        <v>72</v>
      </c>
      <c r="C78" s="327"/>
      <c r="D78" s="333" t="s">
        <v>780</v>
      </c>
      <c r="E78" s="46">
        <v>1500</v>
      </c>
    </row>
    <row r="79" spans="1:5" ht="33">
      <c r="A79" s="1156">
        <v>73</v>
      </c>
      <c r="C79" s="327"/>
      <c r="D79" s="333" t="s">
        <v>781</v>
      </c>
      <c r="E79" s="46">
        <v>-2500</v>
      </c>
    </row>
    <row r="80" spans="1:5" ht="17.25">
      <c r="A80" s="301">
        <v>74</v>
      </c>
      <c r="C80" s="327"/>
      <c r="D80" s="333" t="s">
        <v>782</v>
      </c>
      <c r="E80" s="46">
        <v>-2000</v>
      </c>
    </row>
    <row r="81" spans="1:5" ht="17.25">
      <c r="A81" s="301">
        <v>75</v>
      </c>
      <c r="C81" s="327"/>
      <c r="D81" s="333" t="s">
        <v>784</v>
      </c>
      <c r="E81" s="46">
        <v>1000</v>
      </c>
    </row>
    <row r="82" spans="1:5" ht="33">
      <c r="A82" s="1156">
        <v>76</v>
      </c>
      <c r="C82" s="327"/>
      <c r="D82" s="355" t="s">
        <v>359</v>
      </c>
      <c r="E82" s="46">
        <v>-250</v>
      </c>
    </row>
    <row r="83" spans="1:5" ht="33">
      <c r="A83" s="1156">
        <v>77</v>
      </c>
      <c r="C83" s="327"/>
      <c r="D83" s="333" t="s">
        <v>175</v>
      </c>
      <c r="E83" s="46">
        <v>-17400</v>
      </c>
    </row>
    <row r="84" spans="1:5" ht="17.25">
      <c r="A84" s="301">
        <v>78</v>
      </c>
      <c r="C84" s="327"/>
      <c r="D84" s="349" t="s">
        <v>171</v>
      </c>
      <c r="E84" s="46">
        <v>17400</v>
      </c>
    </row>
    <row r="85" spans="1:5" ht="31.5" customHeight="1">
      <c r="A85" s="1156">
        <v>79</v>
      </c>
      <c r="C85" s="327"/>
      <c r="D85" s="918" t="s">
        <v>174</v>
      </c>
      <c r="E85" s="46">
        <v>-85000</v>
      </c>
    </row>
    <row r="86" spans="1:5" ht="17.25">
      <c r="A86" s="301">
        <v>80</v>
      </c>
      <c r="C86" s="327"/>
      <c r="D86" s="349" t="s">
        <v>172</v>
      </c>
      <c r="E86" s="46">
        <v>85000</v>
      </c>
    </row>
    <row r="87" spans="1:5" ht="17.25">
      <c r="A87" s="301">
        <v>81</v>
      </c>
      <c r="C87" s="327"/>
      <c r="D87" s="915" t="s">
        <v>173</v>
      </c>
      <c r="E87" s="46">
        <v>-50000</v>
      </c>
    </row>
    <row r="88" spans="1:5" ht="17.25">
      <c r="A88" s="301">
        <v>82</v>
      </c>
      <c r="C88" s="327"/>
      <c r="D88" s="349" t="s">
        <v>172</v>
      </c>
      <c r="E88" s="46">
        <v>50000</v>
      </c>
    </row>
    <row r="89" spans="1:5" ht="33">
      <c r="A89" s="1156">
        <v>83</v>
      </c>
      <c r="C89" s="327"/>
      <c r="D89" s="333" t="s">
        <v>179</v>
      </c>
      <c r="E89" s="46">
        <v>-13900</v>
      </c>
    </row>
    <row r="90" spans="1:5" ht="17.25">
      <c r="A90" s="301">
        <v>84</v>
      </c>
      <c r="C90" s="327"/>
      <c r="D90" s="915" t="s">
        <v>176</v>
      </c>
      <c r="E90" s="46">
        <v>-26055</v>
      </c>
    </row>
    <row r="91" spans="1:5" ht="17.25">
      <c r="A91" s="301">
        <v>85</v>
      </c>
      <c r="C91" s="327"/>
      <c r="D91" s="349" t="s">
        <v>172</v>
      </c>
      <c r="E91" s="46">
        <v>26055</v>
      </c>
    </row>
    <row r="92" spans="1:5" ht="17.25">
      <c r="A92" s="301">
        <v>86</v>
      </c>
      <c r="C92" s="327"/>
      <c r="D92" s="915" t="s">
        <v>177</v>
      </c>
      <c r="E92" s="46">
        <v>-1000</v>
      </c>
    </row>
    <row r="93" spans="1:5" ht="17.25">
      <c r="A93" s="301">
        <v>87</v>
      </c>
      <c r="C93" s="327"/>
      <c r="D93" s="79" t="s">
        <v>172</v>
      </c>
      <c r="E93" s="46">
        <v>1000</v>
      </c>
    </row>
    <row r="94" spans="1:5" ht="33">
      <c r="A94" s="1156">
        <v>88</v>
      </c>
      <c r="C94" s="327"/>
      <c r="D94" s="989" t="s">
        <v>545</v>
      </c>
      <c r="E94" s="46">
        <v>2500</v>
      </c>
    </row>
    <row r="95" spans="1:5" ht="17.25">
      <c r="A95" s="301">
        <v>89</v>
      </c>
      <c r="C95" s="327"/>
      <c r="D95" s="79" t="s">
        <v>553</v>
      </c>
      <c r="E95" s="46">
        <v>7500</v>
      </c>
    </row>
    <row r="96" spans="1:5" ht="33">
      <c r="A96" s="1156">
        <v>90</v>
      </c>
      <c r="C96" s="327"/>
      <c r="D96" s="989" t="s">
        <v>549</v>
      </c>
      <c r="E96" s="46">
        <v>10000</v>
      </c>
    </row>
    <row r="97" spans="1:5" ht="17.25">
      <c r="A97" s="301">
        <v>91</v>
      </c>
      <c r="C97" s="327"/>
      <c r="D97" s="1029" t="s">
        <v>553</v>
      </c>
      <c r="E97" s="46">
        <v>30000</v>
      </c>
    </row>
    <row r="98" spans="1:5" ht="17.25">
      <c r="A98" s="301">
        <v>92</v>
      </c>
      <c r="C98" s="327"/>
      <c r="D98" s="305" t="s">
        <v>554</v>
      </c>
      <c r="E98" s="46">
        <v>19629</v>
      </c>
    </row>
    <row r="99" spans="1:5" ht="17.25">
      <c r="A99" s="301">
        <v>93</v>
      </c>
      <c r="C99" s="327"/>
      <c r="D99" s="305" t="s">
        <v>379</v>
      </c>
      <c r="E99" s="46">
        <v>-5262</v>
      </c>
    </row>
    <row r="100" spans="1:5" ht="16.5" customHeight="1">
      <c r="A100" s="301">
        <v>94</v>
      </c>
      <c r="C100" s="327"/>
      <c r="D100" s="305" t="s">
        <v>1021</v>
      </c>
      <c r="E100" s="46">
        <v>31516</v>
      </c>
    </row>
    <row r="101" spans="1:5" ht="33">
      <c r="A101" s="1156">
        <v>95</v>
      </c>
      <c r="C101" s="327"/>
      <c r="D101" s="305" t="s">
        <v>904</v>
      </c>
      <c r="E101" s="46">
        <v>135122</v>
      </c>
    </row>
    <row r="102" spans="1:5" ht="33">
      <c r="A102" s="1156">
        <v>96</v>
      </c>
      <c r="C102" s="327"/>
      <c r="D102" s="305" t="s">
        <v>967</v>
      </c>
      <c r="E102" s="46">
        <v>7954</v>
      </c>
    </row>
    <row r="103" spans="1:5" ht="33">
      <c r="A103" s="1156">
        <v>97</v>
      </c>
      <c r="C103" s="327"/>
      <c r="D103" s="355" t="s">
        <v>712</v>
      </c>
      <c r="E103" s="46">
        <v>-1617</v>
      </c>
    </row>
    <row r="104" spans="1:5" ht="17.25">
      <c r="A104" s="301">
        <v>98</v>
      </c>
      <c r="C104" s="327"/>
      <c r="D104" s="305" t="s">
        <v>14</v>
      </c>
      <c r="E104" s="46">
        <v>16662</v>
      </c>
    </row>
    <row r="105" spans="1:5" ht="17.25">
      <c r="A105" s="301">
        <v>99</v>
      </c>
      <c r="C105" s="327"/>
      <c r="D105" s="305" t="s">
        <v>901</v>
      </c>
      <c r="E105" s="46">
        <v>1187</v>
      </c>
    </row>
    <row r="106" spans="1:5" ht="33">
      <c r="A106" s="1156">
        <v>100</v>
      </c>
      <c r="C106" s="327"/>
      <c r="D106" s="305" t="s">
        <v>906</v>
      </c>
      <c r="E106" s="46">
        <v>12453</v>
      </c>
    </row>
    <row r="107" spans="1:5" ht="17.25">
      <c r="A107" s="301">
        <v>101</v>
      </c>
      <c r="C107" s="327"/>
      <c r="D107" s="79" t="s">
        <v>607</v>
      </c>
      <c r="E107" s="46">
        <v>600</v>
      </c>
    </row>
    <row r="108" spans="1:5" ht="17.25">
      <c r="A108" s="301">
        <v>102</v>
      </c>
      <c r="C108" s="327"/>
      <c r="D108" s="79" t="s">
        <v>608</v>
      </c>
      <c r="E108" s="46">
        <v>1924</v>
      </c>
    </row>
    <row r="109" spans="1:5" ht="17.25">
      <c r="A109" s="301">
        <v>103</v>
      </c>
      <c r="C109" s="327"/>
      <c r="D109" s="79" t="s">
        <v>609</v>
      </c>
      <c r="E109" s="46">
        <v>36969</v>
      </c>
    </row>
    <row r="110" spans="1:5" ht="17.25">
      <c r="A110" s="301">
        <v>104</v>
      </c>
      <c r="C110" s="327"/>
      <c r="D110" s="79" t="s">
        <v>1181</v>
      </c>
      <c r="E110" s="46">
        <v>11282</v>
      </c>
    </row>
    <row r="111" spans="1:5" ht="17.25">
      <c r="A111" s="301">
        <v>105</v>
      </c>
      <c r="C111" s="327"/>
      <c r="D111" s="79" t="s">
        <v>829</v>
      </c>
      <c r="E111" s="46">
        <v>1900</v>
      </c>
    </row>
    <row r="112" spans="1:5" ht="17.25">
      <c r="A112" s="301">
        <v>106</v>
      </c>
      <c r="C112" s="327"/>
      <c r="D112" s="79" t="s">
        <v>830</v>
      </c>
      <c r="E112" s="46">
        <v>25000</v>
      </c>
    </row>
    <row r="113" spans="1:5" ht="17.25">
      <c r="A113" s="301">
        <v>107</v>
      </c>
      <c r="C113" s="327"/>
      <c r="D113" s="79" t="s">
        <v>610</v>
      </c>
      <c r="E113" s="46">
        <v>4727</v>
      </c>
    </row>
    <row r="114" spans="1:5" ht="17.25">
      <c r="A114" s="301">
        <v>108</v>
      </c>
      <c r="C114" s="327"/>
      <c r="D114" s="79" t="s">
        <v>611</v>
      </c>
      <c r="E114" s="46">
        <v>11503</v>
      </c>
    </row>
    <row r="115" spans="1:5" ht="17.25">
      <c r="A115" s="301">
        <v>109</v>
      </c>
      <c r="C115" s="327"/>
      <c r="D115" s="79" t="s">
        <v>833</v>
      </c>
      <c r="E115" s="46">
        <v>48073</v>
      </c>
    </row>
    <row r="116" spans="1:5" ht="17.25">
      <c r="A116" s="301">
        <v>110</v>
      </c>
      <c r="C116" s="327"/>
      <c r="D116" s="79" t="s">
        <v>835</v>
      </c>
      <c r="E116" s="46">
        <v>561</v>
      </c>
    </row>
    <row r="117" spans="1:5" ht="17.25">
      <c r="A117" s="301">
        <v>111</v>
      </c>
      <c r="C117" s="327"/>
      <c r="D117" s="79" t="s">
        <v>612</v>
      </c>
      <c r="E117" s="46">
        <v>1379</v>
      </c>
    </row>
    <row r="118" spans="1:5" ht="17.25">
      <c r="A118" s="301">
        <v>112</v>
      </c>
      <c r="C118" s="327"/>
      <c r="D118" s="79" t="s">
        <v>973</v>
      </c>
      <c r="E118" s="46">
        <v>16000</v>
      </c>
    </row>
    <row r="119" spans="1:5" ht="17.25">
      <c r="A119" s="301">
        <v>113</v>
      </c>
      <c r="C119" s="327"/>
      <c r="D119" s="79" t="s">
        <v>613</v>
      </c>
      <c r="E119" s="46">
        <v>1905</v>
      </c>
    </row>
    <row r="120" spans="1:5" ht="17.25">
      <c r="A120" s="301">
        <v>114</v>
      </c>
      <c r="C120" s="327"/>
      <c r="D120" s="79" t="s">
        <v>614</v>
      </c>
      <c r="E120" s="46">
        <v>8544</v>
      </c>
    </row>
    <row r="121" spans="1:5" ht="17.25">
      <c r="A121" s="301">
        <v>115</v>
      </c>
      <c r="C121" s="327"/>
      <c r="D121" s="79" t="s">
        <v>896</v>
      </c>
      <c r="E121" s="46">
        <v>356</v>
      </c>
    </row>
    <row r="122" spans="1:5" ht="33">
      <c r="A122" s="1156">
        <v>116</v>
      </c>
      <c r="C122" s="327"/>
      <c r="D122" s="989" t="s">
        <v>615</v>
      </c>
      <c r="E122" s="46">
        <v>45085</v>
      </c>
    </row>
    <row r="123" spans="1:5" ht="17.25">
      <c r="A123" s="301">
        <v>117</v>
      </c>
      <c r="C123" s="327"/>
      <c r="D123" s="79" t="s">
        <v>0</v>
      </c>
      <c r="E123" s="46">
        <v>2000</v>
      </c>
    </row>
    <row r="124" spans="1:5" ht="17.25">
      <c r="A124" s="301">
        <v>118</v>
      </c>
      <c r="C124" s="327"/>
      <c r="D124" s="79" t="s">
        <v>897</v>
      </c>
      <c r="E124" s="46">
        <v>922</v>
      </c>
    </row>
    <row r="125" spans="1:5" ht="17.25">
      <c r="A125" s="301">
        <v>119</v>
      </c>
      <c r="C125" s="327"/>
      <c r="D125" s="79" t="s">
        <v>616</v>
      </c>
      <c r="E125" s="46">
        <v>1200</v>
      </c>
    </row>
    <row r="126" spans="1:5" ht="17.25">
      <c r="A126" s="301">
        <v>120</v>
      </c>
      <c r="C126" s="327"/>
      <c r="D126" s="79" t="s">
        <v>790</v>
      </c>
      <c r="E126" s="46">
        <v>2030</v>
      </c>
    </row>
    <row r="127" spans="1:5" ht="17.25">
      <c r="A127" s="301">
        <v>121</v>
      </c>
      <c r="C127" s="327"/>
      <c r="D127" s="79" t="s">
        <v>617</v>
      </c>
      <c r="E127" s="46">
        <v>415</v>
      </c>
    </row>
    <row r="128" spans="1:6" ht="17.25">
      <c r="A128" s="301">
        <v>122</v>
      </c>
      <c r="C128" s="327"/>
      <c r="D128" s="79" t="s">
        <v>836</v>
      </c>
      <c r="E128" s="46">
        <v>3096</v>
      </c>
      <c r="F128" s="57">
        <f>SUM(E107:E128,E94,E96)</f>
        <v>237971</v>
      </c>
    </row>
    <row r="129" spans="1:6" ht="17.25">
      <c r="A129" s="301">
        <v>123</v>
      </c>
      <c r="C129" s="327"/>
      <c r="D129" s="79" t="s">
        <v>627</v>
      </c>
      <c r="E129" s="46">
        <v>56424</v>
      </c>
      <c r="F129" s="57"/>
    </row>
    <row r="130" spans="1:6" ht="17.25">
      <c r="A130" s="301">
        <v>124</v>
      </c>
      <c r="C130" s="327"/>
      <c r="D130" s="79" t="s">
        <v>648</v>
      </c>
      <c r="E130" s="46">
        <v>25000</v>
      </c>
      <c r="F130" s="57"/>
    </row>
    <row r="131" spans="1:6" ht="17.25">
      <c r="A131" s="301">
        <v>125</v>
      </c>
      <c r="C131" s="327"/>
      <c r="D131" s="79" t="s">
        <v>565</v>
      </c>
      <c r="E131" s="216">
        <v>36308</v>
      </c>
      <c r="F131" s="57"/>
    </row>
    <row r="132" spans="1:5" s="334" customFormat="1" ht="17.25">
      <c r="A132" s="301">
        <v>126</v>
      </c>
      <c r="C132" s="327"/>
      <c r="D132" s="335" t="s">
        <v>1146</v>
      </c>
      <c r="E132" s="322">
        <f>SUM(E60:E131)</f>
        <v>610400</v>
      </c>
    </row>
    <row r="133" spans="1:4" ht="24" customHeight="1">
      <c r="A133" s="301">
        <v>127</v>
      </c>
      <c r="C133" s="327"/>
      <c r="D133" s="333" t="s">
        <v>1147</v>
      </c>
    </row>
    <row r="134" spans="1:5" ht="19.5" customHeight="1">
      <c r="A134" s="301">
        <v>128</v>
      </c>
      <c r="C134" s="327"/>
      <c r="D134" s="303" t="s">
        <v>345</v>
      </c>
      <c r="E134" s="57">
        <v>50</v>
      </c>
    </row>
    <row r="135" spans="1:5" ht="19.5" customHeight="1">
      <c r="A135" s="301">
        <v>129</v>
      </c>
      <c r="C135" s="327"/>
      <c r="D135" s="303" t="s">
        <v>344</v>
      </c>
      <c r="E135" s="57">
        <v>150</v>
      </c>
    </row>
    <row r="136" spans="1:5" ht="17.25">
      <c r="A136" s="301">
        <v>130</v>
      </c>
      <c r="C136" s="327"/>
      <c r="D136" s="303" t="s">
        <v>346</v>
      </c>
      <c r="E136" s="57">
        <v>150</v>
      </c>
    </row>
    <row r="137" spans="1:5" ht="17.25">
      <c r="A137" s="301">
        <v>131</v>
      </c>
      <c r="C137" s="327"/>
      <c r="D137" s="303" t="s">
        <v>347</v>
      </c>
      <c r="E137" s="57">
        <v>100</v>
      </c>
    </row>
    <row r="138" spans="1:5" ht="17.25">
      <c r="A138" s="301">
        <v>132</v>
      </c>
      <c r="C138" s="327"/>
      <c r="D138" s="303" t="s">
        <v>348</v>
      </c>
      <c r="E138" s="57">
        <v>100</v>
      </c>
    </row>
    <row r="139" spans="1:5" ht="17.25">
      <c r="A139" s="301">
        <v>133</v>
      </c>
      <c r="C139" s="327"/>
      <c r="D139" s="303" t="s">
        <v>349</v>
      </c>
      <c r="E139" s="57">
        <v>100</v>
      </c>
    </row>
    <row r="140" spans="1:5" ht="17.25">
      <c r="A140" s="301">
        <v>134</v>
      </c>
      <c r="C140" s="327"/>
      <c r="D140" s="303" t="s">
        <v>350</v>
      </c>
      <c r="E140" s="57">
        <v>100</v>
      </c>
    </row>
    <row r="141" spans="1:5" ht="17.25">
      <c r="A141" s="301">
        <v>135</v>
      </c>
      <c r="C141" s="327"/>
      <c r="D141" s="303" t="s">
        <v>339</v>
      </c>
      <c r="E141" s="216">
        <v>90</v>
      </c>
    </row>
    <row r="142" spans="1:5" s="327" customFormat="1" ht="19.5" customHeight="1">
      <c r="A142" s="301">
        <v>136</v>
      </c>
      <c r="D142" s="335" t="s">
        <v>1148</v>
      </c>
      <c r="E142" s="322">
        <f>SUM(E134:E141)</f>
        <v>840</v>
      </c>
    </row>
    <row r="143" spans="1:4" ht="24" customHeight="1">
      <c r="A143" s="301">
        <v>137</v>
      </c>
      <c r="C143" s="327"/>
      <c r="D143" s="333" t="s">
        <v>1149</v>
      </c>
    </row>
    <row r="144" spans="1:5" s="304" customFormat="1" ht="19.5" customHeight="1">
      <c r="A144" s="301">
        <v>138</v>
      </c>
      <c r="C144" s="327"/>
      <c r="D144" s="303" t="s">
        <v>351</v>
      </c>
      <c r="E144" s="57">
        <v>100</v>
      </c>
    </row>
    <row r="145" spans="1:5" ht="17.25">
      <c r="A145" s="301">
        <v>139</v>
      </c>
      <c r="C145" s="327"/>
      <c r="D145" s="303" t="s">
        <v>352</v>
      </c>
      <c r="E145" s="57">
        <v>50</v>
      </c>
    </row>
    <row r="146" spans="1:5" ht="17.25">
      <c r="A146" s="301">
        <v>140</v>
      </c>
      <c r="C146" s="327"/>
      <c r="D146" s="337" t="s">
        <v>353</v>
      </c>
      <c r="E146" s="57">
        <v>10</v>
      </c>
    </row>
    <row r="147" spans="1:5" ht="17.25">
      <c r="A147" s="301">
        <v>141</v>
      </c>
      <c r="C147" s="327"/>
      <c r="D147" s="337" t="s">
        <v>354</v>
      </c>
      <c r="E147" s="57">
        <v>100</v>
      </c>
    </row>
    <row r="148" spans="1:5" ht="17.25">
      <c r="A148" s="301">
        <v>142</v>
      </c>
      <c r="C148" s="327"/>
      <c r="D148" s="337" t="s">
        <v>355</v>
      </c>
      <c r="E148" s="57">
        <v>40</v>
      </c>
    </row>
    <row r="149" spans="1:5" ht="17.25">
      <c r="A149" s="301">
        <v>143</v>
      </c>
      <c r="C149" s="327"/>
      <c r="D149" s="337" t="s">
        <v>356</v>
      </c>
      <c r="E149" s="57">
        <v>100</v>
      </c>
    </row>
    <row r="150" spans="1:5" ht="17.25">
      <c r="A150" s="301">
        <v>144</v>
      </c>
      <c r="C150" s="327"/>
      <c r="D150" s="337" t="s">
        <v>357</v>
      </c>
      <c r="E150" s="57">
        <v>20</v>
      </c>
    </row>
    <row r="151" spans="1:5" ht="17.25">
      <c r="A151" s="301">
        <v>145</v>
      </c>
      <c r="C151" s="327"/>
      <c r="D151" s="337" t="s">
        <v>358</v>
      </c>
      <c r="E151" s="57">
        <v>150</v>
      </c>
    </row>
    <row r="152" spans="1:5" ht="17.25">
      <c r="A152" s="301">
        <v>146</v>
      </c>
      <c r="C152" s="327"/>
      <c r="D152" s="337" t="s">
        <v>343</v>
      </c>
      <c r="E152" s="57">
        <v>120</v>
      </c>
    </row>
    <row r="153" spans="1:5" ht="17.25">
      <c r="A153" s="301">
        <v>147</v>
      </c>
      <c r="C153" s="327"/>
      <c r="D153" s="337" t="s">
        <v>1125</v>
      </c>
      <c r="E153" s="57">
        <v>300</v>
      </c>
    </row>
    <row r="154" spans="1:5" ht="17.25">
      <c r="A154" s="301">
        <v>148</v>
      </c>
      <c r="C154" s="327"/>
      <c r="D154" s="337" t="s">
        <v>1126</v>
      </c>
      <c r="E154" s="57">
        <v>30</v>
      </c>
    </row>
    <row r="155" spans="1:5" ht="17.25">
      <c r="A155" s="301">
        <v>149</v>
      </c>
      <c r="C155" s="327"/>
      <c r="D155" s="337" t="s">
        <v>1127</v>
      </c>
      <c r="E155" s="57">
        <v>30</v>
      </c>
    </row>
    <row r="156" spans="1:5" ht="17.25">
      <c r="A156" s="301">
        <v>150</v>
      </c>
      <c r="C156" s="327"/>
      <c r="D156" s="337" t="s">
        <v>1128</v>
      </c>
      <c r="E156" s="57">
        <v>200</v>
      </c>
    </row>
    <row r="157" spans="1:5" ht="17.25">
      <c r="A157" s="301">
        <v>151</v>
      </c>
      <c r="C157" s="327"/>
      <c r="D157" s="337" t="s">
        <v>1131</v>
      </c>
      <c r="E157" s="57">
        <v>30</v>
      </c>
    </row>
    <row r="158" spans="1:5" ht="17.25">
      <c r="A158" s="301">
        <v>152</v>
      </c>
      <c r="C158" s="327"/>
      <c r="D158" s="337" t="s">
        <v>1132</v>
      </c>
      <c r="E158" s="57">
        <v>30</v>
      </c>
    </row>
    <row r="159" spans="1:5" ht="17.25">
      <c r="A159" s="301">
        <v>153</v>
      </c>
      <c r="C159" s="327"/>
      <c r="D159" s="337" t="s">
        <v>1133</v>
      </c>
      <c r="E159" s="57">
        <v>46</v>
      </c>
    </row>
    <row r="160" spans="1:5" ht="17.25">
      <c r="A160" s="301">
        <v>154</v>
      </c>
      <c r="C160" s="327"/>
      <c r="D160" s="337" t="s">
        <v>1134</v>
      </c>
      <c r="E160" s="57">
        <v>30</v>
      </c>
    </row>
    <row r="161" spans="1:5" ht="17.25">
      <c r="A161" s="301">
        <v>155</v>
      </c>
      <c r="C161" s="327"/>
      <c r="D161" s="337" t="s">
        <v>1135</v>
      </c>
      <c r="E161" s="216">
        <v>550</v>
      </c>
    </row>
    <row r="162" spans="1:5" s="327" customFormat="1" ht="17.25">
      <c r="A162" s="1156">
        <v>156</v>
      </c>
      <c r="D162" s="338" t="s">
        <v>1150</v>
      </c>
      <c r="E162" s="324">
        <f>SUM(E144:E161)</f>
        <v>1936</v>
      </c>
    </row>
    <row r="163" spans="1:5" s="327" customFormat="1" ht="17.25">
      <c r="A163" s="301">
        <v>157</v>
      </c>
      <c r="D163" s="336" t="s">
        <v>997</v>
      </c>
      <c r="E163" s="324"/>
    </row>
    <row r="164" spans="1:5" s="327" customFormat="1" ht="17.25">
      <c r="A164" s="301">
        <v>158</v>
      </c>
      <c r="D164" s="303" t="s">
        <v>341</v>
      </c>
      <c r="E164" s="324">
        <v>100</v>
      </c>
    </row>
    <row r="165" spans="1:5" s="327" customFormat="1" ht="17.25">
      <c r="A165" s="301">
        <v>159</v>
      </c>
      <c r="D165" s="303" t="s">
        <v>342</v>
      </c>
      <c r="E165" s="324">
        <v>100</v>
      </c>
    </row>
    <row r="166" spans="1:5" s="327" customFormat="1" ht="25.5" customHeight="1">
      <c r="A166" s="301">
        <v>160</v>
      </c>
      <c r="D166" s="336" t="s">
        <v>557</v>
      </c>
      <c r="E166" s="324"/>
    </row>
    <row r="167" spans="1:5" s="327" customFormat="1" ht="17.25">
      <c r="A167" s="301">
        <v>161</v>
      </c>
      <c r="D167" s="303" t="s">
        <v>339</v>
      </c>
      <c r="E167" s="324">
        <v>100</v>
      </c>
    </row>
    <row r="168" spans="1:5" s="327" customFormat="1" ht="17.25">
      <c r="A168" s="301">
        <v>162</v>
      </c>
      <c r="D168" s="303" t="s">
        <v>340</v>
      </c>
      <c r="E168" s="1030">
        <v>50</v>
      </c>
    </row>
    <row r="169" spans="1:5" s="327" customFormat="1" ht="17.25">
      <c r="A169" s="301">
        <v>163</v>
      </c>
      <c r="D169" s="336"/>
      <c r="E169" s="324">
        <f>SUM(E167:E168)</f>
        <v>150</v>
      </c>
    </row>
    <row r="170" spans="1:5" s="327" customFormat="1" ht="17.25">
      <c r="A170" s="301">
        <v>164</v>
      </c>
      <c r="D170" s="336" t="s">
        <v>558</v>
      </c>
      <c r="E170" s="324"/>
    </row>
    <row r="171" spans="1:5" s="327" customFormat="1" ht="17.25">
      <c r="A171" s="301">
        <v>165</v>
      </c>
      <c r="D171" s="303" t="s">
        <v>1137</v>
      </c>
      <c r="E171" s="324">
        <v>118</v>
      </c>
    </row>
    <row r="172" spans="1:5" s="327" customFormat="1" ht="17.25">
      <c r="A172" s="301">
        <v>166</v>
      </c>
      <c r="D172" s="303" t="s">
        <v>1138</v>
      </c>
      <c r="E172" s="324">
        <v>256</v>
      </c>
    </row>
    <row r="173" spans="1:5" s="327" customFormat="1" ht="17.25">
      <c r="A173" s="301">
        <v>167</v>
      </c>
      <c r="D173" s="303" t="s">
        <v>1139</v>
      </c>
      <c r="E173" s="324">
        <v>160</v>
      </c>
    </row>
    <row r="174" spans="1:5" s="327" customFormat="1" ht="17.25">
      <c r="A174" s="301">
        <v>168</v>
      </c>
      <c r="D174" s="303" t="s">
        <v>1140</v>
      </c>
      <c r="E174" s="1030">
        <v>160</v>
      </c>
    </row>
    <row r="175" spans="1:5" s="327" customFormat="1" ht="17.25">
      <c r="A175" s="301">
        <v>169</v>
      </c>
      <c r="D175" s="338"/>
      <c r="E175" s="324">
        <f>SUM(E171:E174)</f>
        <v>694</v>
      </c>
    </row>
    <row r="176" spans="1:5" s="327" customFormat="1" ht="33.75">
      <c r="A176" s="1156">
        <v>170</v>
      </c>
      <c r="D176" s="332" t="s">
        <v>338</v>
      </c>
      <c r="E176" s="321">
        <v>50</v>
      </c>
    </row>
    <row r="177" spans="1:5" s="327" customFormat="1" ht="17.25">
      <c r="A177" s="301">
        <v>171</v>
      </c>
      <c r="D177" s="305" t="s">
        <v>1136</v>
      </c>
      <c r="E177" s="324">
        <v>1100</v>
      </c>
    </row>
    <row r="178" spans="1:5" s="12" customFormat="1" ht="25.5" customHeight="1" thickBot="1">
      <c r="A178" s="1157">
        <v>172</v>
      </c>
      <c r="B178" s="339"/>
      <c r="C178" s="340"/>
      <c r="D178" s="341" t="s">
        <v>1151</v>
      </c>
      <c r="E178" s="342">
        <f>E162+E142+E176+E165+E164+E177+E175+E169</f>
        <v>4970</v>
      </c>
    </row>
    <row r="179" spans="1:5" s="325" customFormat="1" ht="25.5" customHeight="1" thickBot="1" thickTop="1">
      <c r="A179" s="1157">
        <v>173</v>
      </c>
      <c r="B179" s="340"/>
      <c r="C179" s="340"/>
      <c r="D179" s="343" t="s">
        <v>1152</v>
      </c>
      <c r="E179" s="344">
        <f>E178+E132</f>
        <v>615370</v>
      </c>
    </row>
    <row r="180" spans="1:4" ht="24.75" customHeight="1" thickTop="1">
      <c r="A180" s="301">
        <v>174</v>
      </c>
      <c r="C180" s="319" t="s">
        <v>393</v>
      </c>
      <c r="D180" s="320" t="s">
        <v>1153</v>
      </c>
    </row>
    <row r="181" spans="1:4" ht="34.5">
      <c r="A181" s="1156">
        <v>175</v>
      </c>
      <c r="C181" s="319"/>
      <c r="D181" s="320" t="s">
        <v>745</v>
      </c>
    </row>
    <row r="182" spans="1:5" ht="33.75">
      <c r="A182" s="1156">
        <v>176</v>
      </c>
      <c r="C182" s="319"/>
      <c r="D182" s="345" t="s">
        <v>337</v>
      </c>
      <c r="E182" s="346">
        <v>250</v>
      </c>
    </row>
    <row r="183" spans="1:5" ht="17.25">
      <c r="A183" s="301">
        <v>177</v>
      </c>
      <c r="C183" s="319"/>
      <c r="D183" s="345" t="s">
        <v>241</v>
      </c>
      <c r="E183" s="346">
        <v>1000</v>
      </c>
    </row>
    <row r="184" spans="1:5" s="337" customFormat="1" ht="17.25">
      <c r="A184" s="301">
        <v>178</v>
      </c>
      <c r="C184" s="347"/>
      <c r="D184" s="345" t="s">
        <v>285</v>
      </c>
      <c r="E184" s="346">
        <v>970</v>
      </c>
    </row>
    <row r="185" spans="1:8" s="337" customFormat="1" ht="17.25">
      <c r="A185" s="301">
        <v>179</v>
      </c>
      <c r="B185" s="308"/>
      <c r="C185" s="347"/>
      <c r="D185" s="345" t="s">
        <v>655</v>
      </c>
      <c r="E185" s="346">
        <v>13900</v>
      </c>
      <c r="F185" s="348"/>
      <c r="G185" s="348"/>
      <c r="H185" s="348"/>
    </row>
    <row r="186" spans="1:5" s="337" customFormat="1" ht="17.25">
      <c r="A186" s="301">
        <v>180</v>
      </c>
      <c r="C186" s="347"/>
      <c r="D186" s="917" t="s">
        <v>653</v>
      </c>
      <c r="E186" s="346">
        <v>-18050</v>
      </c>
    </row>
    <row r="187" spans="1:8" s="337" customFormat="1" ht="15.75" customHeight="1">
      <c r="A187" s="301">
        <v>181</v>
      </c>
      <c r="C187" s="347"/>
      <c r="D187" s="349" t="s">
        <v>654</v>
      </c>
      <c r="E187" s="346">
        <v>18050</v>
      </c>
      <c r="F187" s="348"/>
      <c r="G187" s="348"/>
      <c r="H187" s="348"/>
    </row>
    <row r="188" spans="1:8" s="337" customFormat="1" ht="17.25">
      <c r="A188" s="301">
        <v>182</v>
      </c>
      <c r="C188" s="347"/>
      <c r="D188" s="345" t="s">
        <v>180</v>
      </c>
      <c r="E188" s="346">
        <v>-718800</v>
      </c>
      <c r="F188" s="348"/>
      <c r="G188" s="348"/>
      <c r="H188" s="348"/>
    </row>
    <row r="189" spans="1:8" s="337" customFormat="1" ht="34.5" customHeight="1">
      <c r="A189" s="1156">
        <v>183</v>
      </c>
      <c r="C189" s="347"/>
      <c r="D189" s="345" t="s">
        <v>656</v>
      </c>
      <c r="E189" s="346">
        <v>718800</v>
      </c>
      <c r="F189" s="348"/>
      <c r="G189" s="348"/>
      <c r="H189" s="348"/>
    </row>
    <row r="190" spans="1:8" s="337" customFormat="1" ht="17.25">
      <c r="A190" s="301">
        <v>184</v>
      </c>
      <c r="C190" s="347"/>
      <c r="D190" s="345" t="s">
        <v>286</v>
      </c>
      <c r="E190" s="346">
        <v>741</v>
      </c>
      <c r="F190" s="348"/>
      <c r="G190" s="348"/>
      <c r="H190" s="348"/>
    </row>
    <row r="191" spans="1:256" s="337" customFormat="1" ht="17.25">
      <c r="A191" s="301">
        <v>185</v>
      </c>
      <c r="C191" s="347"/>
      <c r="D191" s="345" t="s">
        <v>287</v>
      </c>
      <c r="E191" s="346">
        <v>600</v>
      </c>
      <c r="F191" s="370"/>
      <c r="H191" s="347"/>
      <c r="I191" s="345"/>
      <c r="J191" s="346"/>
      <c r="K191" s="370"/>
      <c r="M191" s="347"/>
      <c r="N191" s="345"/>
      <c r="O191" s="346"/>
      <c r="P191" s="370"/>
      <c r="R191" s="347"/>
      <c r="S191" s="345"/>
      <c r="T191" s="346"/>
      <c r="U191" s="370"/>
      <c r="W191" s="347"/>
      <c r="X191" s="345"/>
      <c r="Y191" s="346"/>
      <c r="Z191" s="370"/>
      <c r="AB191" s="347"/>
      <c r="AC191" s="345"/>
      <c r="AD191" s="346"/>
      <c r="AE191" s="370"/>
      <c r="AG191" s="347"/>
      <c r="AH191" s="345"/>
      <c r="AI191" s="346"/>
      <c r="AJ191" s="370"/>
      <c r="AL191" s="347"/>
      <c r="AM191" s="345"/>
      <c r="AN191" s="346"/>
      <c r="AO191" s="370"/>
      <c r="AQ191" s="347"/>
      <c r="AR191" s="345"/>
      <c r="AS191" s="346"/>
      <c r="AT191" s="370"/>
      <c r="AV191" s="347"/>
      <c r="AW191" s="345"/>
      <c r="AX191" s="346"/>
      <c r="AY191" s="370"/>
      <c r="BA191" s="347"/>
      <c r="BB191" s="345"/>
      <c r="BC191" s="346"/>
      <c r="BD191" s="370"/>
      <c r="BF191" s="347"/>
      <c r="BG191" s="345"/>
      <c r="BH191" s="346"/>
      <c r="BI191" s="370"/>
      <c r="BK191" s="347"/>
      <c r="BL191" s="345"/>
      <c r="BM191" s="346"/>
      <c r="BN191" s="370"/>
      <c r="BP191" s="347"/>
      <c r="BQ191" s="345"/>
      <c r="BR191" s="346"/>
      <c r="BS191" s="370"/>
      <c r="BU191" s="347"/>
      <c r="BV191" s="345"/>
      <c r="BW191" s="346"/>
      <c r="BX191" s="370"/>
      <c r="BZ191" s="347"/>
      <c r="CA191" s="345"/>
      <c r="CB191" s="346"/>
      <c r="CC191" s="370"/>
      <c r="CE191" s="347"/>
      <c r="CF191" s="345"/>
      <c r="CG191" s="346"/>
      <c r="CH191" s="370"/>
      <c r="CJ191" s="347"/>
      <c r="CK191" s="345"/>
      <c r="CL191" s="346"/>
      <c r="CM191" s="370"/>
      <c r="CO191" s="347"/>
      <c r="CP191" s="345"/>
      <c r="CQ191" s="346"/>
      <c r="CR191" s="370"/>
      <c r="CT191" s="347"/>
      <c r="CU191" s="345"/>
      <c r="CV191" s="346"/>
      <c r="CW191" s="370"/>
      <c r="CY191" s="347"/>
      <c r="CZ191" s="345"/>
      <c r="DA191" s="346"/>
      <c r="DB191" s="370"/>
      <c r="DD191" s="347"/>
      <c r="DE191" s="345"/>
      <c r="DF191" s="346"/>
      <c r="DG191" s="370"/>
      <c r="DI191" s="347"/>
      <c r="DJ191" s="345"/>
      <c r="DK191" s="346"/>
      <c r="DL191" s="370"/>
      <c r="DN191" s="347"/>
      <c r="DO191" s="345"/>
      <c r="DP191" s="346"/>
      <c r="DQ191" s="370"/>
      <c r="DS191" s="347"/>
      <c r="DT191" s="345"/>
      <c r="DU191" s="346"/>
      <c r="DV191" s="370"/>
      <c r="DX191" s="347"/>
      <c r="DY191" s="345"/>
      <c r="DZ191" s="346"/>
      <c r="EA191" s="370"/>
      <c r="EC191" s="347"/>
      <c r="ED191" s="345"/>
      <c r="EE191" s="346"/>
      <c r="EF191" s="370"/>
      <c r="EH191" s="347"/>
      <c r="EI191" s="345"/>
      <c r="EJ191" s="346"/>
      <c r="EK191" s="370"/>
      <c r="EM191" s="347"/>
      <c r="EN191" s="345"/>
      <c r="EO191" s="346"/>
      <c r="EP191" s="370"/>
      <c r="ER191" s="347"/>
      <c r="ES191" s="345"/>
      <c r="ET191" s="346"/>
      <c r="EU191" s="370"/>
      <c r="EW191" s="347"/>
      <c r="EX191" s="345"/>
      <c r="EY191" s="346"/>
      <c r="EZ191" s="370"/>
      <c r="FB191" s="347"/>
      <c r="FC191" s="345"/>
      <c r="FD191" s="346"/>
      <c r="FE191" s="370"/>
      <c r="FG191" s="347"/>
      <c r="FH191" s="345"/>
      <c r="FI191" s="346"/>
      <c r="FJ191" s="370"/>
      <c r="FL191" s="347"/>
      <c r="FM191" s="345"/>
      <c r="FN191" s="346"/>
      <c r="FO191" s="370"/>
      <c r="FQ191" s="347"/>
      <c r="FR191" s="345"/>
      <c r="FS191" s="346"/>
      <c r="FT191" s="370"/>
      <c r="FV191" s="347"/>
      <c r="FW191" s="345"/>
      <c r="FX191" s="346"/>
      <c r="FY191" s="370"/>
      <c r="GA191" s="347"/>
      <c r="GB191" s="345"/>
      <c r="GC191" s="346"/>
      <c r="GD191" s="370"/>
      <c r="GF191" s="347"/>
      <c r="GG191" s="345"/>
      <c r="GH191" s="346"/>
      <c r="GI191" s="370"/>
      <c r="GK191" s="347"/>
      <c r="GL191" s="345"/>
      <c r="GM191" s="346"/>
      <c r="GN191" s="370"/>
      <c r="GP191" s="347"/>
      <c r="GQ191" s="345"/>
      <c r="GR191" s="346"/>
      <c r="GS191" s="370"/>
      <c r="GU191" s="347"/>
      <c r="GV191" s="345"/>
      <c r="GW191" s="346"/>
      <c r="GX191" s="370"/>
      <c r="GZ191" s="347"/>
      <c r="HA191" s="345"/>
      <c r="HB191" s="346"/>
      <c r="HC191" s="370"/>
      <c r="HE191" s="347"/>
      <c r="HF191" s="345"/>
      <c r="HG191" s="346"/>
      <c r="HH191" s="370"/>
      <c r="HJ191" s="347"/>
      <c r="HK191" s="345"/>
      <c r="HL191" s="346"/>
      <c r="HM191" s="370"/>
      <c r="HO191" s="347"/>
      <c r="HP191" s="345"/>
      <c r="HQ191" s="346"/>
      <c r="HR191" s="370"/>
      <c r="HT191" s="347"/>
      <c r="HU191" s="345"/>
      <c r="HV191" s="346"/>
      <c r="HW191" s="370"/>
      <c r="HY191" s="347"/>
      <c r="HZ191" s="345"/>
      <c r="IA191" s="346"/>
      <c r="IB191" s="370"/>
      <c r="ID191" s="347"/>
      <c r="IE191" s="345"/>
      <c r="IF191" s="346"/>
      <c r="IG191" s="370"/>
      <c r="II191" s="347"/>
      <c r="IJ191" s="345"/>
      <c r="IK191" s="346"/>
      <c r="IL191" s="370"/>
      <c r="IN191" s="347"/>
      <c r="IO191" s="345"/>
      <c r="IP191" s="346"/>
      <c r="IQ191" s="370"/>
      <c r="IS191" s="347"/>
      <c r="IT191" s="345"/>
      <c r="IU191" s="346"/>
      <c r="IV191" s="370"/>
    </row>
    <row r="192" spans="1:8" s="337" customFormat="1" ht="17.25">
      <c r="A192" s="301">
        <v>186</v>
      </c>
      <c r="C192" s="347"/>
      <c r="D192" s="345" t="s">
        <v>657</v>
      </c>
      <c r="E192" s="346">
        <v>500000</v>
      </c>
      <c r="F192" s="348"/>
      <c r="G192" s="348"/>
      <c r="H192" s="348"/>
    </row>
    <row r="193" spans="1:8" s="337" customFormat="1" ht="34.5" customHeight="1">
      <c r="A193" s="1156">
        <v>187</v>
      </c>
      <c r="C193" s="347"/>
      <c r="D193" s="345" t="s">
        <v>904</v>
      </c>
      <c r="E193" s="346">
        <v>1500</v>
      </c>
      <c r="F193" s="348"/>
      <c r="G193" s="348"/>
      <c r="H193" s="348"/>
    </row>
    <row r="194" spans="1:8" s="337" customFormat="1" ht="33.75">
      <c r="A194" s="1156">
        <v>188</v>
      </c>
      <c r="C194" s="347"/>
      <c r="D194" s="345" t="s">
        <v>665</v>
      </c>
      <c r="E194" s="346">
        <v>117925</v>
      </c>
      <c r="F194" s="348"/>
      <c r="G194" s="348"/>
      <c r="H194" s="348"/>
    </row>
    <row r="195" spans="1:8" s="337" customFormat="1" ht="33.75">
      <c r="A195" s="1156">
        <v>189</v>
      </c>
      <c r="C195" s="347"/>
      <c r="D195" s="345" t="s">
        <v>666</v>
      </c>
      <c r="E195" s="346">
        <v>319251</v>
      </c>
      <c r="F195" s="348"/>
      <c r="G195" s="348"/>
      <c r="H195" s="348"/>
    </row>
    <row r="196" spans="1:8" s="337" customFormat="1" ht="17.25">
      <c r="A196" s="301">
        <v>190</v>
      </c>
      <c r="C196" s="347"/>
      <c r="D196" s="345" t="s">
        <v>667</v>
      </c>
      <c r="E196" s="346">
        <v>21128</v>
      </c>
      <c r="F196" s="348"/>
      <c r="G196" s="348"/>
      <c r="H196" s="348"/>
    </row>
    <row r="197" spans="1:8" s="337" customFormat="1" ht="33.75">
      <c r="A197" s="1156">
        <v>191</v>
      </c>
      <c r="C197" s="347"/>
      <c r="D197" s="345" t="s">
        <v>904</v>
      </c>
      <c r="E197" s="346">
        <v>73812</v>
      </c>
      <c r="F197" s="348"/>
      <c r="G197" s="348"/>
      <c r="H197" s="348"/>
    </row>
    <row r="198" spans="1:8" s="337" customFormat="1" ht="33.75">
      <c r="A198" s="1156">
        <v>192</v>
      </c>
      <c r="C198" s="347"/>
      <c r="D198" s="345" t="s">
        <v>668</v>
      </c>
      <c r="E198" s="346">
        <v>86082</v>
      </c>
      <c r="F198" s="348"/>
      <c r="G198" s="348"/>
      <c r="H198" s="348"/>
    </row>
    <row r="199" spans="1:8" s="337" customFormat="1" ht="33.75">
      <c r="A199" s="1156">
        <v>193</v>
      </c>
      <c r="C199" s="347"/>
      <c r="D199" s="345" t="s">
        <v>692</v>
      </c>
      <c r="E199" s="346">
        <v>10000</v>
      </c>
      <c r="F199" s="348"/>
      <c r="G199" s="348"/>
      <c r="H199" s="348"/>
    </row>
    <row r="200" spans="1:8" s="337" customFormat="1" ht="33.75">
      <c r="A200" s="1156">
        <v>194</v>
      </c>
      <c r="C200" s="347"/>
      <c r="D200" s="345" t="s">
        <v>669</v>
      </c>
      <c r="E200" s="346">
        <v>183503</v>
      </c>
      <c r="F200" s="348"/>
      <c r="G200" s="348"/>
      <c r="H200" s="348"/>
    </row>
    <row r="201" spans="1:8" s="337" customFormat="1" ht="33.75">
      <c r="A201" s="1156">
        <v>195</v>
      </c>
      <c r="C201" s="347"/>
      <c r="D201" s="345" t="s">
        <v>967</v>
      </c>
      <c r="E201" s="346">
        <v>31138</v>
      </c>
      <c r="F201" s="348"/>
      <c r="G201" s="348"/>
      <c r="H201" s="348"/>
    </row>
    <row r="202" spans="1:8" s="337" customFormat="1" ht="17.25">
      <c r="A202" s="301">
        <v>196</v>
      </c>
      <c r="C202" s="347"/>
      <c r="D202" s="345" t="s">
        <v>14</v>
      </c>
      <c r="E202" s="346">
        <v>80944</v>
      </c>
      <c r="F202" s="348"/>
      <c r="G202" s="348"/>
      <c r="H202" s="348"/>
    </row>
    <row r="203" spans="1:8" s="337" customFormat="1" ht="33.75">
      <c r="A203" s="1156">
        <v>197</v>
      </c>
      <c r="C203" s="347"/>
      <c r="D203" s="345" t="s">
        <v>968</v>
      </c>
      <c r="E203" s="346">
        <v>273800</v>
      </c>
      <c r="F203" s="348"/>
      <c r="G203" s="348"/>
      <c r="H203" s="348"/>
    </row>
    <row r="204" spans="1:8" s="337" customFormat="1" ht="17.25">
      <c r="A204" s="301">
        <v>198</v>
      </c>
      <c r="C204" s="347"/>
      <c r="D204" s="345" t="s">
        <v>966</v>
      </c>
      <c r="E204" s="346">
        <v>17758</v>
      </c>
      <c r="F204" s="348"/>
      <c r="G204" s="348"/>
      <c r="H204" s="348"/>
    </row>
    <row r="205" spans="1:8" s="337" customFormat="1" ht="36" customHeight="1">
      <c r="A205" s="1156">
        <v>199</v>
      </c>
      <c r="C205" s="347"/>
      <c r="D205" s="345" t="s">
        <v>670</v>
      </c>
      <c r="E205" s="346">
        <v>42347</v>
      </c>
      <c r="F205" s="348"/>
      <c r="G205" s="348"/>
      <c r="H205" s="348"/>
    </row>
    <row r="206" spans="1:8" s="337" customFormat="1" ht="17.25">
      <c r="A206" s="301">
        <v>200</v>
      </c>
      <c r="C206" s="347"/>
      <c r="D206" s="345" t="s">
        <v>18</v>
      </c>
      <c r="E206" s="346">
        <v>1000</v>
      </c>
      <c r="F206" s="348"/>
      <c r="G206" s="348"/>
      <c r="H206" s="348"/>
    </row>
    <row r="207" spans="1:8" s="337" customFormat="1" ht="17.25">
      <c r="A207" s="301">
        <v>201</v>
      </c>
      <c r="C207" s="347"/>
      <c r="D207" s="345" t="s">
        <v>693</v>
      </c>
      <c r="E207" s="346">
        <v>53</v>
      </c>
      <c r="F207" s="348"/>
      <c r="G207" s="348"/>
      <c r="H207" s="348"/>
    </row>
    <row r="208" spans="1:8" s="337" customFormat="1" ht="33.75">
      <c r="A208" s="1156">
        <v>202</v>
      </c>
      <c r="C208" s="347"/>
      <c r="D208" s="345" t="s">
        <v>694</v>
      </c>
      <c r="E208" s="346">
        <v>20796</v>
      </c>
      <c r="F208" s="348"/>
      <c r="G208" s="348"/>
      <c r="H208" s="348"/>
    </row>
    <row r="209" spans="1:8" s="337" customFormat="1" ht="17.25">
      <c r="A209" s="301">
        <v>203</v>
      </c>
      <c r="C209" s="347"/>
      <c r="D209" s="345" t="s">
        <v>57</v>
      </c>
      <c r="E209" s="346">
        <v>15000</v>
      </c>
      <c r="F209" s="348"/>
      <c r="G209" s="348"/>
      <c r="H209" s="348"/>
    </row>
    <row r="210" spans="1:8" s="337" customFormat="1" ht="17.25">
      <c r="A210" s="301">
        <v>204</v>
      </c>
      <c r="C210" s="347"/>
      <c r="D210" s="345" t="s">
        <v>58</v>
      </c>
      <c r="E210" s="346">
        <v>14670</v>
      </c>
      <c r="F210" s="348"/>
      <c r="G210" s="348"/>
      <c r="H210" s="348"/>
    </row>
    <row r="211" spans="1:8" s="337" customFormat="1" ht="17.25">
      <c r="A211" s="301">
        <v>205</v>
      </c>
      <c r="C211" s="347"/>
      <c r="D211" s="345" t="s">
        <v>695</v>
      </c>
      <c r="E211" s="346">
        <v>9210</v>
      </c>
      <c r="F211" s="348"/>
      <c r="G211" s="348"/>
      <c r="H211" s="348"/>
    </row>
    <row r="212" spans="1:8" s="337" customFormat="1" ht="17.25">
      <c r="A212" s="301">
        <v>206</v>
      </c>
      <c r="C212" s="347"/>
      <c r="D212" s="345" t="s">
        <v>696</v>
      </c>
      <c r="E212" s="346">
        <v>10000</v>
      </c>
      <c r="F212" s="348"/>
      <c r="G212" s="348"/>
      <c r="H212" s="348"/>
    </row>
    <row r="213" spans="1:8" s="337" customFormat="1" ht="16.5" customHeight="1">
      <c r="A213" s="301">
        <v>207</v>
      </c>
      <c r="C213" s="347"/>
      <c r="D213" s="345" t="s">
        <v>697</v>
      </c>
      <c r="E213" s="346">
        <v>3000</v>
      </c>
      <c r="F213" s="348"/>
      <c r="G213" s="348"/>
      <c r="H213" s="348"/>
    </row>
    <row r="214" spans="1:8" s="337" customFormat="1" ht="17.25">
      <c r="A214" s="301">
        <v>208</v>
      </c>
      <c r="C214" s="347"/>
      <c r="D214" s="345" t="s">
        <v>698</v>
      </c>
      <c r="E214" s="346">
        <v>997</v>
      </c>
      <c r="F214" s="348"/>
      <c r="G214" s="348"/>
      <c r="H214" s="348"/>
    </row>
    <row r="215" spans="1:8" s="337" customFormat="1" ht="17.25">
      <c r="A215" s="301">
        <v>209</v>
      </c>
      <c r="C215" s="347"/>
      <c r="D215" s="345" t="s">
        <v>699</v>
      </c>
      <c r="E215" s="346">
        <v>6000</v>
      </c>
      <c r="F215" s="348"/>
      <c r="G215" s="348"/>
      <c r="H215" s="348"/>
    </row>
    <row r="216" spans="1:8" s="337" customFormat="1" ht="17.25">
      <c r="A216" s="301">
        <v>210</v>
      </c>
      <c r="C216" s="347"/>
      <c r="D216" s="345" t="s">
        <v>700</v>
      </c>
      <c r="E216" s="346">
        <v>5000</v>
      </c>
      <c r="F216" s="348"/>
      <c r="G216" s="348"/>
      <c r="H216" s="348"/>
    </row>
    <row r="217" spans="1:8" s="337" customFormat="1" ht="17.25">
      <c r="A217" s="301">
        <v>211</v>
      </c>
      <c r="C217" s="347"/>
      <c r="D217" s="345" t="s">
        <v>701</v>
      </c>
      <c r="E217" s="346">
        <v>240</v>
      </c>
      <c r="F217" s="348"/>
      <c r="G217" s="348"/>
      <c r="H217" s="348"/>
    </row>
    <row r="218" spans="1:8" s="337" customFormat="1" ht="17.25">
      <c r="A218" s="301">
        <v>212</v>
      </c>
      <c r="C218" s="347"/>
      <c r="D218" s="345" t="s">
        <v>702</v>
      </c>
      <c r="E218" s="346">
        <v>1000</v>
      </c>
      <c r="F218" s="348"/>
      <c r="G218" s="348"/>
      <c r="H218" s="348"/>
    </row>
    <row r="219" spans="1:8" s="337" customFormat="1" ht="17.25">
      <c r="A219" s="301">
        <v>213</v>
      </c>
      <c r="C219" s="347"/>
      <c r="D219" s="345" t="s">
        <v>703</v>
      </c>
      <c r="E219" s="346">
        <v>1720</v>
      </c>
      <c r="F219" s="348"/>
      <c r="G219" s="348"/>
      <c r="H219" s="348"/>
    </row>
    <row r="220" spans="1:8" s="337" customFormat="1" ht="17.25">
      <c r="A220" s="301">
        <v>214</v>
      </c>
      <c r="C220" s="347"/>
      <c r="D220" s="345" t="s">
        <v>80</v>
      </c>
      <c r="E220" s="346">
        <v>5000</v>
      </c>
      <c r="F220" s="348"/>
      <c r="G220" s="348"/>
      <c r="H220" s="348"/>
    </row>
    <row r="221" spans="1:8" s="337" customFormat="1" ht="17.25">
      <c r="A221" s="301">
        <v>215</v>
      </c>
      <c r="C221" s="347"/>
      <c r="D221" s="345" t="s">
        <v>704</v>
      </c>
      <c r="E221" s="346">
        <v>6000</v>
      </c>
      <c r="F221" s="348"/>
      <c r="G221" s="348"/>
      <c r="H221" s="348"/>
    </row>
    <row r="222" spans="1:8" s="337" customFormat="1" ht="17.25">
      <c r="A222" s="301">
        <v>216</v>
      </c>
      <c r="C222" s="347"/>
      <c r="D222" s="345" t="s">
        <v>705</v>
      </c>
      <c r="E222" s="346">
        <v>6000</v>
      </c>
      <c r="F222" s="966">
        <f>SUM(E194:E222)</f>
        <v>1363374</v>
      </c>
      <c r="G222" s="348"/>
      <c r="H222" s="348"/>
    </row>
    <row r="223" spans="1:8" s="337" customFormat="1" ht="17.25">
      <c r="A223" s="301">
        <v>217</v>
      </c>
      <c r="C223" s="347"/>
      <c r="D223" s="345" t="s">
        <v>16</v>
      </c>
      <c r="E223" s="346">
        <v>8000</v>
      </c>
      <c r="F223" s="348"/>
      <c r="G223" s="348"/>
      <c r="H223" s="348"/>
    </row>
    <row r="224" spans="1:8" s="337" customFormat="1" ht="17.25">
      <c r="A224" s="301">
        <v>218</v>
      </c>
      <c r="C224" s="347"/>
      <c r="D224" s="345" t="s">
        <v>57</v>
      </c>
      <c r="E224" s="346">
        <v>13500</v>
      </c>
      <c r="F224" s="348"/>
      <c r="G224" s="348"/>
      <c r="H224" s="348"/>
    </row>
    <row r="225" spans="1:8" s="337" customFormat="1" ht="17.25">
      <c r="A225" s="301">
        <v>219</v>
      </c>
      <c r="C225" s="347"/>
      <c r="D225" s="345" t="s">
        <v>77</v>
      </c>
      <c r="E225" s="346">
        <v>10000</v>
      </c>
      <c r="F225" s="348"/>
      <c r="G225" s="348"/>
      <c r="H225" s="348"/>
    </row>
    <row r="226" spans="1:8" s="337" customFormat="1" ht="17.25">
      <c r="A226" s="301">
        <v>220</v>
      </c>
      <c r="C226" s="347"/>
      <c r="D226" s="345" t="s">
        <v>81</v>
      </c>
      <c r="E226" s="346">
        <v>25000</v>
      </c>
      <c r="F226" s="348"/>
      <c r="G226" s="348"/>
      <c r="H226" s="348"/>
    </row>
    <row r="227" spans="1:8" s="337" customFormat="1" ht="17.25">
      <c r="A227" s="301">
        <v>221</v>
      </c>
      <c r="C227" s="347"/>
      <c r="D227" s="345" t="s">
        <v>493</v>
      </c>
      <c r="E227" s="346">
        <v>13000</v>
      </c>
      <c r="F227" s="348"/>
      <c r="G227" s="348"/>
      <c r="H227" s="348"/>
    </row>
    <row r="228" spans="1:8" s="337" customFormat="1" ht="17.25">
      <c r="A228" s="301">
        <v>222</v>
      </c>
      <c r="C228" s="347"/>
      <c r="D228" s="345" t="s">
        <v>84</v>
      </c>
      <c r="E228" s="346">
        <v>5000</v>
      </c>
      <c r="F228" s="348"/>
      <c r="G228" s="348"/>
      <c r="H228" s="348"/>
    </row>
    <row r="229" spans="1:8" s="337" customFormat="1" ht="17.25">
      <c r="A229" s="301">
        <v>223</v>
      </c>
      <c r="C229" s="347"/>
      <c r="D229" s="345" t="s">
        <v>86</v>
      </c>
      <c r="E229" s="346">
        <v>7000</v>
      </c>
      <c r="F229" s="348"/>
      <c r="G229" s="348"/>
      <c r="H229" s="348"/>
    </row>
    <row r="230" spans="1:8" s="337" customFormat="1" ht="17.25">
      <c r="A230" s="301">
        <v>224</v>
      </c>
      <c r="C230" s="347"/>
      <c r="D230" s="345" t="s">
        <v>90</v>
      </c>
      <c r="E230" s="346">
        <v>15000</v>
      </c>
      <c r="F230" s="348"/>
      <c r="G230" s="348"/>
      <c r="H230" s="348"/>
    </row>
    <row r="231" spans="1:8" s="337" customFormat="1" ht="33.75">
      <c r="A231" s="1156">
        <v>225</v>
      </c>
      <c r="C231" s="347"/>
      <c r="D231" s="345" t="s">
        <v>222</v>
      </c>
      <c r="E231" s="346">
        <v>500</v>
      </c>
      <c r="F231" s="348"/>
      <c r="G231" s="348"/>
      <c r="H231" s="348"/>
    </row>
    <row r="232" spans="1:8" s="337" customFormat="1" ht="17.25">
      <c r="A232" s="301">
        <v>226</v>
      </c>
      <c r="C232" s="347"/>
      <c r="D232" s="345" t="s">
        <v>223</v>
      </c>
      <c r="E232" s="346">
        <v>2725</v>
      </c>
      <c r="F232" s="348"/>
      <c r="G232" s="348"/>
      <c r="H232" s="348"/>
    </row>
    <row r="233" spans="1:8" s="337" customFormat="1" ht="17.25">
      <c r="A233" s="301">
        <v>227</v>
      </c>
      <c r="C233" s="347"/>
      <c r="D233" s="345" t="s">
        <v>224</v>
      </c>
      <c r="E233" s="346">
        <v>2846</v>
      </c>
      <c r="F233" s="348"/>
      <c r="G233" s="348"/>
      <c r="H233" s="348"/>
    </row>
    <row r="234" spans="1:8" s="337" customFormat="1" ht="17.25">
      <c r="A234" s="301">
        <v>228</v>
      </c>
      <c r="C234" s="347"/>
      <c r="D234" s="345" t="s">
        <v>225</v>
      </c>
      <c r="E234" s="346">
        <v>15000</v>
      </c>
      <c r="F234" s="348"/>
      <c r="G234" s="348"/>
      <c r="H234" s="348"/>
    </row>
    <row r="235" spans="1:8" s="337" customFormat="1" ht="17.25">
      <c r="A235" s="301">
        <v>229</v>
      </c>
      <c r="C235" s="347"/>
      <c r="D235" s="1034" t="s">
        <v>96</v>
      </c>
      <c r="E235" s="346"/>
      <c r="F235" s="348"/>
      <c r="G235" s="348"/>
      <c r="H235" s="348"/>
    </row>
    <row r="236" spans="1:8" s="337" customFormat="1" ht="17.25">
      <c r="A236" s="301">
        <v>230</v>
      </c>
      <c r="C236" s="347"/>
      <c r="D236" s="345" t="s">
        <v>1086</v>
      </c>
      <c r="E236" s="346">
        <v>1950</v>
      </c>
      <c r="F236" s="348"/>
      <c r="G236" s="348"/>
      <c r="H236" s="348"/>
    </row>
    <row r="237" spans="1:8" s="368" customFormat="1" ht="24" customHeight="1">
      <c r="A237" s="1156">
        <v>231</v>
      </c>
      <c r="C237" s="354"/>
      <c r="D237" s="1038" t="s">
        <v>97</v>
      </c>
      <c r="E237" s="361">
        <v>1950</v>
      </c>
      <c r="F237" s="1039"/>
      <c r="G237" s="1040"/>
      <c r="H237" s="1040"/>
    </row>
    <row r="238" spans="1:5" s="325" customFormat="1" ht="24" customHeight="1" thickBot="1">
      <c r="A238" s="1157">
        <v>232</v>
      </c>
      <c r="B238" s="340"/>
      <c r="C238" s="340"/>
      <c r="D238" s="1035" t="s">
        <v>1155</v>
      </c>
      <c r="E238" s="1036">
        <f>SUM(E182:E237)</f>
        <v>2003806</v>
      </c>
    </row>
    <row r="239" spans="1:4" ht="24" customHeight="1" thickTop="1">
      <c r="A239" s="301">
        <v>233</v>
      </c>
      <c r="C239" s="319"/>
      <c r="D239" s="320" t="s">
        <v>677</v>
      </c>
    </row>
    <row r="240" spans="1:4" ht="34.5">
      <c r="A240" s="1156">
        <v>234</v>
      </c>
      <c r="C240" s="319"/>
      <c r="D240" s="320" t="s">
        <v>746</v>
      </c>
    </row>
    <row r="241" spans="1:8" s="337" customFormat="1" ht="34.5" customHeight="1">
      <c r="A241" s="1156">
        <v>235</v>
      </c>
      <c r="C241" s="347"/>
      <c r="D241" s="345" t="s">
        <v>678</v>
      </c>
      <c r="E241" s="346">
        <v>1175</v>
      </c>
      <c r="F241" s="348"/>
      <c r="G241" s="348"/>
      <c r="H241" s="348"/>
    </row>
    <row r="242" spans="1:8" s="337" customFormat="1" ht="34.5" customHeight="1">
      <c r="A242" s="1156">
        <v>236</v>
      </c>
      <c r="C242" s="347"/>
      <c r="D242" s="345" t="s">
        <v>679</v>
      </c>
      <c r="E242" s="346">
        <v>1073</v>
      </c>
      <c r="F242" s="348"/>
      <c r="G242" s="348"/>
      <c r="H242" s="348"/>
    </row>
    <row r="243" spans="1:8" s="337" customFormat="1" ht="17.25">
      <c r="A243" s="301">
        <v>237</v>
      </c>
      <c r="C243" s="347"/>
      <c r="D243" s="345" t="s">
        <v>680</v>
      </c>
      <c r="E243" s="346">
        <v>17000</v>
      </c>
      <c r="F243" s="348"/>
      <c r="G243" s="348"/>
      <c r="H243" s="348"/>
    </row>
    <row r="244" spans="1:8" s="337" customFormat="1" ht="33.75">
      <c r="A244" s="1156">
        <v>238</v>
      </c>
      <c r="C244" s="347"/>
      <c r="D244" s="345" t="s">
        <v>686</v>
      </c>
      <c r="E244" s="346">
        <v>15000</v>
      </c>
      <c r="F244" s="348"/>
      <c r="G244" s="348"/>
      <c r="H244" s="348"/>
    </row>
    <row r="245" spans="1:8" s="337" customFormat="1" ht="17.25">
      <c r="A245" s="301">
        <v>239</v>
      </c>
      <c r="C245" s="347"/>
      <c r="D245" s="345" t="s">
        <v>681</v>
      </c>
      <c r="E245" s="346">
        <v>30000</v>
      </c>
      <c r="F245" s="348"/>
      <c r="G245" s="348"/>
      <c r="H245" s="348"/>
    </row>
    <row r="246" spans="1:8" s="337" customFormat="1" ht="17.25">
      <c r="A246" s="301">
        <v>240</v>
      </c>
      <c r="C246" s="347"/>
      <c r="D246" s="345" t="s">
        <v>127</v>
      </c>
      <c r="E246" s="346">
        <v>5000</v>
      </c>
      <c r="F246" s="348"/>
      <c r="G246" s="348"/>
      <c r="H246" s="348"/>
    </row>
    <row r="247" spans="1:8" s="337" customFormat="1" ht="17.25">
      <c r="A247" s="301">
        <v>241</v>
      </c>
      <c r="C247" s="347"/>
      <c r="D247" s="345" t="s">
        <v>683</v>
      </c>
      <c r="E247" s="346">
        <v>5000</v>
      </c>
      <c r="F247" s="348"/>
      <c r="G247" s="348"/>
      <c r="H247" s="348"/>
    </row>
    <row r="248" spans="1:8" s="337" customFormat="1" ht="17.25">
      <c r="A248" s="301">
        <v>242</v>
      </c>
      <c r="C248" s="347"/>
      <c r="D248" s="345" t="s">
        <v>684</v>
      </c>
      <c r="E248" s="346">
        <v>2960</v>
      </c>
      <c r="F248" s="348"/>
      <c r="G248" s="348"/>
      <c r="H248" s="348"/>
    </row>
    <row r="249" spans="1:8" s="337" customFormat="1" ht="33.75">
      <c r="A249" s="1156">
        <v>243</v>
      </c>
      <c r="C249" s="347"/>
      <c r="D249" s="345" t="s">
        <v>687</v>
      </c>
      <c r="E249" s="346">
        <v>4311</v>
      </c>
      <c r="F249" s="348"/>
      <c r="G249" s="348"/>
      <c r="H249" s="348"/>
    </row>
    <row r="250" spans="1:8" s="337" customFormat="1" ht="17.25">
      <c r="A250" s="301">
        <v>244</v>
      </c>
      <c r="C250" s="347"/>
      <c r="D250" s="345" t="s">
        <v>685</v>
      </c>
      <c r="E250" s="346">
        <v>416</v>
      </c>
      <c r="F250" s="348"/>
      <c r="G250" s="348"/>
      <c r="H250" s="348"/>
    </row>
    <row r="251" spans="1:8" s="337" customFormat="1" ht="17.25">
      <c r="A251" s="301">
        <v>245</v>
      </c>
      <c r="C251" s="347"/>
      <c r="D251" s="345" t="s">
        <v>125</v>
      </c>
      <c r="E251" s="346">
        <v>95000</v>
      </c>
      <c r="F251" s="966">
        <f>SUM(E241:E251)</f>
        <v>176935</v>
      </c>
      <c r="G251" s="348"/>
      <c r="H251" s="348"/>
    </row>
    <row r="252" spans="1:8" s="337" customFormat="1" ht="17.25">
      <c r="A252" s="301">
        <v>246</v>
      </c>
      <c r="C252" s="347"/>
      <c r="D252" s="345" t="s">
        <v>122</v>
      </c>
      <c r="E252" s="346">
        <v>10000</v>
      </c>
      <c r="F252" s="348"/>
      <c r="G252" s="348"/>
      <c r="H252" s="348"/>
    </row>
    <row r="253" spans="1:8" s="337" customFormat="1" ht="17.25">
      <c r="A253" s="301">
        <v>247</v>
      </c>
      <c r="C253" s="347"/>
      <c r="D253" s="345" t="s">
        <v>516</v>
      </c>
      <c r="E253" s="346">
        <v>10000</v>
      </c>
      <c r="F253" s="348"/>
      <c r="G253" s="348"/>
      <c r="H253" s="348"/>
    </row>
    <row r="254" spans="1:8" s="337" customFormat="1" ht="17.25">
      <c r="A254" s="301">
        <v>248</v>
      </c>
      <c r="C254" s="347"/>
      <c r="D254" s="345" t="s">
        <v>124</v>
      </c>
      <c r="E254" s="346">
        <v>20000</v>
      </c>
      <c r="F254" s="348"/>
      <c r="G254" s="348"/>
      <c r="H254" s="348"/>
    </row>
    <row r="255" spans="1:8" s="337" customFormat="1" ht="17.25">
      <c r="A255" s="301">
        <v>249</v>
      </c>
      <c r="C255" s="347"/>
      <c r="D255" s="345" t="s">
        <v>125</v>
      </c>
      <c r="E255" s="346">
        <v>50000</v>
      </c>
      <c r="F255" s="348"/>
      <c r="G255" s="348"/>
      <c r="H255" s="348"/>
    </row>
    <row r="256" spans="1:8" s="337" customFormat="1" ht="17.25">
      <c r="A256" s="301">
        <v>250</v>
      </c>
      <c r="C256" s="347"/>
      <c r="D256" s="345" t="s">
        <v>127</v>
      </c>
      <c r="E256" s="346">
        <v>6000</v>
      </c>
      <c r="F256" s="348"/>
      <c r="G256" s="348"/>
      <c r="H256" s="348"/>
    </row>
    <row r="257" spans="1:8" s="337" customFormat="1" ht="17.25">
      <c r="A257" s="301">
        <v>251</v>
      </c>
      <c r="C257" s="347"/>
      <c r="D257" s="345" t="s">
        <v>129</v>
      </c>
      <c r="E257" s="346">
        <v>4000</v>
      </c>
      <c r="F257" s="348"/>
      <c r="G257" s="348"/>
      <c r="H257" s="348"/>
    </row>
    <row r="258" spans="1:8" s="337" customFormat="1" ht="17.25">
      <c r="A258" s="301">
        <v>252</v>
      </c>
      <c r="C258" s="347"/>
      <c r="D258" s="345" t="s">
        <v>132</v>
      </c>
      <c r="E258" s="346">
        <v>5000</v>
      </c>
      <c r="F258" s="348"/>
      <c r="G258" s="348"/>
      <c r="H258" s="348"/>
    </row>
    <row r="259" spans="1:8" s="337" customFormat="1" ht="17.25">
      <c r="A259" s="301">
        <v>253</v>
      </c>
      <c r="C259" s="347"/>
      <c r="D259" s="1034" t="s">
        <v>717</v>
      </c>
      <c r="E259" s="346">
        <v>460</v>
      </c>
      <c r="F259" s="348"/>
      <c r="G259" s="348"/>
      <c r="H259" s="348"/>
    </row>
    <row r="260" spans="1:8" s="337" customFormat="1" ht="17.25">
      <c r="A260" s="301">
        <v>254</v>
      </c>
      <c r="C260" s="347"/>
      <c r="D260" s="1034" t="s">
        <v>718</v>
      </c>
      <c r="E260" s="346">
        <v>2500</v>
      </c>
      <c r="F260" s="348"/>
      <c r="G260" s="348"/>
      <c r="H260" s="348"/>
    </row>
    <row r="261" spans="1:8" s="337" customFormat="1" ht="17.25">
      <c r="A261" s="301">
        <v>255</v>
      </c>
      <c r="C261" s="347"/>
      <c r="D261" s="1031" t="s">
        <v>719</v>
      </c>
      <c r="E261" s="346">
        <v>2450</v>
      </c>
      <c r="F261" s="348"/>
      <c r="G261" s="348"/>
      <c r="H261" s="348"/>
    </row>
    <row r="262" spans="1:8" s="337" customFormat="1" ht="17.25">
      <c r="A262" s="301">
        <v>256</v>
      </c>
      <c r="C262" s="347"/>
      <c r="D262" s="1034" t="s">
        <v>720</v>
      </c>
      <c r="E262" s="346">
        <v>850</v>
      </c>
      <c r="F262" s="348"/>
      <c r="G262" s="348"/>
      <c r="H262" s="348"/>
    </row>
    <row r="263" spans="1:8" s="337" customFormat="1" ht="17.25">
      <c r="A263" s="301">
        <v>257</v>
      </c>
      <c r="C263" s="347"/>
      <c r="D263" s="1031" t="s">
        <v>721</v>
      </c>
      <c r="E263" s="346">
        <v>4000</v>
      </c>
      <c r="F263" s="348"/>
      <c r="G263" s="348"/>
      <c r="H263" s="348"/>
    </row>
    <row r="264" spans="1:8" s="337" customFormat="1" ht="17.25">
      <c r="A264" s="301">
        <v>258</v>
      </c>
      <c r="C264" s="347"/>
      <c r="D264" s="1034" t="s">
        <v>731</v>
      </c>
      <c r="E264" s="346">
        <v>5600</v>
      </c>
      <c r="F264" s="348"/>
      <c r="G264" s="348"/>
      <c r="H264" s="348"/>
    </row>
    <row r="265" spans="1:8" s="337" customFormat="1" ht="17.25">
      <c r="A265" s="301">
        <v>259</v>
      </c>
      <c r="C265" s="347"/>
      <c r="D265" s="1031" t="s">
        <v>723</v>
      </c>
      <c r="E265" s="346">
        <v>3100</v>
      </c>
      <c r="F265" s="348"/>
      <c r="G265" s="348"/>
      <c r="H265" s="348"/>
    </row>
    <row r="266" spans="1:8" s="337" customFormat="1" ht="17.25">
      <c r="A266" s="301">
        <v>260</v>
      </c>
      <c r="C266" s="347"/>
      <c r="D266" s="1031" t="s">
        <v>722</v>
      </c>
      <c r="E266" s="346">
        <v>850</v>
      </c>
      <c r="F266" s="348"/>
      <c r="G266" s="348"/>
      <c r="H266" s="348"/>
    </row>
    <row r="267" spans="1:8" s="337" customFormat="1" ht="17.25">
      <c r="A267" s="301">
        <v>261</v>
      </c>
      <c r="C267" s="347"/>
      <c r="D267" s="1034" t="s">
        <v>724</v>
      </c>
      <c r="E267" s="346">
        <v>2400</v>
      </c>
      <c r="F267" s="348"/>
      <c r="G267" s="348"/>
      <c r="H267" s="348"/>
    </row>
    <row r="268" spans="1:8" s="337" customFormat="1" ht="17.25">
      <c r="A268" s="301">
        <v>262</v>
      </c>
      <c r="C268" s="347"/>
      <c r="D268" s="1034" t="s">
        <v>96</v>
      </c>
      <c r="E268" s="346"/>
      <c r="F268" s="348"/>
      <c r="G268" s="348"/>
      <c r="H268" s="348"/>
    </row>
    <row r="269" spans="1:8" s="337" customFormat="1" ht="17.25">
      <c r="A269" s="301">
        <v>263</v>
      </c>
      <c r="C269" s="347"/>
      <c r="D269" s="1031" t="s">
        <v>682</v>
      </c>
      <c r="E269" s="346">
        <v>3745</v>
      </c>
      <c r="F269" s="348"/>
      <c r="G269" s="348"/>
      <c r="H269" s="348"/>
    </row>
    <row r="270" spans="1:8" s="337" customFormat="1" ht="17.25">
      <c r="A270" s="301">
        <v>264</v>
      </c>
      <c r="C270" s="347"/>
      <c r="D270" s="1031" t="s">
        <v>232</v>
      </c>
      <c r="E270" s="346">
        <v>1500</v>
      </c>
      <c r="F270" s="348"/>
      <c r="G270" s="348"/>
      <c r="H270" s="348"/>
    </row>
    <row r="271" spans="1:8" s="337" customFormat="1" ht="17.25">
      <c r="A271" s="301">
        <v>265</v>
      </c>
      <c r="C271" s="347"/>
      <c r="D271" s="1031" t="s">
        <v>155</v>
      </c>
      <c r="E271" s="346">
        <v>1600</v>
      </c>
      <c r="F271" s="348"/>
      <c r="G271" s="348"/>
      <c r="H271" s="348"/>
    </row>
    <row r="272" spans="1:8" s="337" customFormat="1" ht="17.25">
      <c r="A272" s="301">
        <v>266</v>
      </c>
      <c r="C272" s="347"/>
      <c r="D272" s="1037" t="s">
        <v>233</v>
      </c>
      <c r="E272" s="346">
        <v>2500</v>
      </c>
      <c r="F272" s="348"/>
      <c r="G272" s="348"/>
      <c r="H272" s="348"/>
    </row>
    <row r="273" spans="1:8" s="337" customFormat="1" ht="33.75">
      <c r="A273" s="1156">
        <v>267</v>
      </c>
      <c r="C273" s="347"/>
      <c r="D273" s="1031" t="s">
        <v>234</v>
      </c>
      <c r="E273" s="346">
        <v>7800</v>
      </c>
      <c r="F273" s="348"/>
      <c r="G273" s="348"/>
      <c r="H273" s="348"/>
    </row>
    <row r="274" spans="1:8" s="337" customFormat="1" ht="17.25">
      <c r="A274" s="301">
        <v>268</v>
      </c>
      <c r="C274" s="347"/>
      <c r="D274" s="1031" t="s">
        <v>238</v>
      </c>
      <c r="E274" s="346">
        <v>3000</v>
      </c>
      <c r="F274" s="348"/>
      <c r="G274" s="348"/>
      <c r="H274" s="348"/>
    </row>
    <row r="275" spans="1:8" s="337" customFormat="1" ht="16.5" customHeight="1">
      <c r="A275" s="301">
        <v>269</v>
      </c>
      <c r="C275" s="347"/>
      <c r="D275" s="1031" t="s">
        <v>282</v>
      </c>
      <c r="E275" s="346">
        <v>990</v>
      </c>
      <c r="F275" s="348"/>
      <c r="G275" s="348"/>
      <c r="H275" s="348"/>
    </row>
    <row r="276" spans="1:8" s="337" customFormat="1" ht="33.75">
      <c r="A276" s="1156">
        <v>270</v>
      </c>
      <c r="C276" s="347"/>
      <c r="D276" s="1034" t="s">
        <v>725</v>
      </c>
      <c r="E276" s="346">
        <v>6000</v>
      </c>
      <c r="F276" s="348"/>
      <c r="G276" s="348"/>
      <c r="H276" s="348"/>
    </row>
    <row r="277" spans="1:8" s="337" customFormat="1" ht="17.25">
      <c r="A277" s="301">
        <v>271</v>
      </c>
      <c r="C277" s="347"/>
      <c r="D277" s="1034" t="s">
        <v>726</v>
      </c>
      <c r="E277" s="346">
        <v>565</v>
      </c>
      <c r="F277" s="348"/>
      <c r="G277" s="348"/>
      <c r="H277" s="348"/>
    </row>
    <row r="278" spans="1:8" s="337" customFormat="1" ht="17.25">
      <c r="A278" s="301">
        <v>272</v>
      </c>
      <c r="C278" s="347"/>
      <c r="D278" s="1031" t="s">
        <v>231</v>
      </c>
      <c r="E278" s="346">
        <v>488</v>
      </c>
      <c r="F278" s="348"/>
      <c r="G278" s="348"/>
      <c r="H278" s="348"/>
    </row>
    <row r="279" spans="1:8" s="337" customFormat="1" ht="17.25">
      <c r="A279" s="301">
        <v>273</v>
      </c>
      <c r="C279" s="347"/>
      <c r="D279" s="1034" t="s">
        <v>727</v>
      </c>
      <c r="E279" s="346">
        <v>1500</v>
      </c>
      <c r="F279" s="348"/>
      <c r="G279" s="348"/>
      <c r="H279" s="348"/>
    </row>
    <row r="280" spans="1:8" s="337" customFormat="1" ht="33.75">
      <c r="A280" s="1156">
        <v>274</v>
      </c>
      <c r="C280" s="347"/>
      <c r="D280" s="1034" t="s">
        <v>728</v>
      </c>
      <c r="E280" s="346">
        <v>1065</v>
      </c>
      <c r="F280" s="348"/>
      <c r="G280" s="348"/>
      <c r="H280" s="348"/>
    </row>
    <row r="281" spans="1:8" s="337" customFormat="1" ht="17.25">
      <c r="A281" s="301">
        <v>275</v>
      </c>
      <c r="C281" s="347"/>
      <c r="D281" s="1031" t="s">
        <v>230</v>
      </c>
      <c r="E281" s="346">
        <v>1500</v>
      </c>
      <c r="F281" s="348"/>
      <c r="G281" s="348"/>
      <c r="H281" s="348"/>
    </row>
    <row r="282" spans="1:8" s="337" customFormat="1" ht="17.25">
      <c r="A282" s="301">
        <v>276</v>
      </c>
      <c r="C282" s="347"/>
      <c r="D282" s="1034" t="s">
        <v>732</v>
      </c>
      <c r="E282" s="346">
        <v>7600</v>
      </c>
      <c r="F282" s="348"/>
      <c r="G282" s="348"/>
      <c r="H282" s="348"/>
    </row>
    <row r="283" spans="1:8" s="337" customFormat="1" ht="17.25">
      <c r="A283" s="301">
        <v>277</v>
      </c>
      <c r="C283" s="347"/>
      <c r="D283" s="1031" t="s">
        <v>228</v>
      </c>
      <c r="E283" s="346">
        <v>7000</v>
      </c>
      <c r="F283" s="348"/>
      <c r="G283" s="348"/>
      <c r="H283" s="348"/>
    </row>
    <row r="284" spans="1:8" s="337" customFormat="1" ht="17.25">
      <c r="A284" s="301">
        <v>278</v>
      </c>
      <c r="C284" s="347"/>
      <c r="D284" s="1031" t="s">
        <v>229</v>
      </c>
      <c r="E284" s="346">
        <v>9350</v>
      </c>
      <c r="F284" s="348"/>
      <c r="G284" s="348"/>
      <c r="H284" s="348"/>
    </row>
    <row r="285" spans="1:8" s="337" customFormat="1" ht="17.25">
      <c r="A285" s="301">
        <v>279</v>
      </c>
      <c r="C285" s="347"/>
      <c r="D285" s="1031" t="s">
        <v>733</v>
      </c>
      <c r="E285" s="346">
        <v>5974</v>
      </c>
      <c r="F285" s="348"/>
      <c r="G285" s="348"/>
      <c r="H285" s="348"/>
    </row>
    <row r="286" spans="1:8" s="337" customFormat="1" ht="17.25">
      <c r="A286" s="301">
        <v>280</v>
      </c>
      <c r="C286" s="347"/>
      <c r="D286" s="1034" t="s">
        <v>734</v>
      </c>
      <c r="E286" s="346">
        <v>1800</v>
      </c>
      <c r="F286" s="348"/>
      <c r="G286" s="348"/>
      <c r="H286" s="348"/>
    </row>
    <row r="287" spans="1:8" s="337" customFormat="1" ht="17.25">
      <c r="A287" s="301">
        <v>281</v>
      </c>
      <c r="C287" s="347"/>
      <c r="D287" s="1034" t="s">
        <v>735</v>
      </c>
      <c r="E287" s="346">
        <v>4500</v>
      </c>
      <c r="F287" s="348"/>
      <c r="G287" s="348"/>
      <c r="H287" s="348"/>
    </row>
    <row r="288" spans="1:8" s="337" customFormat="1" ht="17.25">
      <c r="A288" s="301">
        <v>282</v>
      </c>
      <c r="C288" s="347"/>
      <c r="D288" s="1034" t="s">
        <v>736</v>
      </c>
      <c r="E288" s="346">
        <v>5000</v>
      </c>
      <c r="F288" s="348"/>
      <c r="G288" s="348"/>
      <c r="H288" s="348"/>
    </row>
    <row r="289" spans="1:8" s="337" customFormat="1" ht="33.75">
      <c r="A289" s="1156">
        <v>283</v>
      </c>
      <c r="C289" s="347"/>
      <c r="D289" s="1034" t="s">
        <v>737</v>
      </c>
      <c r="E289" s="346">
        <v>2000</v>
      </c>
      <c r="F289" s="348"/>
      <c r="G289" s="348"/>
      <c r="H289" s="348"/>
    </row>
    <row r="290" spans="1:8" s="337" customFormat="1" ht="33.75">
      <c r="A290" s="1156">
        <v>284</v>
      </c>
      <c r="C290" s="347"/>
      <c r="D290" s="1034" t="s">
        <v>738</v>
      </c>
      <c r="E290" s="346">
        <v>2000</v>
      </c>
      <c r="F290" s="348"/>
      <c r="G290" s="348"/>
      <c r="H290" s="348"/>
    </row>
    <row r="291" spans="1:8" s="337" customFormat="1" ht="17.25">
      <c r="A291" s="301">
        <v>285</v>
      </c>
      <c r="C291" s="347"/>
      <c r="D291" s="1034" t="s">
        <v>716</v>
      </c>
      <c r="E291" s="346">
        <v>38756</v>
      </c>
      <c r="F291" s="348"/>
      <c r="G291" s="348"/>
      <c r="H291" s="348"/>
    </row>
    <row r="292" spans="1:8" s="337" customFormat="1" ht="17.25">
      <c r="A292" s="301">
        <v>286</v>
      </c>
      <c r="C292" s="347"/>
      <c r="D292" s="1034" t="s">
        <v>739</v>
      </c>
      <c r="E292" s="346">
        <v>3500</v>
      </c>
      <c r="F292" s="348"/>
      <c r="G292" s="348"/>
      <c r="H292" s="348"/>
    </row>
    <row r="293" spans="1:8" s="337" customFormat="1" ht="17.25">
      <c r="A293" s="301">
        <v>287</v>
      </c>
      <c r="C293" s="347"/>
      <c r="D293" s="1034" t="s">
        <v>206</v>
      </c>
      <c r="E293" s="346"/>
      <c r="F293" s="348"/>
      <c r="G293" s="348"/>
      <c r="H293" s="348"/>
    </row>
    <row r="294" spans="1:8" s="337" customFormat="1" ht="33.75">
      <c r="A294" s="1156">
        <v>288</v>
      </c>
      <c r="C294" s="347"/>
      <c r="D294" s="1031" t="s">
        <v>227</v>
      </c>
      <c r="E294" s="346">
        <v>9707</v>
      </c>
      <c r="F294" s="348"/>
      <c r="G294" s="348"/>
      <c r="H294" s="348"/>
    </row>
    <row r="295" spans="1:8" s="337" customFormat="1" ht="33.75" customHeight="1">
      <c r="A295" s="1156">
        <v>289</v>
      </c>
      <c r="C295" s="347"/>
      <c r="D295" s="1031" t="s">
        <v>226</v>
      </c>
      <c r="E295" s="346">
        <v>3500</v>
      </c>
      <c r="F295" s="966">
        <f>SUM(E252:E295)</f>
        <v>260150</v>
      </c>
      <c r="G295" s="348"/>
      <c r="H295" s="348"/>
    </row>
    <row r="296" spans="1:5" s="325" customFormat="1" ht="31.5" customHeight="1" thickBot="1">
      <c r="A296" s="1157">
        <v>290</v>
      </c>
      <c r="B296" s="340"/>
      <c r="C296" s="340"/>
      <c r="D296" s="1035" t="s">
        <v>1154</v>
      </c>
      <c r="E296" s="1036">
        <f>SUM(E241:E295)</f>
        <v>437085</v>
      </c>
    </row>
    <row r="297" spans="1:5" s="12" customFormat="1" ht="31.5" customHeight="1" thickBot="1" thickTop="1">
      <c r="A297" s="1157">
        <v>291</v>
      </c>
      <c r="B297" s="1138"/>
      <c r="C297" s="1138"/>
      <c r="D297" s="1139" t="s">
        <v>1155</v>
      </c>
      <c r="E297" s="1140">
        <f>SUM(E296,E238)</f>
        <v>2440891</v>
      </c>
    </row>
    <row r="298" spans="1:5" s="350" customFormat="1" ht="36" customHeight="1" thickTop="1">
      <c r="A298" s="301">
        <v>292</v>
      </c>
      <c r="C298" s="351" t="s">
        <v>405</v>
      </c>
      <c r="D298" s="352" t="s">
        <v>1156</v>
      </c>
      <c r="E298" s="215"/>
    </row>
    <row r="299" spans="1:5" s="350" customFormat="1" ht="17.25">
      <c r="A299" s="301">
        <v>293</v>
      </c>
      <c r="C299" s="351"/>
      <c r="D299" s="1141" t="s">
        <v>497</v>
      </c>
      <c r="E299" s="215"/>
    </row>
    <row r="300" spans="1:5" s="315" customFormat="1" ht="25.5" customHeight="1">
      <c r="A300" s="301">
        <v>294</v>
      </c>
      <c r="C300" s="353"/>
      <c r="D300" s="337" t="s">
        <v>1157</v>
      </c>
      <c r="E300" s="57">
        <v>142701</v>
      </c>
    </row>
    <row r="301" spans="1:5" ht="25.5" customHeight="1">
      <c r="A301" s="301">
        <v>295</v>
      </c>
      <c r="C301" s="354"/>
      <c r="D301" s="303" t="s">
        <v>594</v>
      </c>
      <c r="E301" s="57">
        <v>15825</v>
      </c>
    </row>
    <row r="302" spans="1:4" ht="17.25">
      <c r="A302" s="301">
        <v>296</v>
      </c>
      <c r="C302" s="354"/>
      <c r="D302" s="336" t="s">
        <v>461</v>
      </c>
    </row>
    <row r="303" spans="1:5" ht="33">
      <c r="A303" s="1156">
        <v>297</v>
      </c>
      <c r="C303" s="354"/>
      <c r="D303" s="355" t="s">
        <v>740</v>
      </c>
      <c r="E303" s="57">
        <v>5827</v>
      </c>
    </row>
    <row r="304" spans="1:4" ht="17.25">
      <c r="A304" s="301">
        <v>298</v>
      </c>
      <c r="C304" s="354"/>
      <c r="D304" s="336" t="s">
        <v>442</v>
      </c>
    </row>
    <row r="305" spans="1:5" ht="17.25">
      <c r="A305" s="301">
        <v>299</v>
      </c>
      <c r="C305" s="354"/>
      <c r="D305" s="990" t="s">
        <v>293</v>
      </c>
      <c r="E305" s="57">
        <v>90</v>
      </c>
    </row>
    <row r="306" spans="1:5" ht="17.25">
      <c r="A306" s="301">
        <v>300</v>
      </c>
      <c r="C306" s="354"/>
      <c r="D306" s="990" t="s">
        <v>294</v>
      </c>
      <c r="E306" s="57">
        <v>200</v>
      </c>
    </row>
    <row r="307" spans="1:5" ht="17.25">
      <c r="A307" s="301">
        <v>301</v>
      </c>
      <c r="C307" s="354"/>
      <c r="D307" s="990" t="s">
        <v>295</v>
      </c>
      <c r="E307" s="57">
        <v>200</v>
      </c>
    </row>
    <row r="308" spans="1:5" ht="17.25">
      <c r="A308" s="301">
        <v>302</v>
      </c>
      <c r="C308" s="354"/>
      <c r="D308" s="990" t="s">
        <v>296</v>
      </c>
      <c r="E308" s="57">
        <v>100</v>
      </c>
    </row>
    <row r="309" spans="1:5" ht="33">
      <c r="A309" s="1156">
        <v>303</v>
      </c>
      <c r="C309" s="354"/>
      <c r="D309" s="332" t="s">
        <v>630</v>
      </c>
      <c r="E309" s="57">
        <v>21115</v>
      </c>
    </row>
    <row r="310" spans="1:5" ht="33">
      <c r="A310" s="1156">
        <v>304</v>
      </c>
      <c r="C310" s="354"/>
      <c r="D310" s="332" t="s">
        <v>788</v>
      </c>
      <c r="E310" s="57">
        <v>1632</v>
      </c>
    </row>
    <row r="311" spans="1:5" ht="17.25">
      <c r="A311" s="301">
        <v>305</v>
      </c>
      <c r="C311" s="354"/>
      <c r="D311" s="990" t="s">
        <v>297</v>
      </c>
      <c r="E311" s="57">
        <v>300</v>
      </c>
    </row>
    <row r="312" spans="1:5" ht="17.25">
      <c r="A312" s="301">
        <v>306</v>
      </c>
      <c r="C312" s="354"/>
      <c r="D312" s="990" t="s">
        <v>673</v>
      </c>
      <c r="E312" s="57">
        <v>11175</v>
      </c>
    </row>
    <row r="313" spans="1:5" ht="17.25">
      <c r="A313" s="301">
        <v>307</v>
      </c>
      <c r="C313" s="354"/>
      <c r="D313" s="332" t="s">
        <v>599</v>
      </c>
      <c r="E313" s="57">
        <v>-386</v>
      </c>
    </row>
    <row r="314" spans="1:5" ht="30.75" customHeight="1">
      <c r="A314" s="1156">
        <v>308</v>
      </c>
      <c r="C314" s="354"/>
      <c r="D314" s="355" t="s">
        <v>741</v>
      </c>
      <c r="E314" s="57">
        <v>800</v>
      </c>
    </row>
    <row r="315" spans="1:5" ht="17.25">
      <c r="A315" s="301">
        <v>309</v>
      </c>
      <c r="C315" s="354"/>
      <c r="D315" s="305" t="s">
        <v>756</v>
      </c>
      <c r="E315" s="57">
        <v>700</v>
      </c>
    </row>
    <row r="316" spans="1:5" ht="17.25">
      <c r="A316" s="301">
        <v>310</v>
      </c>
      <c r="C316" s="354"/>
      <c r="D316" s="305" t="s">
        <v>785</v>
      </c>
      <c r="E316" s="57">
        <v>40</v>
      </c>
    </row>
    <row r="317" spans="1:5" ht="33">
      <c r="A317" s="1156">
        <v>311</v>
      </c>
      <c r="C317" s="354"/>
      <c r="D317" s="332" t="s">
        <v>600</v>
      </c>
      <c r="E317" s="57">
        <v>-140</v>
      </c>
    </row>
    <row r="318" spans="1:5" ht="17.25">
      <c r="A318" s="301">
        <v>312</v>
      </c>
      <c r="C318" s="354"/>
      <c r="D318" s="990" t="s">
        <v>298</v>
      </c>
      <c r="E318" s="57">
        <v>150</v>
      </c>
    </row>
    <row r="319" spans="1:4" ht="17.25">
      <c r="A319" s="301">
        <v>313</v>
      </c>
      <c r="C319" s="354"/>
      <c r="D319" s="332" t="s">
        <v>1187</v>
      </c>
    </row>
    <row r="320" spans="1:5" ht="17.25">
      <c r="A320" s="301">
        <v>314</v>
      </c>
      <c r="C320" s="354"/>
      <c r="D320" s="990" t="s">
        <v>299</v>
      </c>
      <c r="E320" s="57">
        <v>300</v>
      </c>
    </row>
    <row r="321" spans="1:5" ht="17.25">
      <c r="A321" s="301">
        <v>315</v>
      </c>
      <c r="C321" s="354"/>
      <c r="D321" s="990" t="s">
        <v>300</v>
      </c>
      <c r="E321" s="57">
        <v>232</v>
      </c>
    </row>
    <row r="322" spans="1:5" ht="19.5" customHeight="1">
      <c r="A322" s="301">
        <v>316</v>
      </c>
      <c r="C322" s="354"/>
      <c r="D322" s="332" t="s">
        <v>601</v>
      </c>
      <c r="E322" s="57">
        <v>-120</v>
      </c>
    </row>
    <row r="323" spans="1:5" ht="17.25">
      <c r="A323" s="301">
        <v>317</v>
      </c>
      <c r="C323" s="354"/>
      <c r="D323" s="305" t="s">
        <v>301</v>
      </c>
      <c r="E323" s="57">
        <v>100</v>
      </c>
    </row>
    <row r="324" spans="1:5" ht="17.25">
      <c r="A324" s="301">
        <v>318</v>
      </c>
      <c r="C324" s="354"/>
      <c r="D324" s="332" t="s">
        <v>302</v>
      </c>
      <c r="E324" s="57">
        <v>200</v>
      </c>
    </row>
    <row r="325" spans="1:5" ht="17.25">
      <c r="A325" s="301">
        <v>319</v>
      </c>
      <c r="C325" s="354"/>
      <c r="D325" s="305" t="s">
        <v>303</v>
      </c>
      <c r="E325" s="57">
        <v>295</v>
      </c>
    </row>
    <row r="326" spans="1:5" ht="33">
      <c r="A326" s="1156">
        <v>320</v>
      </c>
      <c r="C326" s="354"/>
      <c r="D326" s="332" t="s">
        <v>304</v>
      </c>
      <c r="E326" s="57">
        <v>1357</v>
      </c>
    </row>
    <row r="327" spans="1:5" ht="17.25">
      <c r="A327" s="301">
        <v>321</v>
      </c>
      <c r="C327" s="354"/>
      <c r="D327" s="305" t="s">
        <v>555</v>
      </c>
      <c r="E327" s="57">
        <v>2500</v>
      </c>
    </row>
    <row r="328" spans="1:5" ht="17.25">
      <c r="A328" s="301">
        <v>322</v>
      </c>
      <c r="C328" s="354"/>
      <c r="D328" s="355" t="s">
        <v>305</v>
      </c>
      <c r="E328" s="57">
        <v>50</v>
      </c>
    </row>
    <row r="329" spans="1:5" ht="17.25">
      <c r="A329" s="301">
        <v>323</v>
      </c>
      <c r="C329" s="354"/>
      <c r="D329" s="355" t="s">
        <v>306</v>
      </c>
      <c r="E329" s="57">
        <v>100</v>
      </c>
    </row>
    <row r="330" spans="1:5" ht="32.25" customHeight="1">
      <c r="A330" s="1156">
        <v>324</v>
      </c>
      <c r="C330" s="354"/>
      <c r="D330" s="355" t="s">
        <v>307</v>
      </c>
      <c r="E330" s="57">
        <v>50</v>
      </c>
    </row>
    <row r="331" spans="1:5" ht="19.5" customHeight="1">
      <c r="A331" s="301">
        <v>325</v>
      </c>
      <c r="C331" s="354"/>
      <c r="D331" s="355" t="s">
        <v>14</v>
      </c>
      <c r="E331" s="57">
        <v>2500</v>
      </c>
    </row>
    <row r="332" spans="1:5" ht="19.5" customHeight="1">
      <c r="A332" s="301">
        <v>326</v>
      </c>
      <c r="C332" s="354"/>
      <c r="D332" s="355" t="s">
        <v>308</v>
      </c>
      <c r="E332" s="57">
        <v>820</v>
      </c>
    </row>
    <row r="333" spans="1:5" ht="19.5" customHeight="1">
      <c r="A333" s="301">
        <v>327</v>
      </c>
      <c r="C333" s="354"/>
      <c r="D333" s="355" t="s">
        <v>309</v>
      </c>
      <c r="E333" s="57">
        <v>250</v>
      </c>
    </row>
    <row r="334" spans="1:5" ht="19.5" customHeight="1">
      <c r="A334" s="301">
        <v>328</v>
      </c>
      <c r="C334" s="354"/>
      <c r="D334" s="355" t="s">
        <v>310</v>
      </c>
      <c r="E334" s="57">
        <v>150</v>
      </c>
    </row>
    <row r="335" spans="1:5" ht="19.5" customHeight="1">
      <c r="A335" s="301">
        <v>329</v>
      </c>
      <c r="C335" s="354"/>
      <c r="D335" s="355" t="s">
        <v>311</v>
      </c>
      <c r="E335" s="57">
        <v>120</v>
      </c>
    </row>
    <row r="336" spans="1:5" ht="19.5" customHeight="1">
      <c r="A336" s="301">
        <v>330</v>
      </c>
      <c r="C336" s="354"/>
      <c r="D336" s="355" t="s">
        <v>312</v>
      </c>
      <c r="E336" s="57">
        <v>250</v>
      </c>
    </row>
    <row r="337" spans="1:5" ht="19.5" customHeight="1">
      <c r="A337" s="301">
        <v>331</v>
      </c>
      <c r="C337" s="354"/>
      <c r="D337" s="355" t="s">
        <v>313</v>
      </c>
      <c r="E337" s="57">
        <v>130</v>
      </c>
    </row>
    <row r="338" spans="1:5" ht="19.5" customHeight="1">
      <c r="A338" s="301">
        <v>332</v>
      </c>
      <c r="C338" s="354"/>
      <c r="D338" s="355" t="s">
        <v>314</v>
      </c>
      <c r="E338" s="57">
        <v>50</v>
      </c>
    </row>
    <row r="339" spans="1:5" ht="19.5" customHeight="1">
      <c r="A339" s="301">
        <v>333</v>
      </c>
      <c r="C339" s="354"/>
      <c r="D339" s="355" t="s">
        <v>315</v>
      </c>
      <c r="E339" s="57">
        <v>60</v>
      </c>
    </row>
    <row r="340" spans="1:5" ht="19.5" customHeight="1">
      <c r="A340" s="301">
        <v>334</v>
      </c>
      <c r="C340" s="354"/>
      <c r="D340" s="355" t="s">
        <v>316</v>
      </c>
      <c r="E340" s="57">
        <v>150</v>
      </c>
    </row>
    <row r="341" spans="1:5" ht="19.5" customHeight="1">
      <c r="A341" s="301">
        <v>335</v>
      </c>
      <c r="C341" s="354"/>
      <c r="D341" s="355" t="s">
        <v>317</v>
      </c>
      <c r="E341" s="57">
        <v>300</v>
      </c>
    </row>
    <row r="342" spans="1:4" ht="17.25">
      <c r="A342" s="301">
        <v>336</v>
      </c>
      <c r="C342" s="354"/>
      <c r="D342" s="332" t="s">
        <v>440</v>
      </c>
    </row>
    <row r="343" spans="1:5" ht="17.25">
      <c r="A343" s="301">
        <v>337</v>
      </c>
      <c r="C343" s="354"/>
      <c r="D343" s="990" t="s">
        <v>320</v>
      </c>
      <c r="E343" s="57">
        <v>200</v>
      </c>
    </row>
    <row r="344" spans="1:5" ht="17.25">
      <c r="A344" s="301">
        <v>338</v>
      </c>
      <c r="C344" s="354"/>
      <c r="D344" s="990" t="s">
        <v>318</v>
      </c>
      <c r="E344" s="57">
        <v>70</v>
      </c>
    </row>
    <row r="345" spans="1:5" ht="17.25">
      <c r="A345" s="301">
        <v>339</v>
      </c>
      <c r="C345" s="354"/>
      <c r="D345" s="990" t="s">
        <v>319</v>
      </c>
      <c r="E345" s="57">
        <v>160</v>
      </c>
    </row>
    <row r="346" spans="1:5" ht="17.25">
      <c r="A346" s="301">
        <v>340</v>
      </c>
      <c r="C346" s="354"/>
      <c r="D346" s="990" t="s">
        <v>321</v>
      </c>
      <c r="E346" s="57">
        <v>100</v>
      </c>
    </row>
    <row r="347" spans="1:5" ht="17.25">
      <c r="A347" s="301">
        <v>341</v>
      </c>
      <c r="C347" s="354"/>
      <c r="D347" s="332" t="s">
        <v>787</v>
      </c>
      <c r="E347" s="216">
        <v>50</v>
      </c>
    </row>
    <row r="348" spans="1:5" ht="17.25">
      <c r="A348" s="301">
        <v>342</v>
      </c>
      <c r="C348" s="354"/>
      <c r="D348" s="335" t="s">
        <v>864</v>
      </c>
      <c r="E348" s="328">
        <f>SUM(E301:E347)+E300</f>
        <v>210753</v>
      </c>
    </row>
    <row r="349" spans="1:4" ht="17.25">
      <c r="A349" s="301">
        <v>343</v>
      </c>
      <c r="C349" s="354"/>
      <c r="D349" s="356" t="s">
        <v>1158</v>
      </c>
    </row>
    <row r="350" spans="1:4" ht="17.25">
      <c r="A350" s="301">
        <v>344</v>
      </c>
      <c r="C350" s="354"/>
      <c r="D350" s="336" t="s">
        <v>1177</v>
      </c>
    </row>
    <row r="351" spans="1:5" ht="17.25">
      <c r="A351" s="301">
        <v>345</v>
      </c>
      <c r="C351" s="354"/>
      <c r="D351" s="990" t="s">
        <v>593</v>
      </c>
      <c r="E351" s="57">
        <v>2467</v>
      </c>
    </row>
    <row r="352" spans="1:5" ht="17.25">
      <c r="A352" s="301">
        <v>346</v>
      </c>
      <c r="C352" s="354"/>
      <c r="D352" s="990" t="s">
        <v>622</v>
      </c>
      <c r="E352" s="57">
        <v>66450</v>
      </c>
    </row>
    <row r="353" spans="1:5" ht="17.25">
      <c r="A353" s="301">
        <v>347</v>
      </c>
      <c r="B353" s="357"/>
      <c r="C353" s="354"/>
      <c r="D353" s="305" t="s">
        <v>623</v>
      </c>
      <c r="E353" s="46">
        <v>10000</v>
      </c>
    </row>
    <row r="354" spans="1:5" ht="17.25">
      <c r="A354" s="301">
        <v>348</v>
      </c>
      <c r="B354" s="357"/>
      <c r="C354" s="354"/>
      <c r="D354" s="305" t="s">
        <v>624</v>
      </c>
      <c r="E354" s="46">
        <v>11000</v>
      </c>
    </row>
    <row r="355" spans="1:5" ht="33.75" customHeight="1">
      <c r="A355" s="1156">
        <v>349</v>
      </c>
      <c r="C355" s="354"/>
      <c r="D355" s="305" t="s">
        <v>1141</v>
      </c>
      <c r="E355" s="57">
        <v>405</v>
      </c>
    </row>
    <row r="356" spans="1:5" ht="33.75" customHeight="1">
      <c r="A356" s="1156">
        <v>350</v>
      </c>
      <c r="C356" s="354"/>
      <c r="D356" s="305" t="s">
        <v>362</v>
      </c>
      <c r="E356" s="57">
        <v>9207</v>
      </c>
    </row>
    <row r="357" spans="1:7" ht="35.25" customHeight="1">
      <c r="A357" s="1156">
        <v>351</v>
      </c>
      <c r="C357" s="354"/>
      <c r="D357" s="986" t="s">
        <v>551</v>
      </c>
      <c r="E357" s="986">
        <v>881</v>
      </c>
      <c r="F357" s="986"/>
      <c r="G357" s="986"/>
    </row>
    <row r="358" spans="1:5" ht="17.25">
      <c r="A358" s="301">
        <v>352</v>
      </c>
      <c r="C358" s="357"/>
      <c r="D358" s="303" t="s">
        <v>546</v>
      </c>
      <c r="E358" s="46">
        <v>11250</v>
      </c>
    </row>
    <row r="359" spans="1:5" ht="33.75">
      <c r="A359" s="1156">
        <v>353</v>
      </c>
      <c r="B359" s="357"/>
      <c r="C359" s="354"/>
      <c r="D359" s="305" t="s">
        <v>322</v>
      </c>
      <c r="E359" s="46">
        <v>5262</v>
      </c>
    </row>
    <row r="360" spans="1:5" ht="33.75">
      <c r="A360" s="1156">
        <v>354</v>
      </c>
      <c r="B360" s="357"/>
      <c r="C360" s="354"/>
      <c r="D360" s="305" t="s">
        <v>967</v>
      </c>
      <c r="E360" s="216">
        <v>1617</v>
      </c>
    </row>
    <row r="361" spans="1:5" ht="17.25">
      <c r="A361" s="301">
        <v>355</v>
      </c>
      <c r="B361" s="357"/>
      <c r="C361" s="354"/>
      <c r="D361" s="335" t="s">
        <v>1159</v>
      </c>
      <c r="E361" s="328">
        <f>SUM(E351:E360)</f>
        <v>118539</v>
      </c>
    </row>
    <row r="362" spans="1:4" ht="21.75" customHeight="1">
      <c r="A362" s="301">
        <v>356</v>
      </c>
      <c r="C362" s="354"/>
      <c r="D362" s="356" t="s">
        <v>747</v>
      </c>
    </row>
    <row r="363" spans="1:5" ht="17.25">
      <c r="A363" s="301">
        <v>357</v>
      </c>
      <c r="C363" s="354"/>
      <c r="D363" s="358" t="s">
        <v>324</v>
      </c>
      <c r="E363" s="359">
        <v>386</v>
      </c>
    </row>
    <row r="364" spans="1:5" ht="17.25">
      <c r="A364" s="301">
        <v>358</v>
      </c>
      <c r="C364" s="354"/>
      <c r="D364" s="358" t="s">
        <v>323</v>
      </c>
      <c r="E364" s="359">
        <v>140</v>
      </c>
    </row>
    <row r="365" spans="1:5" s="304" customFormat="1" ht="17.25">
      <c r="A365" s="301">
        <v>359</v>
      </c>
      <c r="B365" s="354"/>
      <c r="C365" s="354"/>
      <c r="D365" s="336" t="s">
        <v>602</v>
      </c>
      <c r="E365" s="360">
        <v>120</v>
      </c>
    </row>
    <row r="366" spans="1:5" s="304" customFormat="1" ht="17.25">
      <c r="A366" s="301">
        <v>360</v>
      </c>
      <c r="B366" s="354"/>
      <c r="C366" s="354"/>
      <c r="D366" s="336" t="s">
        <v>713</v>
      </c>
      <c r="E366" s="360">
        <v>300</v>
      </c>
    </row>
    <row r="367" spans="1:5" s="304" customFormat="1" ht="17.25">
      <c r="A367" s="301">
        <v>361</v>
      </c>
      <c r="B367" s="354"/>
      <c r="C367" s="354"/>
      <c r="D367" s="336" t="s">
        <v>714</v>
      </c>
      <c r="E367" s="360">
        <v>300</v>
      </c>
    </row>
    <row r="368" spans="1:5" s="304" customFormat="1" ht="17.25">
      <c r="A368" s="301">
        <v>362</v>
      </c>
      <c r="B368" s="354"/>
      <c r="C368" s="354"/>
      <c r="D368" s="336" t="s">
        <v>715</v>
      </c>
      <c r="E368" s="360">
        <v>70</v>
      </c>
    </row>
    <row r="369" spans="1:8" s="337" customFormat="1" ht="17.25">
      <c r="A369" s="301">
        <v>363</v>
      </c>
      <c r="C369" s="347"/>
      <c r="D369" s="1034" t="s">
        <v>531</v>
      </c>
      <c r="E369" s="1026">
        <v>6054</v>
      </c>
      <c r="F369" s="348"/>
      <c r="G369" s="348"/>
      <c r="H369" s="348"/>
    </row>
    <row r="370" spans="1:5" s="304" customFormat="1" ht="27.75" customHeight="1">
      <c r="A370" s="1156">
        <v>364</v>
      </c>
      <c r="B370" s="354"/>
      <c r="C370" s="354"/>
      <c r="D370" s="338"/>
      <c r="E370" s="360">
        <f>SUM(E363:E369)</f>
        <v>7370</v>
      </c>
    </row>
    <row r="371" spans="1:5" s="12" customFormat="1" ht="27.75" customHeight="1" thickBot="1">
      <c r="A371" s="1157">
        <v>365</v>
      </c>
      <c r="B371" s="340"/>
      <c r="C371" s="340"/>
      <c r="D371" s="362" t="s">
        <v>475</v>
      </c>
      <c r="E371" s="344">
        <f>SUM(E361,E348)+E370</f>
        <v>336662</v>
      </c>
    </row>
    <row r="372" spans="1:5" s="12" customFormat="1" ht="27.75" customHeight="1" thickTop="1">
      <c r="A372" s="301">
        <v>366</v>
      </c>
      <c r="B372" s="363"/>
      <c r="C372" s="363"/>
      <c r="D372" s="356" t="s">
        <v>504</v>
      </c>
      <c r="E372" s="57"/>
    </row>
    <row r="373" spans="1:5" s="12" customFormat="1" ht="17.25">
      <c r="A373" s="301">
        <v>367</v>
      </c>
      <c r="B373" s="363"/>
      <c r="C373" s="363"/>
      <c r="D373" s="336" t="s">
        <v>675</v>
      </c>
      <c r="E373" s="57"/>
    </row>
    <row r="374" spans="1:5" s="12" customFormat="1" ht="17.25">
      <c r="A374" s="301">
        <v>368</v>
      </c>
      <c r="B374" s="363"/>
      <c r="C374" s="363"/>
      <c r="D374" s="303" t="s">
        <v>628</v>
      </c>
      <c r="E374" s="57">
        <v>-21115</v>
      </c>
    </row>
    <row r="375" spans="1:5" s="12" customFormat="1" ht="17.25">
      <c r="A375" s="301">
        <v>369</v>
      </c>
      <c r="B375" s="363"/>
      <c r="C375" s="363"/>
      <c r="D375" s="336" t="s">
        <v>676</v>
      </c>
      <c r="E375" s="57"/>
    </row>
    <row r="376" spans="1:5" s="12" customFormat="1" ht="17.25">
      <c r="A376" s="301">
        <v>370</v>
      </c>
      <c r="B376" s="363"/>
      <c r="C376" s="363"/>
      <c r="D376" s="303" t="s">
        <v>220</v>
      </c>
      <c r="E376" s="57">
        <v>-121471</v>
      </c>
    </row>
    <row r="377" spans="1:5" s="12" customFormat="1" ht="17.25">
      <c r="A377" s="301">
        <v>371</v>
      </c>
      <c r="B377" s="363"/>
      <c r="C377" s="363"/>
      <c r="D377" s="303" t="s">
        <v>490</v>
      </c>
      <c r="E377" s="57">
        <v>-216675</v>
      </c>
    </row>
    <row r="378" spans="1:10" s="12" customFormat="1" ht="17.25">
      <c r="A378" s="301">
        <v>372</v>
      </c>
      <c r="B378" s="363"/>
      <c r="C378" s="363"/>
      <c r="D378" s="303" t="s">
        <v>674</v>
      </c>
      <c r="E378" s="57">
        <v>-552268</v>
      </c>
      <c r="J378" s="1028"/>
    </row>
    <row r="379" spans="1:5" s="12" customFormat="1" ht="27.75" customHeight="1">
      <c r="A379" s="301">
        <v>373</v>
      </c>
      <c r="B379" s="363"/>
      <c r="C379" s="363"/>
      <c r="D379" s="356" t="s">
        <v>1160</v>
      </c>
      <c r="E379" s="57"/>
    </row>
    <row r="380" spans="1:5" s="12" customFormat="1" ht="17.25">
      <c r="A380" s="301">
        <v>374</v>
      </c>
      <c r="B380" s="363"/>
      <c r="C380" s="363"/>
      <c r="D380" s="303" t="s">
        <v>325</v>
      </c>
      <c r="E380" s="57">
        <f>-1790+1151-300</f>
        <v>-939</v>
      </c>
    </row>
    <row r="381" spans="1:5" s="12" customFormat="1" ht="17.25">
      <c r="A381" s="301">
        <v>375</v>
      </c>
      <c r="B381" s="363"/>
      <c r="C381" s="363"/>
      <c r="D381" s="303" t="s">
        <v>326</v>
      </c>
      <c r="E381" s="57">
        <f>-2000+2705-200</f>
        <v>505</v>
      </c>
    </row>
    <row r="382" spans="1:5" s="12" customFormat="1" ht="17.25">
      <c r="A382" s="301">
        <v>376</v>
      </c>
      <c r="B382" s="363"/>
      <c r="C382" s="363"/>
      <c r="D382" s="303" t="s">
        <v>327</v>
      </c>
      <c r="E382" s="57">
        <f>-822+904-520</f>
        <v>-438</v>
      </c>
    </row>
    <row r="383" spans="1:5" s="12" customFormat="1" ht="17.25">
      <c r="A383" s="301">
        <v>377</v>
      </c>
      <c r="B383" s="363"/>
      <c r="C383" s="363"/>
      <c r="D383" s="303" t="s">
        <v>328</v>
      </c>
      <c r="E383" s="57">
        <f>-1640+2391-380</f>
        <v>371</v>
      </c>
    </row>
    <row r="384" spans="1:5" s="12" customFormat="1" ht="17.25">
      <c r="A384" s="301">
        <v>378</v>
      </c>
      <c r="B384" s="363"/>
      <c r="C384" s="363"/>
      <c r="D384" s="303" t="s">
        <v>329</v>
      </c>
      <c r="E384" s="57">
        <f>-580+1259-618</f>
        <v>61</v>
      </c>
    </row>
    <row r="385" spans="1:5" s="12" customFormat="1" ht="17.25">
      <c r="A385" s="301">
        <v>379</v>
      </c>
      <c r="B385" s="363"/>
      <c r="C385" s="363"/>
      <c r="D385" s="303" t="s">
        <v>330</v>
      </c>
      <c r="E385" s="57">
        <f>-380+2434-30</f>
        <v>2024</v>
      </c>
    </row>
    <row r="386" spans="1:5" s="12" customFormat="1" ht="17.25">
      <c r="A386" s="301">
        <v>380</v>
      </c>
      <c r="B386" s="363"/>
      <c r="C386" s="363"/>
      <c r="D386" s="303" t="s">
        <v>331</v>
      </c>
      <c r="E386" s="57">
        <f>-360+1644-286</f>
        <v>998</v>
      </c>
    </row>
    <row r="387" spans="1:5" s="12" customFormat="1" ht="17.25">
      <c r="A387" s="301">
        <v>381</v>
      </c>
      <c r="B387" s="363"/>
      <c r="C387" s="363"/>
      <c r="D387" s="303" t="s">
        <v>332</v>
      </c>
      <c r="E387" s="57">
        <f>-615+1299</f>
        <v>684</v>
      </c>
    </row>
    <row r="388" spans="1:5" s="12" customFormat="1" ht="17.25">
      <c r="A388" s="301">
        <v>382</v>
      </c>
      <c r="B388" s="363"/>
      <c r="C388" s="363"/>
      <c r="D388" s="303" t="s">
        <v>333</v>
      </c>
      <c r="E388" s="57">
        <f>-620+1257-206</f>
        <v>431</v>
      </c>
    </row>
    <row r="389" spans="1:5" s="12" customFormat="1" ht="17.25">
      <c r="A389" s="301">
        <v>383</v>
      </c>
      <c r="B389" s="363"/>
      <c r="C389" s="363"/>
      <c r="D389" s="303" t="s">
        <v>334</v>
      </c>
      <c r="E389" s="57">
        <f>1686-790</f>
        <v>896</v>
      </c>
    </row>
    <row r="390" spans="1:5" s="12" customFormat="1" ht="17.25">
      <c r="A390" s="301">
        <v>384</v>
      </c>
      <c r="B390" s="363"/>
      <c r="C390" s="363"/>
      <c r="D390" s="303" t="s">
        <v>335</v>
      </c>
      <c r="E390" s="57">
        <f>-750+646-550</f>
        <v>-654</v>
      </c>
    </row>
    <row r="391" spans="1:5" s="12" customFormat="1" ht="17.25">
      <c r="A391" s="301">
        <v>385</v>
      </c>
      <c r="B391" s="363"/>
      <c r="C391" s="363"/>
      <c r="D391" s="303" t="s">
        <v>336</v>
      </c>
      <c r="E391" s="216">
        <f>1649-741</f>
        <v>908</v>
      </c>
    </row>
    <row r="392" spans="1:10" s="304" customFormat="1" ht="17.25">
      <c r="A392" s="301">
        <v>386</v>
      </c>
      <c r="B392" s="354"/>
      <c r="C392" s="354"/>
      <c r="D392" s="338" t="s">
        <v>1161</v>
      </c>
      <c r="E392" s="360">
        <f>SUM(E380:E391)</f>
        <v>4847</v>
      </c>
      <c r="J392" s="1151">
        <f>E178+E182+E184+E190+E191+E183+E305+E306+E307+E308+E311+E318+E320+E321+E323+E324+E325+E332+E333+E334+E335+E336+E337+E338+E339+E340+E341+E343+E344+E345+E346+E366+E367+E368</f>
        <v>14178</v>
      </c>
    </row>
    <row r="393" spans="1:8" s="12" customFormat="1" ht="33" customHeight="1" thickBot="1">
      <c r="A393" s="1157">
        <v>387</v>
      </c>
      <c r="B393" s="363"/>
      <c r="C393" s="363"/>
      <c r="D393" s="364" t="s">
        <v>1162</v>
      </c>
      <c r="E393" s="344">
        <f>E392+E374+E378+E377+E376</f>
        <v>-906682</v>
      </c>
      <c r="H393" s="1028"/>
    </row>
    <row r="394" spans="1:6" s="12" customFormat="1" ht="24.75" customHeight="1" thickBot="1" thickTop="1">
      <c r="A394" s="1157">
        <v>388</v>
      </c>
      <c r="B394" s="311"/>
      <c r="C394" s="329"/>
      <c r="D394" s="1041" t="s">
        <v>1163</v>
      </c>
      <c r="E394" s="1042">
        <f>SUM(E393,E371,E179)+E297</f>
        <v>2486241</v>
      </c>
      <c r="F394" s="12" t="s">
        <v>559</v>
      </c>
    </row>
    <row r="395" spans="4:6" ht="17.25">
      <c r="D395" s="919"/>
      <c r="F395" s="303">
        <v>881</v>
      </c>
    </row>
    <row r="396" ht="16.5">
      <c r="F396" s="303">
        <v>2500</v>
      </c>
    </row>
    <row r="397" ht="16.5">
      <c r="F397" s="303">
        <v>10000</v>
      </c>
    </row>
    <row r="398" ht="16.5">
      <c r="F398" s="303">
        <f>SUM(F395:F397)</f>
        <v>13381</v>
      </c>
    </row>
    <row r="399" ht="16.5">
      <c r="F399" s="303">
        <v>19025</v>
      </c>
    </row>
    <row r="400" ht="16.5">
      <c r="F400" s="303">
        <f>SUM(F398:F399)</f>
        <v>32406</v>
      </c>
    </row>
    <row r="411" spans="2:5" ht="17.25">
      <c r="B411" s="365"/>
      <c r="C411" s="366"/>
      <c r="E411" s="8"/>
    </row>
    <row r="412" spans="2:5" ht="17.25">
      <c r="B412" s="365"/>
      <c r="C412" s="366"/>
      <c r="D412" s="367"/>
      <c r="E412" s="8"/>
    </row>
    <row r="413" spans="2:5" ht="17.25">
      <c r="B413" s="365"/>
      <c r="C413" s="366"/>
      <c r="D413" s="367"/>
      <c r="E413" s="8"/>
    </row>
    <row r="414" spans="2:5" ht="17.25">
      <c r="B414" s="365"/>
      <c r="C414" s="366"/>
      <c r="D414" s="367"/>
      <c r="E414" s="8"/>
    </row>
    <row r="415" spans="2:5" ht="17.25">
      <c r="B415" s="365"/>
      <c r="C415" s="366"/>
      <c r="D415" s="367"/>
      <c r="E415" s="8"/>
    </row>
    <row r="416" spans="2:5" ht="17.25">
      <c r="B416" s="337"/>
      <c r="C416" s="368"/>
      <c r="D416" s="367"/>
      <c r="E416" s="46"/>
    </row>
    <row r="417" spans="3:4" ht="16.5">
      <c r="C417" s="368"/>
      <c r="D417" s="369"/>
    </row>
    <row r="418" ht="16.5">
      <c r="C418" s="368"/>
    </row>
    <row r="419" ht="16.5">
      <c r="C419" s="368"/>
    </row>
    <row r="420" ht="16.5">
      <c r="C420" s="368"/>
    </row>
    <row r="421" ht="16.5">
      <c r="C421" s="368"/>
    </row>
    <row r="422" ht="16.5">
      <c r="C422" s="368"/>
    </row>
    <row r="423" ht="16.5">
      <c r="C423" s="368"/>
    </row>
    <row r="434" spans="2:5" ht="16.5">
      <c r="B434" s="370"/>
      <c r="C434" s="371"/>
      <c r="E434" s="46"/>
    </row>
    <row r="435" ht="16.5">
      <c r="D435" s="372"/>
    </row>
    <row r="484" spans="2:5" ht="16.5">
      <c r="B484" s="337"/>
      <c r="C484" s="368"/>
      <c r="E484" s="373"/>
    </row>
    <row r="485" spans="2:5" ht="16.5">
      <c r="B485" s="370"/>
      <c r="C485" s="371"/>
      <c r="D485" s="369"/>
      <c r="E485" s="46"/>
    </row>
    <row r="486" spans="2:5" ht="16.5">
      <c r="B486" s="337"/>
      <c r="C486" s="371"/>
      <c r="D486" s="372"/>
      <c r="E486" s="374"/>
    </row>
    <row r="487" spans="2:5" ht="16.5">
      <c r="B487" s="370"/>
      <c r="C487" s="371"/>
      <c r="D487" s="372"/>
      <c r="E487" s="46"/>
    </row>
    <row r="488" spans="2:5" ht="16.5">
      <c r="B488" s="337"/>
      <c r="C488" s="368"/>
      <c r="D488" s="372"/>
      <c r="E488" s="46"/>
    </row>
    <row r="489" spans="2:5" ht="17.25">
      <c r="B489" s="365"/>
      <c r="C489" s="366"/>
      <c r="D489" s="369"/>
      <c r="E489" s="46"/>
    </row>
    <row r="490" spans="2:5" ht="17.25">
      <c r="B490" s="337"/>
      <c r="C490" s="368"/>
      <c r="D490" s="367"/>
      <c r="E490" s="46"/>
    </row>
    <row r="491" spans="2:5" ht="17.25">
      <c r="B491" s="337"/>
      <c r="C491" s="354"/>
      <c r="D491" s="375"/>
      <c r="E491" s="46"/>
    </row>
    <row r="492" spans="2:5" ht="17.25">
      <c r="B492" s="337"/>
      <c r="C492" s="368"/>
      <c r="D492" s="376"/>
      <c r="E492" s="46"/>
    </row>
    <row r="493" ht="16.5">
      <c r="D493" s="369"/>
    </row>
    <row r="537" spans="2:5" ht="16.5">
      <c r="B537" s="337"/>
      <c r="C537" s="368"/>
      <c r="E537" s="373"/>
    </row>
    <row r="538" spans="2:5" ht="16.5">
      <c r="B538" s="370"/>
      <c r="C538" s="371"/>
      <c r="D538" s="369"/>
      <c r="E538" s="46"/>
    </row>
    <row r="539" spans="2:5" ht="16.5">
      <c r="B539" s="337"/>
      <c r="C539" s="371"/>
      <c r="D539" s="372"/>
      <c r="E539" s="374"/>
    </row>
    <row r="540" spans="2:5" ht="16.5">
      <c r="B540" s="370"/>
      <c r="C540" s="371"/>
      <c r="D540" s="372"/>
      <c r="E540" s="46"/>
    </row>
    <row r="541" spans="2:5" ht="16.5">
      <c r="B541" s="337"/>
      <c r="C541" s="368"/>
      <c r="D541" s="372"/>
      <c r="E541" s="46"/>
    </row>
    <row r="542" ht="16.5">
      <c r="D542" s="369"/>
    </row>
    <row r="557" ht="16.5">
      <c r="C557" s="368"/>
    </row>
    <row r="578" spans="2:5" ht="16.5">
      <c r="B578" s="337"/>
      <c r="C578" s="368"/>
      <c r="E578" s="46"/>
    </row>
    <row r="579" spans="2:5" ht="17.25">
      <c r="B579" s="337"/>
      <c r="C579" s="354"/>
      <c r="D579" s="369"/>
      <c r="E579" s="328"/>
    </row>
    <row r="580" spans="2:5" ht="17.25">
      <c r="B580" s="337"/>
      <c r="C580" s="354"/>
      <c r="D580" s="376"/>
      <c r="E580" s="328"/>
    </row>
    <row r="581" spans="2:5" ht="17.25">
      <c r="B581" s="337"/>
      <c r="C581" s="368"/>
      <c r="D581" s="376"/>
      <c r="E581" s="46"/>
    </row>
    <row r="582" spans="2:5" ht="17.25">
      <c r="B582" s="337"/>
      <c r="C582" s="354"/>
      <c r="D582" s="369"/>
      <c r="E582" s="46"/>
    </row>
    <row r="583" spans="2:5" ht="17.25">
      <c r="B583" s="337"/>
      <c r="C583" s="368"/>
      <c r="D583" s="376"/>
      <c r="E583" s="46"/>
    </row>
    <row r="584" spans="2:5" ht="16.5">
      <c r="B584" s="337"/>
      <c r="C584" s="368"/>
      <c r="D584" s="369"/>
      <c r="E584" s="46"/>
    </row>
    <row r="585" spans="2:5" ht="16.5">
      <c r="B585" s="337"/>
      <c r="C585" s="368"/>
      <c r="D585" s="369"/>
      <c r="E585" s="46"/>
    </row>
    <row r="586" spans="2:5" ht="16.5">
      <c r="B586" s="337"/>
      <c r="C586" s="368"/>
      <c r="D586" s="369"/>
      <c r="E586" s="46"/>
    </row>
    <row r="587" spans="2:5" ht="16.5">
      <c r="B587" s="337"/>
      <c r="C587" s="368"/>
      <c r="D587" s="369"/>
      <c r="E587" s="46"/>
    </row>
    <row r="588" spans="2:5" ht="17.25">
      <c r="B588" s="337"/>
      <c r="C588" s="354"/>
      <c r="D588" s="369"/>
      <c r="E588" s="328"/>
    </row>
    <row r="589" spans="2:5" ht="17.25">
      <c r="B589" s="337"/>
      <c r="C589" s="368"/>
      <c r="D589" s="376"/>
      <c r="E589" s="46"/>
    </row>
    <row r="590" spans="2:5" ht="16.5">
      <c r="B590" s="337"/>
      <c r="C590" s="368"/>
      <c r="D590" s="369"/>
      <c r="E590" s="46"/>
    </row>
    <row r="591" spans="2:5" ht="16.5">
      <c r="B591" s="337"/>
      <c r="C591" s="368"/>
      <c r="D591" s="369"/>
      <c r="E591" s="373"/>
    </row>
    <row r="592" spans="2:5" ht="16.5">
      <c r="B592" s="370"/>
      <c r="C592" s="371"/>
      <c r="D592" s="369"/>
      <c r="E592" s="46"/>
    </row>
    <row r="593" spans="2:5" ht="16.5">
      <c r="B593" s="337"/>
      <c r="C593" s="371"/>
      <c r="D593" s="372"/>
      <c r="E593" s="374"/>
    </row>
    <row r="594" spans="2:5" ht="16.5">
      <c r="B594" s="370"/>
      <c r="C594" s="371"/>
      <c r="D594" s="372"/>
      <c r="E594" s="46"/>
    </row>
    <row r="595" spans="2:5" ht="16.5">
      <c r="B595" s="337"/>
      <c r="C595" s="368"/>
      <c r="D595" s="372"/>
      <c r="E595" s="46"/>
    </row>
    <row r="596" spans="2:5" ht="17.25">
      <c r="B596" s="337"/>
      <c r="C596" s="354"/>
      <c r="D596" s="369"/>
      <c r="E596" s="46"/>
    </row>
    <row r="597" spans="2:5" ht="17.25">
      <c r="B597" s="337"/>
      <c r="C597" s="368"/>
      <c r="D597" s="376"/>
      <c r="E597" s="46"/>
    </row>
    <row r="598" spans="2:5" ht="16.5">
      <c r="B598" s="337"/>
      <c r="C598" s="368"/>
      <c r="D598" s="369"/>
      <c r="E598" s="46"/>
    </row>
    <row r="599" spans="2:5" ht="16.5">
      <c r="B599" s="337"/>
      <c r="C599" s="368"/>
      <c r="D599" s="369"/>
      <c r="E599" s="46"/>
    </row>
    <row r="600" spans="2:5" ht="16.5">
      <c r="B600" s="337"/>
      <c r="C600" s="368"/>
      <c r="D600" s="369"/>
      <c r="E600" s="46"/>
    </row>
    <row r="601" spans="2:5" ht="17.25">
      <c r="B601" s="337"/>
      <c r="C601" s="354"/>
      <c r="D601" s="369"/>
      <c r="E601" s="328"/>
    </row>
    <row r="602" spans="2:5" ht="17.25">
      <c r="B602" s="337"/>
      <c r="C602" s="368"/>
      <c r="D602" s="376"/>
      <c r="E602" s="46"/>
    </row>
    <row r="603" spans="2:5" ht="17.25">
      <c r="B603" s="337"/>
      <c r="C603" s="354"/>
      <c r="D603" s="369"/>
      <c r="E603" s="46"/>
    </row>
    <row r="604" spans="2:5" ht="17.25">
      <c r="B604" s="337"/>
      <c r="C604" s="368"/>
      <c r="D604" s="376"/>
      <c r="E604" s="46"/>
    </row>
    <row r="605" spans="2:5" ht="16.5">
      <c r="B605" s="337"/>
      <c r="C605" s="368"/>
      <c r="D605" s="369"/>
      <c r="E605" s="46"/>
    </row>
    <row r="606" spans="2:5" ht="16.5">
      <c r="B606" s="337"/>
      <c r="C606" s="368"/>
      <c r="D606" s="369"/>
      <c r="E606" s="46"/>
    </row>
    <row r="607" spans="2:5" ht="16.5">
      <c r="B607" s="337"/>
      <c r="C607" s="368"/>
      <c r="D607" s="369"/>
      <c r="E607" s="46"/>
    </row>
    <row r="608" spans="2:5" ht="16.5">
      <c r="B608" s="337"/>
      <c r="C608" s="368"/>
      <c r="D608" s="369"/>
      <c r="E608" s="46"/>
    </row>
    <row r="609" spans="2:5" ht="16.5">
      <c r="B609" s="337"/>
      <c r="C609" s="368"/>
      <c r="D609" s="369"/>
      <c r="E609" s="46"/>
    </row>
    <row r="610" spans="2:5" ht="16.5">
      <c r="B610" s="337"/>
      <c r="C610" s="368"/>
      <c r="D610" s="369"/>
      <c r="E610" s="46"/>
    </row>
    <row r="611" spans="2:5" ht="16.5">
      <c r="B611" s="337"/>
      <c r="C611" s="368"/>
      <c r="D611" s="369"/>
      <c r="E611" s="46"/>
    </row>
    <row r="612" spans="2:5" ht="16.5">
      <c r="B612" s="337"/>
      <c r="C612" s="368"/>
      <c r="D612" s="369"/>
      <c r="E612" s="46"/>
    </row>
    <row r="613" spans="2:5" ht="16.5">
      <c r="B613" s="337"/>
      <c r="C613" s="368"/>
      <c r="D613" s="369"/>
      <c r="E613" s="46"/>
    </row>
    <row r="614" spans="2:5" ht="16.5">
      <c r="B614" s="337"/>
      <c r="C614" s="368"/>
      <c r="D614" s="369"/>
      <c r="E614" s="46"/>
    </row>
    <row r="615" spans="2:5" ht="16.5">
      <c r="B615" s="337"/>
      <c r="C615" s="368"/>
      <c r="D615" s="369"/>
      <c r="E615" s="46"/>
    </row>
    <row r="616" spans="2:5" ht="16.5">
      <c r="B616" s="337"/>
      <c r="C616" s="368"/>
      <c r="D616" s="369"/>
      <c r="E616" s="46"/>
    </row>
    <row r="617" spans="2:5" ht="16.5">
      <c r="B617" s="337"/>
      <c r="C617" s="368"/>
      <c r="D617" s="369"/>
      <c r="E617" s="46"/>
    </row>
    <row r="618" spans="2:5" ht="17.25">
      <c r="B618" s="337"/>
      <c r="C618" s="354"/>
      <c r="D618" s="369"/>
      <c r="E618" s="328"/>
    </row>
    <row r="619" spans="2:5" ht="17.25">
      <c r="B619" s="337"/>
      <c r="C619" s="368"/>
      <c r="D619" s="376"/>
      <c r="E619" s="46"/>
    </row>
    <row r="620" spans="2:5" ht="17.25">
      <c r="B620" s="337"/>
      <c r="C620" s="354"/>
      <c r="D620" s="369"/>
      <c r="E620" s="46"/>
    </row>
    <row r="621" spans="2:5" ht="17.25">
      <c r="B621" s="337"/>
      <c r="C621" s="368"/>
      <c r="D621" s="376"/>
      <c r="E621" s="46"/>
    </row>
    <row r="622" spans="2:5" ht="16.5">
      <c r="B622" s="337"/>
      <c r="C622" s="368"/>
      <c r="D622" s="369"/>
      <c r="E622" s="46"/>
    </row>
    <row r="623" spans="2:5" ht="16.5">
      <c r="B623" s="337"/>
      <c r="C623" s="368"/>
      <c r="D623" s="369"/>
      <c r="E623" s="46"/>
    </row>
    <row r="624" spans="2:5" ht="16.5">
      <c r="B624" s="337"/>
      <c r="C624" s="368"/>
      <c r="D624" s="369"/>
      <c r="E624" s="46"/>
    </row>
    <row r="625" spans="2:5" ht="16.5">
      <c r="B625" s="337"/>
      <c r="C625" s="368"/>
      <c r="D625" s="369"/>
      <c r="E625" s="46"/>
    </row>
    <row r="626" spans="2:5" ht="16.5">
      <c r="B626" s="337"/>
      <c r="C626" s="368"/>
      <c r="D626" s="369"/>
      <c r="E626" s="46"/>
    </row>
    <row r="627" spans="2:5" ht="16.5">
      <c r="B627" s="337"/>
      <c r="C627" s="368"/>
      <c r="D627" s="369"/>
      <c r="E627" s="46"/>
    </row>
    <row r="628" spans="2:5" ht="16.5">
      <c r="B628" s="337"/>
      <c r="C628" s="368"/>
      <c r="D628" s="369"/>
      <c r="E628" s="46"/>
    </row>
    <row r="629" spans="2:5" ht="16.5">
      <c r="B629" s="337"/>
      <c r="C629" s="368"/>
      <c r="D629" s="369"/>
      <c r="E629" s="46"/>
    </row>
    <row r="630" spans="2:5" ht="16.5">
      <c r="B630" s="337"/>
      <c r="C630" s="368"/>
      <c r="D630" s="369"/>
      <c r="E630" s="46"/>
    </row>
    <row r="631" spans="2:5" ht="16.5">
      <c r="B631" s="337"/>
      <c r="C631" s="368"/>
      <c r="D631" s="369"/>
      <c r="E631" s="46"/>
    </row>
    <row r="632" spans="2:5" ht="16.5">
      <c r="B632" s="337"/>
      <c r="C632" s="368"/>
      <c r="D632" s="369"/>
      <c r="E632" s="46"/>
    </row>
    <row r="633" spans="2:5" ht="16.5">
      <c r="B633" s="337"/>
      <c r="C633" s="368"/>
      <c r="D633" s="369"/>
      <c r="E633" s="46"/>
    </row>
    <row r="634" spans="2:5" ht="16.5">
      <c r="B634" s="337"/>
      <c r="C634" s="368"/>
      <c r="D634" s="369"/>
      <c r="E634" s="46"/>
    </row>
    <row r="635" spans="2:5" ht="16.5">
      <c r="B635" s="337"/>
      <c r="C635" s="368"/>
      <c r="D635" s="369"/>
      <c r="E635" s="46"/>
    </row>
    <row r="636" spans="2:5" ht="16.5">
      <c r="B636" s="337"/>
      <c r="C636" s="368"/>
      <c r="D636" s="369"/>
      <c r="E636" s="46"/>
    </row>
    <row r="637" spans="2:5" ht="16.5">
      <c r="B637" s="337"/>
      <c r="C637" s="368"/>
      <c r="D637" s="369"/>
      <c r="E637" s="46"/>
    </row>
    <row r="638" spans="2:5" ht="16.5">
      <c r="B638" s="337"/>
      <c r="C638" s="368"/>
      <c r="D638" s="369"/>
      <c r="E638" s="46"/>
    </row>
    <row r="639" spans="2:5" ht="16.5">
      <c r="B639" s="337"/>
      <c r="C639" s="368"/>
      <c r="D639" s="369"/>
      <c r="E639" s="46"/>
    </row>
    <row r="640" spans="2:5" ht="16.5">
      <c r="B640" s="337"/>
      <c r="C640" s="368"/>
      <c r="D640" s="369"/>
      <c r="E640" s="46"/>
    </row>
    <row r="641" spans="2:5" ht="16.5">
      <c r="B641" s="337"/>
      <c r="C641" s="368"/>
      <c r="D641" s="369"/>
      <c r="E641" s="46"/>
    </row>
    <row r="642" spans="2:5" ht="16.5">
      <c r="B642" s="337"/>
      <c r="C642" s="368"/>
      <c r="D642" s="369"/>
      <c r="E642" s="46"/>
    </row>
    <row r="643" spans="2:5" ht="16.5">
      <c r="B643" s="337"/>
      <c r="C643" s="368"/>
      <c r="D643" s="369"/>
      <c r="E643" s="46"/>
    </row>
    <row r="644" spans="2:5" ht="16.5">
      <c r="B644" s="337"/>
      <c r="C644" s="368"/>
      <c r="D644" s="369"/>
      <c r="E644" s="46"/>
    </row>
    <row r="645" spans="2:5" ht="16.5">
      <c r="B645" s="337"/>
      <c r="C645" s="368"/>
      <c r="D645" s="369"/>
      <c r="E645" s="46"/>
    </row>
    <row r="646" spans="2:5" ht="16.5">
      <c r="B646" s="337"/>
      <c r="C646" s="368"/>
      <c r="D646" s="369"/>
      <c r="E646" s="46"/>
    </row>
    <row r="647" spans="2:5" ht="16.5">
      <c r="B647" s="337"/>
      <c r="C647" s="368"/>
      <c r="D647" s="369"/>
      <c r="E647" s="46"/>
    </row>
    <row r="648" spans="2:5" ht="16.5">
      <c r="B648" s="337"/>
      <c r="C648" s="368"/>
      <c r="D648" s="369"/>
      <c r="E648" s="46"/>
    </row>
    <row r="649" spans="2:5" ht="16.5">
      <c r="B649" s="337"/>
      <c r="C649" s="368"/>
      <c r="D649" s="369"/>
      <c r="E649" s="46"/>
    </row>
    <row r="650" spans="2:5" ht="16.5">
      <c r="B650" s="337"/>
      <c r="C650" s="368"/>
      <c r="D650" s="369"/>
      <c r="E650" s="377"/>
    </row>
    <row r="651" spans="2:5" ht="17.25">
      <c r="B651" s="337"/>
      <c r="C651" s="354"/>
      <c r="D651" s="369"/>
      <c r="E651" s="328"/>
    </row>
    <row r="652" spans="2:5" ht="17.25">
      <c r="B652" s="337"/>
      <c r="C652" s="368"/>
      <c r="D652" s="376"/>
      <c r="E652" s="46"/>
    </row>
    <row r="653" spans="2:5" ht="17.25">
      <c r="B653" s="337"/>
      <c r="C653" s="354"/>
      <c r="D653" s="369"/>
      <c r="E653" s="46"/>
    </row>
    <row r="654" spans="2:5" ht="17.25">
      <c r="B654" s="337"/>
      <c r="C654" s="368"/>
      <c r="D654" s="376"/>
      <c r="E654" s="46"/>
    </row>
    <row r="655" spans="2:5" ht="16.5">
      <c r="B655" s="337"/>
      <c r="C655" s="368"/>
      <c r="D655" s="375"/>
      <c r="E655" s="46"/>
    </row>
    <row r="656" spans="2:5" ht="16.5">
      <c r="B656" s="337"/>
      <c r="C656" s="368"/>
      <c r="D656" s="369"/>
      <c r="E656" s="46"/>
    </row>
    <row r="657" spans="2:5" ht="16.5">
      <c r="B657" s="337"/>
      <c r="C657" s="368"/>
      <c r="D657" s="369"/>
      <c r="E657" s="46"/>
    </row>
    <row r="658" spans="2:5" ht="16.5">
      <c r="B658" s="337"/>
      <c r="C658" s="368"/>
      <c r="D658" s="369"/>
      <c r="E658" s="46"/>
    </row>
    <row r="659" spans="2:5" ht="16.5">
      <c r="B659" s="337"/>
      <c r="C659" s="368"/>
      <c r="D659" s="369"/>
      <c r="E659" s="46"/>
    </row>
    <row r="660" spans="2:5" ht="16.5">
      <c r="B660" s="337"/>
      <c r="C660" s="368"/>
      <c r="D660" s="369"/>
      <c r="E660" s="46"/>
    </row>
    <row r="661" spans="2:5" ht="16.5">
      <c r="B661" s="337"/>
      <c r="C661" s="368"/>
      <c r="D661" s="369"/>
      <c r="E661" s="46"/>
    </row>
    <row r="662" spans="2:5" ht="16.5">
      <c r="B662" s="337"/>
      <c r="C662" s="368"/>
      <c r="D662" s="369"/>
      <c r="E662" s="46"/>
    </row>
    <row r="663" spans="2:5" ht="16.5">
      <c r="B663" s="337"/>
      <c r="C663" s="368"/>
      <c r="D663" s="369"/>
      <c r="E663" s="46"/>
    </row>
    <row r="664" spans="2:5" ht="16.5">
      <c r="B664" s="337"/>
      <c r="C664" s="368"/>
      <c r="D664" s="369"/>
      <c r="E664" s="46"/>
    </row>
    <row r="665" spans="2:5" ht="16.5">
      <c r="B665" s="337"/>
      <c r="C665" s="368"/>
      <c r="D665" s="369"/>
      <c r="E665" s="46"/>
    </row>
    <row r="666" spans="2:5" ht="16.5">
      <c r="B666" s="337"/>
      <c r="C666" s="368"/>
      <c r="D666" s="369"/>
      <c r="E666" s="46"/>
    </row>
    <row r="667" spans="2:5" ht="16.5">
      <c r="B667" s="337"/>
      <c r="C667" s="368"/>
      <c r="D667" s="369"/>
      <c r="E667" s="46"/>
    </row>
    <row r="668" spans="2:5" ht="16.5">
      <c r="B668" s="337"/>
      <c r="C668" s="368"/>
      <c r="D668" s="369"/>
      <c r="E668" s="46"/>
    </row>
    <row r="669" spans="2:5" ht="17.25">
      <c r="B669" s="337"/>
      <c r="C669" s="354"/>
      <c r="D669" s="369"/>
      <c r="E669" s="328"/>
    </row>
    <row r="670" spans="2:5" ht="17.25">
      <c r="B670" s="337"/>
      <c r="C670" s="368"/>
      <c r="D670" s="376"/>
      <c r="E670" s="46"/>
    </row>
    <row r="671" ht="16.5">
      <c r="D671" s="375"/>
    </row>
    <row r="677" ht="16.5">
      <c r="D677" s="332"/>
    </row>
    <row r="684" ht="16.5">
      <c r="E684" s="378"/>
    </row>
    <row r="690" spans="2:5" ht="16.5">
      <c r="B690" s="337"/>
      <c r="C690" s="368"/>
      <c r="E690" s="373"/>
    </row>
    <row r="691" spans="2:5" ht="16.5">
      <c r="B691" s="370"/>
      <c r="C691" s="371"/>
      <c r="D691" s="369"/>
      <c r="E691" s="46"/>
    </row>
    <row r="692" spans="2:5" ht="16.5">
      <c r="B692" s="337"/>
      <c r="C692" s="371"/>
      <c r="D692" s="372"/>
      <c r="E692" s="374"/>
    </row>
    <row r="693" spans="2:5" ht="16.5">
      <c r="B693" s="370"/>
      <c r="C693" s="371"/>
      <c r="D693" s="372"/>
      <c r="E693" s="46"/>
    </row>
    <row r="694" spans="2:5" ht="16.5">
      <c r="B694" s="337"/>
      <c r="C694" s="368"/>
      <c r="D694" s="372"/>
      <c r="E694" s="46"/>
    </row>
    <row r="695" ht="16.5">
      <c r="D695" s="369"/>
    </row>
    <row r="696" ht="16.5">
      <c r="D696" s="332"/>
    </row>
    <row r="704" ht="16.5">
      <c r="E704" s="378"/>
    </row>
    <row r="708" spans="2:5" ht="17.25">
      <c r="B708" s="337"/>
      <c r="C708" s="368"/>
      <c r="E708" s="328"/>
    </row>
    <row r="709" spans="2:5" ht="17.25">
      <c r="B709" s="337"/>
      <c r="C709" s="368"/>
      <c r="D709" s="376"/>
      <c r="E709" s="328"/>
    </row>
    <row r="710" spans="2:5" ht="17.25">
      <c r="B710" s="337"/>
      <c r="C710" s="368"/>
      <c r="D710" s="376"/>
      <c r="E710" s="46"/>
    </row>
    <row r="711" ht="16.5">
      <c r="D711" s="369"/>
    </row>
    <row r="727" ht="17.25">
      <c r="E727" s="322"/>
    </row>
    <row r="728" ht="17.25">
      <c r="D728" s="379"/>
    </row>
    <row r="729" ht="16.5">
      <c r="E729" s="46"/>
    </row>
    <row r="730" spans="4:5" ht="16.5">
      <c r="D730" s="375"/>
      <c r="E730" s="46"/>
    </row>
    <row r="731" spans="4:5" ht="16.5">
      <c r="D731" s="369"/>
      <c r="E731" s="46"/>
    </row>
    <row r="732" spans="4:5" ht="16.5">
      <c r="D732" s="369"/>
      <c r="E732" s="46"/>
    </row>
    <row r="733" spans="4:5" ht="16.5">
      <c r="D733" s="369"/>
      <c r="E733" s="46"/>
    </row>
    <row r="734" spans="4:5" ht="16.5">
      <c r="D734" s="369"/>
      <c r="E734" s="46"/>
    </row>
    <row r="735" spans="4:5" ht="16.5">
      <c r="D735" s="369"/>
      <c r="E735" s="46"/>
    </row>
    <row r="736" spans="4:5" ht="16.5">
      <c r="D736" s="369"/>
      <c r="E736" s="46"/>
    </row>
    <row r="737" spans="4:5" ht="16.5">
      <c r="D737" s="369"/>
      <c r="E737" s="46"/>
    </row>
    <row r="738" spans="4:5" ht="16.5">
      <c r="D738" s="369"/>
      <c r="E738" s="46"/>
    </row>
    <row r="739" spans="4:5" ht="16.5">
      <c r="D739" s="369"/>
      <c r="E739" s="46"/>
    </row>
    <row r="740" spans="4:5" ht="16.5">
      <c r="D740" s="369"/>
      <c r="E740" s="377"/>
    </row>
    <row r="741" spans="4:5" ht="16.5">
      <c r="D741" s="369"/>
      <c r="E741" s="46"/>
    </row>
    <row r="742" spans="4:5" ht="16.5">
      <c r="D742" s="369"/>
      <c r="E742" s="46"/>
    </row>
    <row r="743" spans="2:5" ht="16.5">
      <c r="B743" s="337"/>
      <c r="C743" s="368"/>
      <c r="D743" s="369"/>
      <c r="E743" s="373"/>
    </row>
    <row r="744" spans="2:5" ht="16.5">
      <c r="B744" s="370"/>
      <c r="C744" s="371"/>
      <c r="D744" s="369"/>
      <c r="E744" s="46"/>
    </row>
    <row r="745" spans="2:5" ht="16.5">
      <c r="B745" s="337"/>
      <c r="C745" s="371"/>
      <c r="D745" s="372"/>
      <c r="E745" s="374"/>
    </row>
    <row r="746" spans="2:5" ht="16.5">
      <c r="B746" s="370"/>
      <c r="C746" s="371"/>
      <c r="D746" s="372"/>
      <c r="E746" s="46"/>
    </row>
    <row r="747" spans="2:5" ht="16.5">
      <c r="B747" s="337"/>
      <c r="C747" s="368"/>
      <c r="D747" s="372"/>
      <c r="E747" s="46"/>
    </row>
    <row r="748" ht="16.5">
      <c r="D748" s="369"/>
    </row>
    <row r="749" ht="17.25">
      <c r="D749" s="379"/>
    </row>
    <row r="751" ht="16.5">
      <c r="D751" s="332"/>
    </row>
    <row r="797" spans="2:5" ht="16.5">
      <c r="B797" s="337"/>
      <c r="C797" s="368"/>
      <c r="E797" s="373"/>
    </row>
    <row r="798" spans="2:5" ht="16.5">
      <c r="B798" s="370"/>
      <c r="C798" s="371"/>
      <c r="D798" s="369"/>
      <c r="E798" s="46"/>
    </row>
    <row r="799" spans="2:5" ht="16.5">
      <c r="B799" s="337"/>
      <c r="C799" s="371"/>
      <c r="D799" s="372"/>
      <c r="E799" s="374"/>
    </row>
    <row r="800" spans="2:5" ht="16.5">
      <c r="B800" s="370"/>
      <c r="C800" s="371"/>
      <c r="D800" s="372"/>
      <c r="E800" s="46"/>
    </row>
    <row r="801" spans="2:5" ht="16.5">
      <c r="B801" s="337"/>
      <c r="C801" s="368"/>
      <c r="D801" s="372"/>
      <c r="E801" s="46"/>
    </row>
    <row r="802" spans="2:5" ht="16.5">
      <c r="B802" s="337"/>
      <c r="C802" s="368"/>
      <c r="D802" s="369"/>
      <c r="E802" s="377"/>
    </row>
    <row r="803" spans="4:5" ht="16.5">
      <c r="D803" s="369"/>
      <c r="E803" s="46"/>
    </row>
    <row r="804" spans="4:5" ht="16.5">
      <c r="D804" s="369"/>
      <c r="E804" s="46"/>
    </row>
    <row r="805" spans="4:5" ht="16.5">
      <c r="D805" s="369"/>
      <c r="E805" s="46"/>
    </row>
    <row r="806" spans="4:5" ht="16.5">
      <c r="D806" s="369"/>
      <c r="E806" s="46"/>
    </row>
    <row r="807" spans="4:5" ht="17.25">
      <c r="D807" s="369"/>
      <c r="E807" s="328"/>
    </row>
    <row r="808" spans="4:5" ht="17.25">
      <c r="D808" s="376"/>
      <c r="E808" s="46"/>
    </row>
    <row r="809" spans="4:5" ht="16.5">
      <c r="D809" s="369"/>
      <c r="E809" s="46"/>
    </row>
    <row r="810" spans="4:5" ht="16.5">
      <c r="D810" s="369"/>
      <c r="E810" s="46"/>
    </row>
    <row r="811" spans="4:5" ht="16.5">
      <c r="D811" s="375"/>
      <c r="E811" s="46"/>
    </row>
    <row r="812" spans="4:5" ht="16.5">
      <c r="D812" s="369"/>
      <c r="E812" s="46"/>
    </row>
    <row r="813" spans="4:5" ht="16.5">
      <c r="D813" s="369"/>
      <c r="E813" s="46"/>
    </row>
    <row r="814" spans="4:5" ht="16.5">
      <c r="D814" s="369"/>
      <c r="E814" s="46"/>
    </row>
    <row r="815" spans="4:5" ht="16.5">
      <c r="D815" s="369"/>
      <c r="E815" s="46"/>
    </row>
    <row r="816" spans="4:5" ht="16.5">
      <c r="D816" s="369"/>
      <c r="E816" s="46"/>
    </row>
    <row r="817" spans="4:5" ht="16.5">
      <c r="D817" s="369"/>
      <c r="E817" s="46"/>
    </row>
    <row r="818" spans="4:5" ht="16.5">
      <c r="D818" s="369"/>
      <c r="E818" s="46"/>
    </row>
    <row r="819" ht="16.5">
      <c r="D819" s="375"/>
    </row>
    <row r="834" ht="16.5">
      <c r="E834" s="46"/>
    </row>
    <row r="835" ht="16.5">
      <c r="D835" s="369"/>
    </row>
    <row r="837" spans="1:5" s="315" customFormat="1" ht="17.25">
      <c r="A837" s="301"/>
      <c r="C837" s="316"/>
      <c r="D837" s="305"/>
      <c r="E837" s="380"/>
    </row>
    <row r="838" ht="17.25">
      <c r="D838" s="317"/>
    </row>
  </sheetData>
  <mergeCells count="4">
    <mergeCell ref="B1:D1"/>
    <mergeCell ref="B2:E2"/>
    <mergeCell ref="B3:E3"/>
    <mergeCell ref="B4:E4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&amp;R&amp;P</oddFooter>
  </headerFooter>
  <rowBreaks count="1" manualBreakCount="1">
    <brk id="4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workbookViewId="0" topLeftCell="A1">
      <selection activeCell="B1" sqref="B1:I1"/>
    </sheetView>
  </sheetViews>
  <sheetFormatPr defaultColWidth="9.00390625" defaultRowHeight="12.75"/>
  <cols>
    <col min="1" max="1" width="3.375" style="432" bestFit="1" customWidth="1"/>
    <col min="2" max="2" width="3.75390625" style="381" customWidth="1"/>
    <col min="3" max="3" width="30.625" style="48" bestFit="1" customWidth="1"/>
    <col min="4" max="4" width="7.75390625" style="48" bestFit="1" customWidth="1"/>
    <col min="5" max="5" width="6.375" style="48" bestFit="1" customWidth="1"/>
    <col min="6" max="6" width="7.00390625" style="48" bestFit="1" customWidth="1"/>
    <col min="7" max="7" width="11.375" style="48" bestFit="1" customWidth="1"/>
    <col min="8" max="8" width="10.125" style="48" bestFit="1" customWidth="1"/>
    <col min="9" max="9" width="11.00390625" style="48" bestFit="1" customWidth="1"/>
    <col min="10" max="10" width="12.625" style="48" bestFit="1" customWidth="1"/>
    <col min="11" max="11" width="6.25390625" style="48" bestFit="1" customWidth="1"/>
    <col min="12" max="12" width="6.25390625" style="48" customWidth="1"/>
    <col min="13" max="13" width="12.75390625" style="48" bestFit="1" customWidth="1"/>
    <col min="14" max="14" width="12.125" style="48" bestFit="1" customWidth="1"/>
    <col min="15" max="15" width="10.875" style="48" customWidth="1"/>
    <col min="16" max="16" width="9.25390625" style="48" customWidth="1"/>
    <col min="17" max="17" width="10.375" style="48" bestFit="1" customWidth="1"/>
    <col min="18" max="18" width="10.25390625" style="48" customWidth="1"/>
    <col min="19" max="16384" width="9.125" style="48" customWidth="1"/>
  </cols>
  <sheetData>
    <row r="1" spans="1:17" s="429" customFormat="1" ht="31.5" customHeight="1">
      <c r="A1" s="428"/>
      <c r="B1" s="1448" t="s">
        <v>805</v>
      </c>
      <c r="C1" s="1448"/>
      <c r="D1" s="1448"/>
      <c r="E1" s="1448"/>
      <c r="F1" s="1448"/>
      <c r="G1" s="1448"/>
      <c r="H1" s="1448"/>
      <c r="I1" s="1448"/>
      <c r="N1" s="1453"/>
      <c r="O1" s="1453"/>
      <c r="P1" s="1453"/>
      <c r="Q1" s="1453"/>
    </row>
    <row r="2" spans="1:17" s="431" customFormat="1" ht="24.75" customHeight="1">
      <c r="A2" s="430"/>
      <c r="B2" s="1454" t="s">
        <v>52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</row>
    <row r="3" spans="1:17" s="431" customFormat="1" ht="24.75" customHeight="1">
      <c r="A3" s="430"/>
      <c r="B3" s="1454" t="s">
        <v>1164</v>
      </c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</row>
    <row r="4" spans="15:17" ht="17.25">
      <c r="O4" s="1445" t="s">
        <v>861</v>
      </c>
      <c r="P4" s="1445"/>
      <c r="Q4" s="1445"/>
    </row>
    <row r="5" spans="1:17" s="33" customFormat="1" ht="17.25" thickBot="1">
      <c r="A5" s="432"/>
      <c r="B5" s="1449" t="s">
        <v>873</v>
      </c>
      <c r="C5" s="1449"/>
      <c r="D5" s="33" t="s">
        <v>874</v>
      </c>
      <c r="E5" s="33" t="s">
        <v>875</v>
      </c>
      <c r="F5" s="33" t="s">
        <v>876</v>
      </c>
      <c r="G5" s="33" t="s">
        <v>877</v>
      </c>
      <c r="H5" s="33" t="s">
        <v>878</v>
      </c>
      <c r="I5" s="33" t="s">
        <v>879</v>
      </c>
      <c r="J5" s="33" t="s">
        <v>518</v>
      </c>
      <c r="K5" s="33" t="s">
        <v>519</v>
      </c>
      <c r="L5" s="33" t="s">
        <v>465</v>
      </c>
      <c r="M5" s="33" t="s">
        <v>466</v>
      </c>
      <c r="N5" s="33" t="s">
        <v>467</v>
      </c>
      <c r="O5" s="33" t="s">
        <v>468</v>
      </c>
      <c r="P5" s="33" t="s">
        <v>469</v>
      </c>
      <c r="Q5" s="33" t="s">
        <v>483</v>
      </c>
    </row>
    <row r="6" spans="1:17" s="365" customFormat="1" ht="24.75" customHeight="1" thickBot="1">
      <c r="A6" s="1450"/>
      <c r="B6" s="1441" t="s">
        <v>19</v>
      </c>
      <c r="C6" s="1442"/>
      <c r="D6" s="1451" t="s">
        <v>20</v>
      </c>
      <c r="E6" s="1455" t="s">
        <v>439</v>
      </c>
      <c r="F6" s="434" t="s">
        <v>21</v>
      </c>
      <c r="G6" s="1451" t="s">
        <v>22</v>
      </c>
      <c r="H6" s="433" t="s">
        <v>23</v>
      </c>
      <c r="I6" s="433" t="s">
        <v>24</v>
      </c>
      <c r="J6" s="433" t="s">
        <v>25</v>
      </c>
      <c r="K6" s="433" t="s">
        <v>26</v>
      </c>
      <c r="L6" s="433" t="s">
        <v>27</v>
      </c>
      <c r="M6" s="433" t="s">
        <v>28</v>
      </c>
      <c r="N6" s="434" t="s">
        <v>29</v>
      </c>
      <c r="O6" s="1446" t="s">
        <v>30</v>
      </c>
      <c r="P6" s="1447"/>
      <c r="Q6" s="1451" t="s">
        <v>860</v>
      </c>
    </row>
    <row r="7" spans="1:17" s="365" customFormat="1" ht="38.25" customHeight="1" thickBot="1">
      <c r="A7" s="1450"/>
      <c r="B7" s="1443"/>
      <c r="C7" s="1444"/>
      <c r="D7" s="1452"/>
      <c r="E7" s="1456"/>
      <c r="F7" s="436" t="s">
        <v>31</v>
      </c>
      <c r="G7" s="1452"/>
      <c r="H7" s="435" t="s">
        <v>32</v>
      </c>
      <c r="I7" s="435" t="s">
        <v>33</v>
      </c>
      <c r="J7" s="435" t="s">
        <v>34</v>
      </c>
      <c r="K7" s="435" t="s">
        <v>35</v>
      </c>
      <c r="L7" s="435"/>
      <c r="M7" s="435" t="s">
        <v>36</v>
      </c>
      <c r="N7" s="436" t="s">
        <v>37</v>
      </c>
      <c r="O7" s="437" t="s">
        <v>38</v>
      </c>
      <c r="P7" s="437" t="s">
        <v>39</v>
      </c>
      <c r="Q7" s="1452"/>
    </row>
    <row r="8" spans="1:17" s="337" customFormat="1" ht="34.5" customHeight="1">
      <c r="A8" s="438">
        <v>1</v>
      </c>
      <c r="B8" s="381" t="s">
        <v>40</v>
      </c>
      <c r="C8" s="337" t="s">
        <v>41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>
        <v>2000</v>
      </c>
      <c r="P8" s="373">
        <v>1151</v>
      </c>
      <c r="Q8" s="373">
        <f aca="true" t="shared" si="0" ref="Q8:Q43">SUM(D8:P8)</f>
        <v>3151</v>
      </c>
    </row>
    <row r="9" spans="1:17" s="357" customFormat="1" ht="18" customHeight="1">
      <c r="A9" s="438">
        <v>2</v>
      </c>
      <c r="B9" s="439"/>
      <c r="C9" s="357" t="s">
        <v>42</v>
      </c>
      <c r="D9" s="440"/>
      <c r="E9" s="440"/>
      <c r="F9" s="440"/>
      <c r="G9" s="440">
        <v>50</v>
      </c>
      <c r="H9" s="440"/>
      <c r="I9" s="440">
        <f>300+570</f>
        <v>870</v>
      </c>
      <c r="J9" s="440"/>
      <c r="K9" s="440">
        <v>200</v>
      </c>
      <c r="L9" s="440"/>
      <c r="M9" s="440"/>
      <c r="N9" s="440">
        <f>150+820</f>
        <v>970</v>
      </c>
      <c r="O9" s="440">
        <v>-939</v>
      </c>
      <c r="P9" s="440">
        <v>-1151</v>
      </c>
      <c r="Q9" s="440">
        <f t="shared" si="0"/>
        <v>0</v>
      </c>
    </row>
    <row r="10" spans="1:17" s="381" customFormat="1" ht="18" customHeight="1">
      <c r="A10" s="432">
        <v>3</v>
      </c>
      <c r="C10" s="382" t="s">
        <v>1169</v>
      </c>
      <c r="D10" s="441">
        <f aca="true" t="shared" si="1" ref="D10:P10">SUM(D8:D9)</f>
        <v>0</v>
      </c>
      <c r="E10" s="441">
        <f t="shared" si="1"/>
        <v>0</v>
      </c>
      <c r="F10" s="441">
        <f t="shared" si="1"/>
        <v>0</v>
      </c>
      <c r="G10" s="441">
        <f t="shared" si="1"/>
        <v>50</v>
      </c>
      <c r="H10" s="441">
        <f t="shared" si="1"/>
        <v>0</v>
      </c>
      <c r="I10" s="441">
        <f t="shared" si="1"/>
        <v>870</v>
      </c>
      <c r="J10" s="441">
        <f t="shared" si="1"/>
        <v>0</v>
      </c>
      <c r="K10" s="441">
        <f t="shared" si="1"/>
        <v>200</v>
      </c>
      <c r="L10" s="441">
        <f t="shared" si="1"/>
        <v>0</v>
      </c>
      <c r="M10" s="441">
        <f t="shared" si="1"/>
        <v>0</v>
      </c>
      <c r="N10" s="441">
        <f t="shared" si="1"/>
        <v>970</v>
      </c>
      <c r="O10" s="441">
        <f t="shared" si="1"/>
        <v>1061</v>
      </c>
      <c r="P10" s="441">
        <f t="shared" si="1"/>
        <v>0</v>
      </c>
      <c r="Q10" s="441">
        <f t="shared" si="0"/>
        <v>3151</v>
      </c>
    </row>
    <row r="11" spans="1:17" s="337" customFormat="1" ht="34.5" customHeight="1">
      <c r="A11" s="438">
        <v>4</v>
      </c>
      <c r="B11" s="381" t="s">
        <v>393</v>
      </c>
      <c r="C11" s="337" t="s">
        <v>41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>
        <v>2000</v>
      </c>
      <c r="P11" s="373">
        <v>2705</v>
      </c>
      <c r="Q11" s="373">
        <f t="shared" si="0"/>
        <v>4705</v>
      </c>
    </row>
    <row r="12" spans="1:17" s="357" customFormat="1" ht="18" customHeight="1">
      <c r="A12" s="432">
        <v>5</v>
      </c>
      <c r="B12" s="439"/>
      <c r="C12" s="357" t="s">
        <v>42</v>
      </c>
      <c r="D12" s="440">
        <f>50+1000</f>
        <v>1050</v>
      </c>
      <c r="E12" s="440">
        <v>200</v>
      </c>
      <c r="F12" s="440"/>
      <c r="G12" s="440">
        <v>150</v>
      </c>
      <c r="H12" s="440"/>
      <c r="I12" s="440"/>
      <c r="J12" s="440"/>
      <c r="K12" s="440"/>
      <c r="L12" s="440"/>
      <c r="M12" s="440"/>
      <c r="N12" s="440">
        <f>600+200</f>
        <v>800</v>
      </c>
      <c r="O12" s="440"/>
      <c r="P12" s="373">
        <v>-2200</v>
      </c>
      <c r="Q12" s="440">
        <f t="shared" si="0"/>
        <v>0</v>
      </c>
    </row>
    <row r="13" spans="1:17" s="381" customFormat="1" ht="18" customHeight="1">
      <c r="A13" s="438">
        <v>6</v>
      </c>
      <c r="C13" s="382" t="s">
        <v>1169</v>
      </c>
      <c r="D13" s="441">
        <f aca="true" t="shared" si="2" ref="D13:P13">SUM(D11:D12)</f>
        <v>1050</v>
      </c>
      <c r="E13" s="441">
        <f t="shared" si="2"/>
        <v>200</v>
      </c>
      <c r="F13" s="441">
        <f t="shared" si="2"/>
        <v>0</v>
      </c>
      <c r="G13" s="441">
        <f t="shared" si="2"/>
        <v>150</v>
      </c>
      <c r="H13" s="441">
        <f t="shared" si="2"/>
        <v>0</v>
      </c>
      <c r="I13" s="441">
        <f t="shared" si="2"/>
        <v>0</v>
      </c>
      <c r="J13" s="441">
        <f t="shared" si="2"/>
        <v>0</v>
      </c>
      <c r="K13" s="441">
        <f t="shared" si="2"/>
        <v>0</v>
      </c>
      <c r="L13" s="441">
        <f t="shared" si="2"/>
        <v>0</v>
      </c>
      <c r="M13" s="441">
        <f t="shared" si="2"/>
        <v>0</v>
      </c>
      <c r="N13" s="441">
        <f t="shared" si="2"/>
        <v>800</v>
      </c>
      <c r="O13" s="441">
        <f t="shared" si="2"/>
        <v>2000</v>
      </c>
      <c r="P13" s="441">
        <f t="shared" si="2"/>
        <v>505</v>
      </c>
      <c r="Q13" s="441">
        <f t="shared" si="0"/>
        <v>4705</v>
      </c>
    </row>
    <row r="14" spans="1:17" s="337" customFormat="1" ht="34.5" customHeight="1">
      <c r="A14" s="432">
        <v>7</v>
      </c>
      <c r="B14" s="381" t="s">
        <v>43</v>
      </c>
      <c r="C14" s="337" t="s">
        <v>41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>
        <v>2000</v>
      </c>
      <c r="P14" s="373">
        <v>904</v>
      </c>
      <c r="Q14" s="373">
        <f t="shared" si="0"/>
        <v>2904</v>
      </c>
    </row>
    <row r="15" spans="1:17" s="357" customFormat="1" ht="18" customHeight="1">
      <c r="A15" s="438">
        <v>8</v>
      </c>
      <c r="B15" s="439"/>
      <c r="C15" s="357" t="s">
        <v>42</v>
      </c>
      <c r="D15" s="440">
        <v>50</v>
      </c>
      <c r="E15" s="440">
        <f>300+50</f>
        <v>350</v>
      </c>
      <c r="F15" s="440"/>
      <c r="G15" s="440">
        <f>90+150</f>
        <v>240</v>
      </c>
      <c r="H15" s="440"/>
      <c r="I15" s="440">
        <v>30</v>
      </c>
      <c r="J15" s="440"/>
      <c r="K15" s="440"/>
      <c r="L15" s="440"/>
      <c r="M15" s="440">
        <v>100</v>
      </c>
      <c r="N15" s="440">
        <f>90+232+250</f>
        <v>572</v>
      </c>
      <c r="O15" s="440">
        <v>-438</v>
      </c>
      <c r="P15" s="373">
        <v>-904</v>
      </c>
      <c r="Q15" s="440">
        <f t="shared" si="0"/>
        <v>0</v>
      </c>
    </row>
    <row r="16" spans="1:17" s="381" customFormat="1" ht="18" customHeight="1">
      <c r="A16" s="432">
        <v>9</v>
      </c>
      <c r="C16" s="382" t="s">
        <v>1169</v>
      </c>
      <c r="D16" s="441">
        <f aca="true" t="shared" si="3" ref="D16:P16">SUM(D14:D15)</f>
        <v>50</v>
      </c>
      <c r="E16" s="441">
        <f t="shared" si="3"/>
        <v>350</v>
      </c>
      <c r="F16" s="441">
        <f t="shared" si="3"/>
        <v>0</v>
      </c>
      <c r="G16" s="441">
        <f t="shared" si="3"/>
        <v>240</v>
      </c>
      <c r="H16" s="441">
        <f t="shared" si="3"/>
        <v>0</v>
      </c>
      <c r="I16" s="441">
        <f t="shared" si="3"/>
        <v>30</v>
      </c>
      <c r="J16" s="441">
        <f t="shared" si="3"/>
        <v>0</v>
      </c>
      <c r="K16" s="441">
        <f t="shared" si="3"/>
        <v>0</v>
      </c>
      <c r="L16" s="441">
        <f t="shared" si="3"/>
        <v>0</v>
      </c>
      <c r="M16" s="441">
        <f t="shared" si="3"/>
        <v>100</v>
      </c>
      <c r="N16" s="441">
        <f t="shared" si="3"/>
        <v>572</v>
      </c>
      <c r="O16" s="441">
        <f t="shared" si="3"/>
        <v>1562</v>
      </c>
      <c r="P16" s="441">
        <f t="shared" si="3"/>
        <v>0</v>
      </c>
      <c r="Q16" s="441">
        <f t="shared" si="0"/>
        <v>2904</v>
      </c>
    </row>
    <row r="17" spans="1:17" s="337" customFormat="1" ht="34.5" customHeight="1">
      <c r="A17" s="438">
        <v>10</v>
      </c>
      <c r="B17" s="381" t="s">
        <v>44</v>
      </c>
      <c r="C17" s="337" t="s">
        <v>41</v>
      </c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>
        <v>2000</v>
      </c>
      <c r="P17" s="373">
        <v>2391</v>
      </c>
      <c r="Q17" s="373">
        <f t="shared" si="0"/>
        <v>4391</v>
      </c>
    </row>
    <row r="18" spans="1:17" s="357" customFormat="1" ht="18" customHeight="1">
      <c r="A18" s="432">
        <v>11</v>
      </c>
      <c r="B18" s="439"/>
      <c r="C18" s="357" t="s">
        <v>42</v>
      </c>
      <c r="D18" s="440">
        <f>50+970</f>
        <v>1020</v>
      </c>
      <c r="E18" s="440">
        <v>300</v>
      </c>
      <c r="F18" s="440"/>
      <c r="G18" s="440">
        <v>100</v>
      </c>
      <c r="H18" s="440"/>
      <c r="I18" s="440">
        <v>30</v>
      </c>
      <c r="J18" s="440"/>
      <c r="K18" s="440"/>
      <c r="L18" s="440"/>
      <c r="M18" s="440">
        <v>50</v>
      </c>
      <c r="N18" s="440">
        <f>300+150+70</f>
        <v>520</v>
      </c>
      <c r="O18" s="440"/>
      <c r="P18" s="373">
        <v>-2020</v>
      </c>
      <c r="Q18" s="440">
        <f t="shared" si="0"/>
        <v>0</v>
      </c>
    </row>
    <row r="19" spans="1:17" s="381" customFormat="1" ht="18" customHeight="1">
      <c r="A19" s="438">
        <v>12</v>
      </c>
      <c r="C19" s="382" t="s">
        <v>1169</v>
      </c>
      <c r="D19" s="441">
        <f aca="true" t="shared" si="4" ref="D19:P19">SUM(D17:D18)</f>
        <v>1020</v>
      </c>
      <c r="E19" s="441">
        <f t="shared" si="4"/>
        <v>300</v>
      </c>
      <c r="F19" s="441">
        <f t="shared" si="4"/>
        <v>0</v>
      </c>
      <c r="G19" s="441">
        <f t="shared" si="4"/>
        <v>100</v>
      </c>
      <c r="H19" s="441">
        <f t="shared" si="4"/>
        <v>0</v>
      </c>
      <c r="I19" s="441">
        <f t="shared" si="4"/>
        <v>30</v>
      </c>
      <c r="J19" s="441">
        <f t="shared" si="4"/>
        <v>0</v>
      </c>
      <c r="K19" s="441">
        <f t="shared" si="4"/>
        <v>0</v>
      </c>
      <c r="L19" s="441">
        <f t="shared" si="4"/>
        <v>0</v>
      </c>
      <c r="M19" s="441">
        <f t="shared" si="4"/>
        <v>50</v>
      </c>
      <c r="N19" s="441">
        <f t="shared" si="4"/>
        <v>520</v>
      </c>
      <c r="O19" s="441">
        <f t="shared" si="4"/>
        <v>2000</v>
      </c>
      <c r="P19" s="441">
        <f t="shared" si="4"/>
        <v>371</v>
      </c>
      <c r="Q19" s="441">
        <f t="shared" si="0"/>
        <v>4391</v>
      </c>
    </row>
    <row r="20" spans="1:18" s="337" customFormat="1" ht="34.5" customHeight="1">
      <c r="A20" s="432">
        <v>13</v>
      </c>
      <c r="B20" s="381" t="s">
        <v>45</v>
      </c>
      <c r="C20" s="337" t="s">
        <v>41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>
        <v>2000</v>
      </c>
      <c r="P20" s="373">
        <v>1259</v>
      </c>
      <c r="Q20" s="373">
        <f t="shared" si="0"/>
        <v>3259</v>
      </c>
      <c r="R20" s="442"/>
    </row>
    <row r="21" spans="1:17" s="357" customFormat="1" ht="18" customHeight="1">
      <c r="A21" s="438">
        <v>14</v>
      </c>
      <c r="B21" s="439"/>
      <c r="C21" s="357" t="s">
        <v>42</v>
      </c>
      <c r="D21" s="440">
        <v>50</v>
      </c>
      <c r="E21" s="440">
        <v>300</v>
      </c>
      <c r="F21" s="440"/>
      <c r="G21" s="440"/>
      <c r="H21" s="440">
        <v>118</v>
      </c>
      <c r="I21" s="440">
        <v>200</v>
      </c>
      <c r="J21" s="440"/>
      <c r="K21" s="440"/>
      <c r="L21" s="440"/>
      <c r="M21" s="440"/>
      <c r="N21" s="440">
        <f>120+250+160</f>
        <v>530</v>
      </c>
      <c r="O21" s="440"/>
      <c r="P21" s="373">
        <v>-1198</v>
      </c>
      <c r="Q21" s="440">
        <f t="shared" si="0"/>
        <v>0</v>
      </c>
    </row>
    <row r="22" spans="1:17" s="381" customFormat="1" ht="18" customHeight="1">
      <c r="A22" s="432">
        <v>15</v>
      </c>
      <c r="C22" s="382" t="s">
        <v>1169</v>
      </c>
      <c r="D22" s="443">
        <f aca="true" t="shared" si="5" ref="D22:P22">SUM(D20:D21)</f>
        <v>50</v>
      </c>
      <c r="E22" s="443">
        <f t="shared" si="5"/>
        <v>300</v>
      </c>
      <c r="F22" s="443">
        <f t="shared" si="5"/>
        <v>0</v>
      </c>
      <c r="G22" s="443">
        <f t="shared" si="5"/>
        <v>0</v>
      </c>
      <c r="H22" s="443">
        <f t="shared" si="5"/>
        <v>118</v>
      </c>
      <c r="I22" s="443">
        <f t="shared" si="5"/>
        <v>200</v>
      </c>
      <c r="J22" s="443">
        <f t="shared" si="5"/>
        <v>0</v>
      </c>
      <c r="K22" s="443">
        <f t="shared" si="5"/>
        <v>0</v>
      </c>
      <c r="L22" s="443">
        <f t="shared" si="5"/>
        <v>0</v>
      </c>
      <c r="M22" s="443">
        <f t="shared" si="5"/>
        <v>0</v>
      </c>
      <c r="N22" s="443">
        <f t="shared" si="5"/>
        <v>530</v>
      </c>
      <c r="O22" s="443">
        <f t="shared" si="5"/>
        <v>2000</v>
      </c>
      <c r="P22" s="443">
        <f t="shared" si="5"/>
        <v>61</v>
      </c>
      <c r="Q22" s="441">
        <f t="shared" si="0"/>
        <v>3259</v>
      </c>
    </row>
    <row r="23" spans="1:17" s="337" customFormat="1" ht="34.5" customHeight="1">
      <c r="A23" s="438">
        <v>16</v>
      </c>
      <c r="B23" s="381" t="s">
        <v>46</v>
      </c>
      <c r="C23" s="337" t="s">
        <v>41</v>
      </c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>
        <v>2000</v>
      </c>
      <c r="P23" s="373">
        <v>1649</v>
      </c>
      <c r="Q23" s="373">
        <f t="shared" si="0"/>
        <v>3649</v>
      </c>
    </row>
    <row r="24" spans="1:17" s="357" customFormat="1" ht="18" customHeight="1">
      <c r="A24" s="432">
        <v>17</v>
      </c>
      <c r="B24" s="439"/>
      <c r="C24" s="357" t="s">
        <v>42</v>
      </c>
      <c r="D24" s="440">
        <v>741</v>
      </c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373">
        <v>-741</v>
      </c>
      <c r="Q24" s="440">
        <f t="shared" si="0"/>
        <v>0</v>
      </c>
    </row>
    <row r="25" spans="1:17" s="381" customFormat="1" ht="18" customHeight="1">
      <c r="A25" s="438">
        <v>18</v>
      </c>
      <c r="C25" s="382" t="s">
        <v>1169</v>
      </c>
      <c r="D25" s="443">
        <f aca="true" t="shared" si="6" ref="D25:P25">SUM(D23:D24)</f>
        <v>741</v>
      </c>
      <c r="E25" s="443">
        <f t="shared" si="6"/>
        <v>0</v>
      </c>
      <c r="F25" s="443">
        <f t="shared" si="6"/>
        <v>0</v>
      </c>
      <c r="G25" s="443">
        <f t="shared" si="6"/>
        <v>0</v>
      </c>
      <c r="H25" s="443">
        <f t="shared" si="6"/>
        <v>0</v>
      </c>
      <c r="I25" s="443">
        <f t="shared" si="6"/>
        <v>0</v>
      </c>
      <c r="J25" s="443">
        <f t="shared" si="6"/>
        <v>0</v>
      </c>
      <c r="K25" s="443">
        <f t="shared" si="6"/>
        <v>0</v>
      </c>
      <c r="L25" s="443">
        <f t="shared" si="6"/>
        <v>0</v>
      </c>
      <c r="M25" s="443">
        <f t="shared" si="6"/>
        <v>0</v>
      </c>
      <c r="N25" s="443">
        <f t="shared" si="6"/>
        <v>0</v>
      </c>
      <c r="O25" s="443">
        <f t="shared" si="6"/>
        <v>2000</v>
      </c>
      <c r="P25" s="443">
        <f t="shared" si="6"/>
        <v>908</v>
      </c>
      <c r="Q25" s="441">
        <f t="shared" si="0"/>
        <v>3649</v>
      </c>
    </row>
    <row r="26" spans="1:17" s="337" customFormat="1" ht="34.5" customHeight="1">
      <c r="A26" s="432">
        <v>19</v>
      </c>
      <c r="B26" s="381" t="s">
        <v>47</v>
      </c>
      <c r="C26" s="337" t="s">
        <v>41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>
        <v>2000</v>
      </c>
      <c r="P26" s="373">
        <v>2434</v>
      </c>
      <c r="Q26" s="373">
        <f t="shared" si="0"/>
        <v>4434</v>
      </c>
    </row>
    <row r="27" spans="1:17" s="357" customFormat="1" ht="18" customHeight="1">
      <c r="A27" s="438">
        <v>20</v>
      </c>
      <c r="B27" s="439"/>
      <c r="C27" s="357" t="s">
        <v>42</v>
      </c>
      <c r="D27" s="440"/>
      <c r="E27" s="440"/>
      <c r="F27" s="440"/>
      <c r="G27" s="440"/>
      <c r="H27" s="440"/>
      <c r="I27" s="440">
        <v>30</v>
      </c>
      <c r="J27" s="440"/>
      <c r="K27" s="440"/>
      <c r="L27" s="440"/>
      <c r="M27" s="440"/>
      <c r="N27" s="440">
        <f>200+130+50</f>
        <v>380</v>
      </c>
      <c r="O27" s="440"/>
      <c r="P27" s="373">
        <v>-410</v>
      </c>
      <c r="Q27" s="440">
        <f t="shared" si="0"/>
        <v>0</v>
      </c>
    </row>
    <row r="28" spans="1:17" s="381" customFormat="1" ht="18" customHeight="1">
      <c r="A28" s="432">
        <v>21</v>
      </c>
      <c r="C28" s="382" t="s">
        <v>1169</v>
      </c>
      <c r="D28" s="444">
        <f aca="true" t="shared" si="7" ref="D28:P28">SUM(D26:D27)</f>
        <v>0</v>
      </c>
      <c r="E28" s="444">
        <f t="shared" si="7"/>
        <v>0</v>
      </c>
      <c r="F28" s="444">
        <f t="shared" si="7"/>
        <v>0</v>
      </c>
      <c r="G28" s="444">
        <f t="shared" si="7"/>
        <v>0</v>
      </c>
      <c r="H28" s="444">
        <f t="shared" si="7"/>
        <v>0</v>
      </c>
      <c r="I28" s="444">
        <f t="shared" si="7"/>
        <v>30</v>
      </c>
      <c r="J28" s="444">
        <f t="shared" si="7"/>
        <v>0</v>
      </c>
      <c r="K28" s="444">
        <f t="shared" si="7"/>
        <v>0</v>
      </c>
      <c r="L28" s="444">
        <f t="shared" si="7"/>
        <v>0</v>
      </c>
      <c r="M28" s="444">
        <f t="shared" si="7"/>
        <v>0</v>
      </c>
      <c r="N28" s="444">
        <f t="shared" si="7"/>
        <v>380</v>
      </c>
      <c r="O28" s="444">
        <f t="shared" si="7"/>
        <v>2000</v>
      </c>
      <c r="P28" s="444">
        <f t="shared" si="7"/>
        <v>2024</v>
      </c>
      <c r="Q28" s="441">
        <f t="shared" si="0"/>
        <v>4434</v>
      </c>
    </row>
    <row r="29" spans="1:17" s="337" customFormat="1" ht="34.5" customHeight="1">
      <c r="A29" s="438">
        <v>22</v>
      </c>
      <c r="B29" s="381" t="s">
        <v>48</v>
      </c>
      <c r="C29" s="337" t="s">
        <v>41</v>
      </c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>
        <v>2000</v>
      </c>
      <c r="P29" s="373">
        <v>1644</v>
      </c>
      <c r="Q29" s="373">
        <f t="shared" si="0"/>
        <v>3644</v>
      </c>
    </row>
    <row r="30" spans="1:17" s="357" customFormat="1" ht="18" customHeight="1">
      <c r="A30" s="432">
        <v>23</v>
      </c>
      <c r="B30" s="439"/>
      <c r="C30" s="357" t="s">
        <v>42</v>
      </c>
      <c r="D30" s="440"/>
      <c r="E30" s="440"/>
      <c r="F30" s="440"/>
      <c r="G30" s="440">
        <v>100</v>
      </c>
      <c r="H30" s="440">
        <v>256</v>
      </c>
      <c r="I30" s="440">
        <v>30</v>
      </c>
      <c r="J30" s="440"/>
      <c r="K30" s="440"/>
      <c r="L30" s="440"/>
      <c r="M30" s="440"/>
      <c r="N30" s="440">
        <f>200+60</f>
        <v>260</v>
      </c>
      <c r="O30" s="440"/>
      <c r="P30" s="373">
        <v>-646</v>
      </c>
      <c r="Q30" s="440">
        <f t="shared" si="0"/>
        <v>0</v>
      </c>
    </row>
    <row r="31" spans="1:17" s="381" customFormat="1" ht="18" customHeight="1">
      <c r="A31" s="438">
        <v>24</v>
      </c>
      <c r="C31" s="382" t="s">
        <v>1169</v>
      </c>
      <c r="D31" s="441">
        <f aca="true" t="shared" si="8" ref="D31:P31">SUM(D29:D30)</f>
        <v>0</v>
      </c>
      <c r="E31" s="441">
        <f t="shared" si="8"/>
        <v>0</v>
      </c>
      <c r="F31" s="441">
        <f t="shared" si="8"/>
        <v>0</v>
      </c>
      <c r="G31" s="441">
        <f t="shared" si="8"/>
        <v>100</v>
      </c>
      <c r="H31" s="441">
        <f t="shared" si="8"/>
        <v>256</v>
      </c>
      <c r="I31" s="441">
        <f t="shared" si="8"/>
        <v>30</v>
      </c>
      <c r="J31" s="441">
        <f t="shared" si="8"/>
        <v>0</v>
      </c>
      <c r="K31" s="441">
        <f t="shared" si="8"/>
        <v>0</v>
      </c>
      <c r="L31" s="441">
        <f t="shared" si="8"/>
        <v>0</v>
      </c>
      <c r="M31" s="441">
        <f t="shared" si="8"/>
        <v>0</v>
      </c>
      <c r="N31" s="441">
        <f t="shared" si="8"/>
        <v>260</v>
      </c>
      <c r="O31" s="441">
        <f t="shared" si="8"/>
        <v>2000</v>
      </c>
      <c r="P31" s="441">
        <f t="shared" si="8"/>
        <v>998</v>
      </c>
      <c r="Q31" s="441">
        <f t="shared" si="0"/>
        <v>3644</v>
      </c>
    </row>
    <row r="32" spans="1:17" s="337" customFormat="1" ht="36" customHeight="1">
      <c r="A32" s="432">
        <v>25</v>
      </c>
      <c r="B32" s="381" t="s">
        <v>49</v>
      </c>
      <c r="C32" s="337" t="s">
        <v>41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>
        <v>2000</v>
      </c>
      <c r="P32" s="373">
        <v>1299</v>
      </c>
      <c r="Q32" s="373">
        <f t="shared" si="0"/>
        <v>3299</v>
      </c>
    </row>
    <row r="33" spans="1:17" s="357" customFormat="1" ht="18" customHeight="1">
      <c r="A33" s="438">
        <v>26</v>
      </c>
      <c r="B33" s="439"/>
      <c r="C33" s="357" t="s">
        <v>42</v>
      </c>
      <c r="D33" s="440">
        <v>50</v>
      </c>
      <c r="E33" s="440"/>
      <c r="F33" s="440"/>
      <c r="G33" s="440"/>
      <c r="H33" s="440"/>
      <c r="I33" s="440"/>
      <c r="J33" s="440"/>
      <c r="K33" s="440"/>
      <c r="L33" s="440"/>
      <c r="M33" s="440"/>
      <c r="N33" s="440">
        <v>565</v>
      </c>
      <c r="O33" s="440"/>
      <c r="P33" s="373">
        <v>-615</v>
      </c>
      <c r="Q33" s="440">
        <f t="shared" si="0"/>
        <v>0</v>
      </c>
    </row>
    <row r="34" spans="1:17" s="381" customFormat="1" ht="18" customHeight="1">
      <c r="A34" s="432">
        <v>27</v>
      </c>
      <c r="C34" s="382" t="s">
        <v>1169</v>
      </c>
      <c r="D34" s="441">
        <f aca="true" t="shared" si="9" ref="D34:P34">SUM(D32:D33)</f>
        <v>50</v>
      </c>
      <c r="E34" s="441">
        <f t="shared" si="9"/>
        <v>0</v>
      </c>
      <c r="F34" s="441">
        <f t="shared" si="9"/>
        <v>0</v>
      </c>
      <c r="G34" s="441">
        <f t="shared" si="9"/>
        <v>0</v>
      </c>
      <c r="H34" s="441">
        <f t="shared" si="9"/>
        <v>0</v>
      </c>
      <c r="I34" s="441">
        <f t="shared" si="9"/>
        <v>0</v>
      </c>
      <c r="J34" s="441">
        <f t="shared" si="9"/>
        <v>0</v>
      </c>
      <c r="K34" s="441">
        <f t="shared" si="9"/>
        <v>0</v>
      </c>
      <c r="L34" s="441">
        <f t="shared" si="9"/>
        <v>0</v>
      </c>
      <c r="M34" s="441">
        <f t="shared" si="9"/>
        <v>0</v>
      </c>
      <c r="N34" s="441">
        <f t="shared" si="9"/>
        <v>565</v>
      </c>
      <c r="O34" s="441">
        <f t="shared" si="9"/>
        <v>2000</v>
      </c>
      <c r="P34" s="441">
        <f t="shared" si="9"/>
        <v>684</v>
      </c>
      <c r="Q34" s="441">
        <f t="shared" si="0"/>
        <v>3299</v>
      </c>
    </row>
    <row r="35" spans="1:17" s="337" customFormat="1" ht="36" customHeight="1">
      <c r="A35" s="438">
        <v>28</v>
      </c>
      <c r="B35" s="381" t="s">
        <v>50</v>
      </c>
      <c r="C35" s="337" t="s">
        <v>41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>
        <v>2000</v>
      </c>
      <c r="P35" s="373">
        <v>1257</v>
      </c>
      <c r="Q35" s="373">
        <f t="shared" si="0"/>
        <v>3257</v>
      </c>
    </row>
    <row r="36" spans="1:17" s="357" customFormat="1" ht="18" customHeight="1">
      <c r="A36" s="432">
        <v>29</v>
      </c>
      <c r="B36" s="439"/>
      <c r="C36" s="357" t="s">
        <v>42</v>
      </c>
      <c r="D36" s="440"/>
      <c r="E36" s="440"/>
      <c r="F36" s="440"/>
      <c r="G36" s="440">
        <v>200</v>
      </c>
      <c r="H36" s="440">
        <v>160</v>
      </c>
      <c r="I36" s="440">
        <f>46+120</f>
        <v>166</v>
      </c>
      <c r="J36" s="440"/>
      <c r="K36" s="440"/>
      <c r="L36" s="440"/>
      <c r="M36" s="440"/>
      <c r="N36" s="440">
        <v>300</v>
      </c>
      <c r="O36" s="440"/>
      <c r="P36" s="373">
        <v>-826</v>
      </c>
      <c r="Q36" s="440">
        <f t="shared" si="0"/>
        <v>0</v>
      </c>
    </row>
    <row r="37" spans="1:17" s="381" customFormat="1" ht="18" customHeight="1">
      <c r="A37" s="438">
        <v>30</v>
      </c>
      <c r="C37" s="382" t="s">
        <v>1169</v>
      </c>
      <c r="D37" s="443">
        <f aca="true" t="shared" si="10" ref="D37:P37">SUM(D35:D36)</f>
        <v>0</v>
      </c>
      <c r="E37" s="443">
        <f t="shared" si="10"/>
        <v>0</v>
      </c>
      <c r="F37" s="443">
        <f t="shared" si="10"/>
        <v>0</v>
      </c>
      <c r="G37" s="443">
        <f t="shared" si="10"/>
        <v>200</v>
      </c>
      <c r="H37" s="443">
        <f t="shared" si="10"/>
        <v>160</v>
      </c>
      <c r="I37" s="443">
        <f t="shared" si="10"/>
        <v>166</v>
      </c>
      <c r="J37" s="443">
        <f t="shared" si="10"/>
        <v>0</v>
      </c>
      <c r="K37" s="443">
        <f t="shared" si="10"/>
        <v>0</v>
      </c>
      <c r="L37" s="443">
        <f t="shared" si="10"/>
        <v>0</v>
      </c>
      <c r="M37" s="443">
        <f t="shared" si="10"/>
        <v>0</v>
      </c>
      <c r="N37" s="443">
        <f t="shared" si="10"/>
        <v>300</v>
      </c>
      <c r="O37" s="443">
        <f t="shared" si="10"/>
        <v>2000</v>
      </c>
      <c r="P37" s="443">
        <f t="shared" si="10"/>
        <v>431</v>
      </c>
      <c r="Q37" s="441">
        <f t="shared" si="0"/>
        <v>3257</v>
      </c>
    </row>
    <row r="38" spans="1:17" s="337" customFormat="1" ht="36" customHeight="1">
      <c r="A38" s="432">
        <v>31</v>
      </c>
      <c r="B38" s="381" t="s">
        <v>407</v>
      </c>
      <c r="C38" s="337" t="s">
        <v>41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>
        <v>2000</v>
      </c>
      <c r="P38" s="373">
        <v>1686</v>
      </c>
      <c r="Q38" s="373">
        <f t="shared" si="0"/>
        <v>3686</v>
      </c>
    </row>
    <row r="39" spans="1:17" s="357" customFormat="1" ht="18" customHeight="1">
      <c r="A39" s="438">
        <v>32</v>
      </c>
      <c r="B39" s="439"/>
      <c r="C39" s="357" t="s">
        <v>42</v>
      </c>
      <c r="D39" s="440">
        <v>600</v>
      </c>
      <c r="E39" s="440"/>
      <c r="F39" s="440"/>
      <c r="G39" s="440"/>
      <c r="H39" s="440">
        <v>160</v>
      </c>
      <c r="I39" s="440">
        <v>30</v>
      </c>
      <c r="J39" s="440"/>
      <c r="K39" s="440"/>
      <c r="L39" s="440"/>
      <c r="M39" s="440"/>
      <c r="N39" s="440"/>
      <c r="O39" s="440"/>
      <c r="P39" s="373">
        <v>-790</v>
      </c>
      <c r="Q39" s="440">
        <f t="shared" si="0"/>
        <v>0</v>
      </c>
    </row>
    <row r="40" spans="1:17" s="381" customFormat="1" ht="18" customHeight="1">
      <c r="A40" s="432">
        <v>33</v>
      </c>
      <c r="C40" s="382" t="s">
        <v>1169</v>
      </c>
      <c r="D40" s="443">
        <f aca="true" t="shared" si="11" ref="D40:P40">SUM(D38:D39)</f>
        <v>600</v>
      </c>
      <c r="E40" s="443">
        <f t="shared" si="11"/>
        <v>0</v>
      </c>
      <c r="F40" s="443">
        <f t="shared" si="11"/>
        <v>0</v>
      </c>
      <c r="G40" s="443">
        <f t="shared" si="11"/>
        <v>0</v>
      </c>
      <c r="H40" s="443">
        <f t="shared" si="11"/>
        <v>160</v>
      </c>
      <c r="I40" s="443">
        <f t="shared" si="11"/>
        <v>30</v>
      </c>
      <c r="J40" s="443">
        <f t="shared" si="11"/>
        <v>0</v>
      </c>
      <c r="K40" s="443">
        <f t="shared" si="11"/>
        <v>0</v>
      </c>
      <c r="L40" s="443">
        <f t="shared" si="11"/>
        <v>0</v>
      </c>
      <c r="M40" s="443">
        <f t="shared" si="11"/>
        <v>0</v>
      </c>
      <c r="N40" s="443">
        <f t="shared" si="11"/>
        <v>0</v>
      </c>
      <c r="O40" s="443">
        <f t="shared" si="11"/>
        <v>2000</v>
      </c>
      <c r="P40" s="443">
        <f t="shared" si="11"/>
        <v>896</v>
      </c>
      <c r="Q40" s="441">
        <f t="shared" si="0"/>
        <v>3686</v>
      </c>
    </row>
    <row r="41" spans="1:17" s="337" customFormat="1" ht="36" customHeight="1">
      <c r="A41" s="438">
        <v>34</v>
      </c>
      <c r="B41" s="381" t="s">
        <v>408</v>
      </c>
      <c r="C41" s="337" t="s">
        <v>41</v>
      </c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>
        <v>2000</v>
      </c>
      <c r="P41" s="373">
        <v>646</v>
      </c>
      <c r="Q41" s="373">
        <f t="shared" si="0"/>
        <v>2646</v>
      </c>
    </row>
    <row r="42" spans="1:17" s="357" customFormat="1" ht="18" customHeight="1">
      <c r="A42" s="432">
        <v>35</v>
      </c>
      <c r="B42" s="439"/>
      <c r="C42" s="357" t="s">
        <v>42</v>
      </c>
      <c r="D42" s="440"/>
      <c r="E42" s="440"/>
      <c r="F42" s="440"/>
      <c r="G42" s="440"/>
      <c r="H42" s="440"/>
      <c r="I42" s="440">
        <v>550</v>
      </c>
      <c r="J42" s="440"/>
      <c r="K42" s="440"/>
      <c r="L42" s="440"/>
      <c r="M42" s="440"/>
      <c r="N42" s="440">
        <f>200+150+300+100</f>
        <v>750</v>
      </c>
      <c r="O42" s="440">
        <v>-654</v>
      </c>
      <c r="P42" s="373">
        <v>-646</v>
      </c>
      <c r="Q42" s="440">
        <f t="shared" si="0"/>
        <v>0</v>
      </c>
    </row>
    <row r="43" spans="1:17" s="446" customFormat="1" ht="36" customHeight="1" thickBot="1">
      <c r="A43" s="445">
        <v>36</v>
      </c>
      <c r="C43" s="446" t="s">
        <v>1169</v>
      </c>
      <c r="D43" s="447">
        <f aca="true" t="shared" si="12" ref="D43:P43">SUM(D41:D42)</f>
        <v>0</v>
      </c>
      <c r="E43" s="447">
        <f t="shared" si="12"/>
        <v>0</v>
      </c>
      <c r="F43" s="447">
        <f t="shared" si="12"/>
        <v>0</v>
      </c>
      <c r="G43" s="447">
        <f t="shared" si="12"/>
        <v>0</v>
      </c>
      <c r="H43" s="447">
        <f t="shared" si="12"/>
        <v>0</v>
      </c>
      <c r="I43" s="447">
        <f t="shared" si="12"/>
        <v>550</v>
      </c>
      <c r="J43" s="447">
        <f t="shared" si="12"/>
        <v>0</v>
      </c>
      <c r="K43" s="447">
        <f t="shared" si="12"/>
        <v>0</v>
      </c>
      <c r="L43" s="447">
        <f t="shared" si="12"/>
        <v>0</v>
      </c>
      <c r="M43" s="447">
        <f t="shared" si="12"/>
        <v>0</v>
      </c>
      <c r="N43" s="447">
        <f t="shared" si="12"/>
        <v>750</v>
      </c>
      <c r="O43" s="447">
        <f t="shared" si="12"/>
        <v>1346</v>
      </c>
      <c r="P43" s="447">
        <f t="shared" si="12"/>
        <v>0</v>
      </c>
      <c r="Q43" s="448">
        <f t="shared" si="0"/>
        <v>2646</v>
      </c>
    </row>
    <row r="44" spans="1:17" s="337" customFormat="1" ht="24.75" customHeight="1">
      <c r="A44" s="432">
        <v>37</v>
      </c>
      <c r="B44" s="449"/>
      <c r="C44" s="450" t="s">
        <v>41</v>
      </c>
      <c r="D44" s="451">
        <f aca="true" t="shared" si="13" ref="D44:Q44">SUM(D41,D38,D35,D32,D29,D26,D23,D20,D17,D14,D11,D8)</f>
        <v>0</v>
      </c>
      <c r="E44" s="451">
        <f t="shared" si="13"/>
        <v>0</v>
      </c>
      <c r="F44" s="451">
        <f t="shared" si="13"/>
        <v>0</v>
      </c>
      <c r="G44" s="451">
        <f t="shared" si="13"/>
        <v>0</v>
      </c>
      <c r="H44" s="451">
        <f t="shared" si="13"/>
        <v>0</v>
      </c>
      <c r="I44" s="451">
        <f t="shared" si="13"/>
        <v>0</v>
      </c>
      <c r="J44" s="451">
        <f t="shared" si="13"/>
        <v>0</v>
      </c>
      <c r="K44" s="451">
        <f t="shared" si="13"/>
        <v>0</v>
      </c>
      <c r="L44" s="451">
        <f t="shared" si="13"/>
        <v>0</v>
      </c>
      <c r="M44" s="451">
        <f t="shared" si="13"/>
        <v>0</v>
      </c>
      <c r="N44" s="451">
        <f t="shared" si="13"/>
        <v>0</v>
      </c>
      <c r="O44" s="451">
        <f t="shared" si="13"/>
        <v>24000</v>
      </c>
      <c r="P44" s="451">
        <f t="shared" si="13"/>
        <v>19025</v>
      </c>
      <c r="Q44" s="452">
        <f t="shared" si="13"/>
        <v>43025</v>
      </c>
    </row>
    <row r="45" spans="1:17" s="357" customFormat="1" ht="24.75" customHeight="1">
      <c r="A45" s="438">
        <v>38</v>
      </c>
      <c r="B45" s="453"/>
      <c r="C45" s="357" t="s">
        <v>42</v>
      </c>
      <c r="D45" s="440">
        <f aca="true" t="shared" si="14" ref="D45:Q45">SUM(D42,D39,D36,D33,D30,D27,D24,D21,D18,D15,D12,D9)</f>
        <v>3561</v>
      </c>
      <c r="E45" s="440">
        <f t="shared" si="14"/>
        <v>1150</v>
      </c>
      <c r="F45" s="440">
        <f t="shared" si="14"/>
        <v>0</v>
      </c>
      <c r="G45" s="440">
        <f t="shared" si="14"/>
        <v>840</v>
      </c>
      <c r="H45" s="440">
        <f t="shared" si="14"/>
        <v>694</v>
      </c>
      <c r="I45" s="440">
        <f t="shared" si="14"/>
        <v>1936</v>
      </c>
      <c r="J45" s="440">
        <f t="shared" si="14"/>
        <v>0</v>
      </c>
      <c r="K45" s="440">
        <f t="shared" si="14"/>
        <v>200</v>
      </c>
      <c r="L45" s="440">
        <f t="shared" si="14"/>
        <v>0</v>
      </c>
      <c r="M45" s="440">
        <f t="shared" si="14"/>
        <v>150</v>
      </c>
      <c r="N45" s="440">
        <f t="shared" si="14"/>
        <v>5647</v>
      </c>
      <c r="O45" s="440">
        <f t="shared" si="14"/>
        <v>-2031</v>
      </c>
      <c r="P45" s="440">
        <f t="shared" si="14"/>
        <v>-12147</v>
      </c>
      <c r="Q45" s="454">
        <f t="shared" si="14"/>
        <v>0</v>
      </c>
    </row>
    <row r="46" spans="1:17" s="381" customFormat="1" ht="24.75" customHeight="1" thickBot="1">
      <c r="A46" s="432">
        <v>39</v>
      </c>
      <c r="B46" s="455"/>
      <c r="C46" s="456" t="s">
        <v>51</v>
      </c>
      <c r="D46" s="457">
        <f aca="true" t="shared" si="15" ref="D46:P46">SUM(D44:D45)</f>
        <v>3561</v>
      </c>
      <c r="E46" s="457">
        <f t="shared" si="15"/>
        <v>1150</v>
      </c>
      <c r="F46" s="457">
        <f t="shared" si="15"/>
        <v>0</v>
      </c>
      <c r="G46" s="457">
        <f t="shared" si="15"/>
        <v>840</v>
      </c>
      <c r="H46" s="457">
        <f t="shared" si="15"/>
        <v>694</v>
      </c>
      <c r="I46" s="457">
        <f t="shared" si="15"/>
        <v>1936</v>
      </c>
      <c r="J46" s="457">
        <f t="shared" si="15"/>
        <v>0</v>
      </c>
      <c r="K46" s="457">
        <f t="shared" si="15"/>
        <v>200</v>
      </c>
      <c r="L46" s="457">
        <f t="shared" si="15"/>
        <v>0</v>
      </c>
      <c r="M46" s="457">
        <f t="shared" si="15"/>
        <v>150</v>
      </c>
      <c r="N46" s="457">
        <f t="shared" si="15"/>
        <v>5647</v>
      </c>
      <c r="O46" s="457">
        <f t="shared" si="15"/>
        <v>21969</v>
      </c>
      <c r="P46" s="457">
        <f t="shared" si="15"/>
        <v>6878</v>
      </c>
      <c r="Q46" s="458">
        <f>SUM(D46:P46)</f>
        <v>43025</v>
      </c>
    </row>
    <row r="47" spans="4:17" ht="17.25"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</row>
    <row r="48" spans="4:17" ht="17.25"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</row>
    <row r="49" spans="4:17" ht="17.25"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</row>
    <row r="50" spans="4:17" ht="17.25"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</row>
    <row r="51" spans="4:17" ht="17.25"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</row>
    <row r="52" spans="4:17" ht="17.25"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</row>
    <row r="53" spans="3:17" ht="17.25">
      <c r="C53" s="381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</row>
    <row r="54" spans="4:17" ht="17.25"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300"/>
      <c r="P54" s="300"/>
      <c r="Q54" s="460"/>
    </row>
    <row r="55" spans="4:17" ht="17.25"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61"/>
      <c r="O55" s="461"/>
      <c r="P55" s="461"/>
      <c r="Q55" s="461"/>
    </row>
    <row r="56" spans="3:17" ht="17.25"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61"/>
      <c r="N56" s="461"/>
      <c r="O56" s="461"/>
      <c r="P56" s="461"/>
      <c r="Q56" s="459"/>
    </row>
    <row r="57" spans="4:17" ht="17.25">
      <c r="D57" s="459"/>
      <c r="E57" s="459"/>
      <c r="F57" s="459"/>
      <c r="G57" s="459"/>
      <c r="H57" s="459"/>
      <c r="I57" s="459"/>
      <c r="J57" s="459"/>
      <c r="K57" s="459"/>
      <c r="L57" s="459"/>
      <c r="M57" s="461"/>
      <c r="N57" s="461"/>
      <c r="O57" s="461"/>
      <c r="P57" s="461"/>
      <c r="Q57" s="459"/>
    </row>
    <row r="58" spans="4:17" ht="17.25"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</row>
  </sheetData>
  <mergeCells count="13">
    <mergeCell ref="A6:A7"/>
    <mergeCell ref="Q6:Q7"/>
    <mergeCell ref="N1:Q1"/>
    <mergeCell ref="B2:Q2"/>
    <mergeCell ref="B3:Q3"/>
    <mergeCell ref="G6:G7"/>
    <mergeCell ref="E6:E7"/>
    <mergeCell ref="D6:D7"/>
    <mergeCell ref="B6:C7"/>
    <mergeCell ref="O4:Q4"/>
    <mergeCell ref="O6:P6"/>
    <mergeCell ref="B1:I1"/>
    <mergeCell ref="B5:C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1:H33"/>
  <sheetViews>
    <sheetView view="pageBreakPreview" zoomScaleNormal="75" zoomScaleSheetLayoutView="100" workbookViewId="0" topLeftCell="A1">
      <selection activeCell="A1" sqref="A1:B1"/>
    </sheetView>
  </sheetViews>
  <sheetFormatPr defaultColWidth="9.00390625" defaultRowHeight="12.75"/>
  <cols>
    <col min="1" max="1" width="8.75390625" style="1246" customWidth="1"/>
    <col min="2" max="2" width="62.625" style="1215" bestFit="1" customWidth="1"/>
    <col min="3" max="3" width="16.75390625" style="1247" customWidth="1"/>
    <col min="4" max="4" width="12.75390625" style="1247" customWidth="1"/>
    <col min="5" max="5" width="8.75390625" style="1246" customWidth="1"/>
    <col min="6" max="6" width="54.00390625" style="1215" bestFit="1" customWidth="1"/>
    <col min="7" max="7" width="16.75390625" style="1247" customWidth="1"/>
    <col min="8" max="8" width="12.00390625" style="1247" bestFit="1" customWidth="1"/>
    <col min="9" max="16384" width="9.125" style="1215" customWidth="1"/>
  </cols>
  <sheetData>
    <row r="1" spans="1:8" s="1214" customFormat="1" ht="15">
      <c r="A1" s="1457" t="s">
        <v>806</v>
      </c>
      <c r="B1" s="1457"/>
      <c r="C1" s="4"/>
      <c r="D1" s="4"/>
      <c r="E1" s="1213"/>
      <c r="G1" s="955"/>
      <c r="H1" s="4"/>
    </row>
    <row r="2" spans="1:8" s="1214" customFormat="1" ht="26.25" customHeight="1">
      <c r="A2" s="1458" t="s">
        <v>242</v>
      </c>
      <c r="B2" s="1458"/>
      <c r="C2" s="1458"/>
      <c r="D2" s="1458"/>
      <c r="E2" s="1458"/>
      <c r="F2" s="1458"/>
      <c r="G2" s="1458"/>
      <c r="H2" s="1458"/>
    </row>
    <row r="3" spans="1:8" s="1214" customFormat="1" ht="27.75" customHeight="1">
      <c r="A3" s="1459" t="s">
        <v>243</v>
      </c>
      <c r="B3" s="1459"/>
      <c r="C3" s="1459"/>
      <c r="D3" s="1459"/>
      <c r="E3" s="1459"/>
      <c r="F3" s="1459"/>
      <c r="G3" s="1459"/>
      <c r="H3" s="1459"/>
    </row>
    <row r="4" spans="1:8" s="1214" customFormat="1" ht="33" customHeight="1">
      <c r="A4" s="1280"/>
      <c r="B4" s="1260" t="s">
        <v>244</v>
      </c>
      <c r="C4" s="1261" t="s">
        <v>245</v>
      </c>
      <c r="D4" s="1262" t="s">
        <v>1169</v>
      </c>
      <c r="E4" s="1263"/>
      <c r="F4" s="1264" t="s">
        <v>246</v>
      </c>
      <c r="G4" s="1261" t="s">
        <v>245</v>
      </c>
      <c r="H4" s="1281" t="s">
        <v>1169</v>
      </c>
    </row>
    <row r="5" spans="1:8" ht="15" customHeight="1">
      <c r="A5" s="1282" t="s">
        <v>392</v>
      </c>
      <c r="B5" s="1215" t="s">
        <v>247</v>
      </c>
      <c r="C5" s="1248">
        <v>3622793</v>
      </c>
      <c r="D5" s="1216">
        <v>3872929</v>
      </c>
      <c r="E5" s="1217" t="s">
        <v>392</v>
      </c>
      <c r="F5" s="1215" t="s">
        <v>476</v>
      </c>
      <c r="G5" s="1248">
        <v>3073312</v>
      </c>
      <c r="H5" s="1248">
        <v>3224249</v>
      </c>
    </row>
    <row r="6" spans="1:8" ht="15" customHeight="1">
      <c r="A6" s="1282" t="s">
        <v>393</v>
      </c>
      <c r="B6" s="1215" t="s">
        <v>540</v>
      </c>
      <c r="C6" s="1248">
        <v>5485000</v>
      </c>
      <c r="D6" s="1216">
        <v>5485000</v>
      </c>
      <c r="E6" s="1217" t="s">
        <v>393</v>
      </c>
      <c r="F6" s="1215" t="s">
        <v>248</v>
      </c>
      <c r="G6" s="1248">
        <v>869842</v>
      </c>
      <c r="H6" s="1248">
        <v>907157</v>
      </c>
    </row>
    <row r="7" spans="1:8" ht="15">
      <c r="A7" s="1282" t="s">
        <v>394</v>
      </c>
      <c r="B7" s="1218" t="s">
        <v>907</v>
      </c>
      <c r="C7" s="1248">
        <v>1325691</v>
      </c>
      <c r="D7" s="1216">
        <v>1338865</v>
      </c>
      <c r="E7" s="1217" t="s">
        <v>394</v>
      </c>
      <c r="F7" s="1219" t="s">
        <v>477</v>
      </c>
      <c r="G7" s="1248">
        <v>5160266</v>
      </c>
      <c r="H7" s="1248">
        <v>5744847</v>
      </c>
    </row>
    <row r="8" spans="1:8" ht="15">
      <c r="A8" s="1282" t="s">
        <v>249</v>
      </c>
      <c r="B8" s="1219" t="s">
        <v>924</v>
      </c>
      <c r="C8" s="1248">
        <v>80000</v>
      </c>
      <c r="D8" s="1216">
        <v>80000</v>
      </c>
      <c r="E8" s="1220" t="s">
        <v>249</v>
      </c>
      <c r="F8" s="1219" t="s">
        <v>250</v>
      </c>
      <c r="G8" s="1248">
        <v>276400</v>
      </c>
      <c r="H8" s="1248">
        <v>276400</v>
      </c>
    </row>
    <row r="9" spans="1:8" ht="15">
      <c r="A9" s="1282"/>
      <c r="B9" s="1218"/>
      <c r="C9" s="1248"/>
      <c r="D9" s="1216"/>
      <c r="E9" s="1220" t="s">
        <v>251</v>
      </c>
      <c r="F9" s="1221" t="s">
        <v>252</v>
      </c>
      <c r="G9" s="1265">
        <v>815969</v>
      </c>
      <c r="H9" s="1248">
        <v>987798</v>
      </c>
    </row>
    <row r="10" spans="1:8" ht="15">
      <c r="A10" s="1282"/>
      <c r="B10" s="1218"/>
      <c r="C10" s="1248"/>
      <c r="D10" s="1216"/>
      <c r="E10" s="1220" t="s">
        <v>253</v>
      </c>
      <c r="F10" s="1221" t="s">
        <v>254</v>
      </c>
      <c r="G10" s="1265">
        <v>205000</v>
      </c>
      <c r="H10" s="1248">
        <v>188732</v>
      </c>
    </row>
    <row r="11" spans="1:8" s="1214" customFormat="1" ht="24.75" customHeight="1">
      <c r="A11" s="1283"/>
      <c r="B11" s="1222" t="s">
        <v>255</v>
      </c>
      <c r="C11" s="1249">
        <f>SUM(C5:C9)</f>
        <v>10513484</v>
      </c>
      <c r="D11" s="1250">
        <f>SUM(D5:D8)</f>
        <v>10776794</v>
      </c>
      <c r="E11" s="1223"/>
      <c r="F11" s="1222" t="s">
        <v>256</v>
      </c>
      <c r="G11" s="1266">
        <f>SUM(G5:G10)</f>
        <v>10400789</v>
      </c>
      <c r="H11" s="1266">
        <f>SUM(H5:H10)</f>
        <v>11329183</v>
      </c>
    </row>
    <row r="12" spans="1:8" ht="23.25" customHeight="1">
      <c r="A12" s="1284"/>
      <c r="B12" s="1224" t="s">
        <v>257</v>
      </c>
      <c r="C12" s="1251"/>
      <c r="D12" s="1225"/>
      <c r="E12" s="1226"/>
      <c r="F12" s="1224" t="s">
        <v>258</v>
      </c>
      <c r="G12" s="1252"/>
      <c r="H12" s="1285"/>
    </row>
    <row r="13" spans="1:8" ht="15">
      <c r="A13" s="1286" t="s">
        <v>392</v>
      </c>
      <c r="B13" s="1227" t="s">
        <v>259</v>
      </c>
      <c r="C13" s="1252">
        <v>5640156</v>
      </c>
      <c r="D13" s="1228">
        <v>6796061</v>
      </c>
      <c r="E13" s="1229" t="s">
        <v>392</v>
      </c>
      <c r="F13" s="1227" t="s">
        <v>844</v>
      </c>
      <c r="G13" s="1252">
        <v>3111297</v>
      </c>
      <c r="H13" s="1252">
        <v>4604423</v>
      </c>
    </row>
    <row r="14" spans="1:8" ht="15">
      <c r="A14" s="1286" t="s">
        <v>393</v>
      </c>
      <c r="B14" s="1227" t="s">
        <v>920</v>
      </c>
      <c r="C14" s="1252">
        <v>550000</v>
      </c>
      <c r="D14" s="1228">
        <v>550000</v>
      </c>
      <c r="E14" s="1229" t="s">
        <v>393</v>
      </c>
      <c r="F14" s="1227" t="s">
        <v>677</v>
      </c>
      <c r="G14" s="1252">
        <v>223615</v>
      </c>
      <c r="H14" s="1252">
        <v>660700</v>
      </c>
    </row>
    <row r="15" spans="1:8" ht="15">
      <c r="A15" s="1286" t="s">
        <v>394</v>
      </c>
      <c r="B15" s="1215" t="s">
        <v>925</v>
      </c>
      <c r="C15" s="1252">
        <v>0</v>
      </c>
      <c r="D15" s="1228">
        <v>0</v>
      </c>
      <c r="E15" s="1229" t="s">
        <v>394</v>
      </c>
      <c r="F15" s="1227" t="s">
        <v>413</v>
      </c>
      <c r="G15" s="1252">
        <v>1418800</v>
      </c>
      <c r="H15" s="1252">
        <v>1936850</v>
      </c>
    </row>
    <row r="16" spans="1:8" ht="15">
      <c r="A16" s="1286"/>
      <c r="C16" s="1252"/>
      <c r="D16" s="1228"/>
      <c r="E16" s="1229" t="s">
        <v>249</v>
      </c>
      <c r="F16" s="1227" t="s">
        <v>260</v>
      </c>
      <c r="G16" s="1252">
        <v>1153579</v>
      </c>
      <c r="H16" s="1252">
        <v>263165</v>
      </c>
    </row>
    <row r="17" spans="1:8" s="1214" customFormat="1" ht="24.75" customHeight="1" thickBot="1">
      <c r="A17" s="1287"/>
      <c r="B17" s="1230" t="s">
        <v>261</v>
      </c>
      <c r="C17" s="1253">
        <f>SUM(C13:C15)</f>
        <v>6190156</v>
      </c>
      <c r="D17" s="1231">
        <f>SUM(D13:D15)</f>
        <v>7346061</v>
      </c>
      <c r="E17" s="1232"/>
      <c r="F17" s="1230" t="s">
        <v>262</v>
      </c>
      <c r="G17" s="1267">
        <f>SUM(G13:G16)</f>
        <v>5907291</v>
      </c>
      <c r="H17" s="1267">
        <f>SUM(H13:H16)</f>
        <v>7465138</v>
      </c>
    </row>
    <row r="18" spans="1:8" s="1214" customFormat="1" ht="24.75" customHeight="1" thickBot="1" thickTop="1">
      <c r="A18" s="1288"/>
      <c r="B18" s="1233" t="s">
        <v>927</v>
      </c>
      <c r="C18" s="1254">
        <f>C11+C17</f>
        <v>16703640</v>
      </c>
      <c r="D18" s="1255">
        <f>SUM(D17+D11)</f>
        <v>18122855</v>
      </c>
      <c r="E18" s="1234"/>
      <c r="F18" s="1233" t="s">
        <v>1191</v>
      </c>
      <c r="G18" s="1254">
        <f>G11+G17</f>
        <v>16308080</v>
      </c>
      <c r="H18" s="1254">
        <f>H11+H17</f>
        <v>18794321</v>
      </c>
    </row>
    <row r="19" spans="1:8" s="1214" customFormat="1" ht="24.75" customHeight="1" thickTop="1">
      <c r="A19" s="1289"/>
      <c r="B19" s="1224" t="s">
        <v>263</v>
      </c>
      <c r="C19" s="1256"/>
      <c r="D19" s="1235"/>
      <c r="E19" s="1236"/>
      <c r="F19" s="1224" t="s">
        <v>264</v>
      </c>
      <c r="G19" s="1256"/>
      <c r="H19" s="1256"/>
    </row>
    <row r="20" spans="1:8" s="1214" customFormat="1" ht="15">
      <c r="A20" s="1290" t="s">
        <v>392</v>
      </c>
      <c r="B20" s="1214" t="s">
        <v>265</v>
      </c>
      <c r="C20" s="1256">
        <v>0</v>
      </c>
      <c r="D20" s="1235">
        <v>0</v>
      </c>
      <c r="E20" s="1236" t="s">
        <v>392</v>
      </c>
      <c r="F20" s="1214" t="s">
        <v>266</v>
      </c>
      <c r="G20" s="1256">
        <v>0</v>
      </c>
      <c r="H20" s="1256">
        <v>0</v>
      </c>
    </row>
    <row r="21" spans="1:8" s="1214" customFormat="1" ht="15">
      <c r="A21" s="1290" t="s">
        <v>393</v>
      </c>
      <c r="B21" s="1214" t="s">
        <v>267</v>
      </c>
      <c r="C21" s="1256">
        <v>0</v>
      </c>
      <c r="D21" s="1235">
        <v>1067026</v>
      </c>
      <c r="E21" s="1236"/>
      <c r="G21" s="1256"/>
      <c r="H21" s="1256"/>
    </row>
    <row r="22" spans="1:8" s="1214" customFormat="1" ht="24.75" customHeight="1">
      <c r="A22" s="1289"/>
      <c r="B22" s="1224" t="s">
        <v>268</v>
      </c>
      <c r="C22" s="1256"/>
      <c r="D22" s="1235"/>
      <c r="E22" s="1236"/>
      <c r="F22" s="1224" t="s">
        <v>269</v>
      </c>
      <c r="G22" s="1256"/>
      <c r="H22" s="1256"/>
    </row>
    <row r="23" spans="1:8" s="1214" customFormat="1" ht="15">
      <c r="A23" s="1290" t="s">
        <v>394</v>
      </c>
      <c r="B23" s="1237" t="s">
        <v>270</v>
      </c>
      <c r="C23" s="1256">
        <v>1352433</v>
      </c>
      <c r="D23" s="1235">
        <v>1352433</v>
      </c>
      <c r="E23" s="1236" t="s">
        <v>393</v>
      </c>
      <c r="F23" s="1237" t="s">
        <v>271</v>
      </c>
      <c r="G23" s="1256">
        <v>1747993</v>
      </c>
      <c r="H23" s="1256">
        <v>1747993</v>
      </c>
    </row>
    <row r="24" spans="1:8" s="1214" customFormat="1" ht="15">
      <c r="A24" s="1290" t="s">
        <v>249</v>
      </c>
      <c r="B24" s="1214" t="s">
        <v>265</v>
      </c>
      <c r="C24" s="1256">
        <v>0</v>
      </c>
      <c r="D24" s="1235">
        <v>0</v>
      </c>
      <c r="E24" s="1236" t="s">
        <v>394</v>
      </c>
      <c r="F24" s="1214" t="s">
        <v>266</v>
      </c>
      <c r="G24" s="1256">
        <v>0</v>
      </c>
      <c r="H24" s="1256">
        <v>0</v>
      </c>
    </row>
    <row r="25" spans="1:8" s="1214" customFormat="1" ht="15">
      <c r="A25" s="1290" t="s">
        <v>251</v>
      </c>
      <c r="B25" s="1214" t="s">
        <v>267</v>
      </c>
      <c r="C25" s="1256">
        <v>0</v>
      </c>
      <c r="D25" s="1235">
        <v>0</v>
      </c>
      <c r="E25" s="1236"/>
      <c r="G25" s="1256"/>
      <c r="H25" s="1256"/>
    </row>
    <row r="26" spans="1:8" s="1241" customFormat="1" ht="15.75" thickBot="1">
      <c r="A26" s="1291"/>
      <c r="B26" s="1238" t="s">
        <v>272</v>
      </c>
      <c r="C26" s="1257">
        <f>SUM(C20:C25)</f>
        <v>1352433</v>
      </c>
      <c r="D26" s="1239">
        <f>SUM(D20:D25)</f>
        <v>2419459</v>
      </c>
      <c r="E26" s="1240"/>
      <c r="F26" s="1238" t="s">
        <v>273</v>
      </c>
      <c r="G26" s="1257">
        <f>SUM(G19:G24)</f>
        <v>1747993</v>
      </c>
      <c r="H26" s="1257">
        <f>SUM(H19:H24)</f>
        <v>1747993</v>
      </c>
    </row>
    <row r="27" spans="1:8" s="1214" customFormat="1" ht="30" customHeight="1" thickBot="1" thickTop="1">
      <c r="A27" s="1292"/>
      <c r="B27" s="1238" t="s">
        <v>274</v>
      </c>
      <c r="C27" s="1253">
        <f>SUM(C23:C24,C20:C20,C17,C11)</f>
        <v>18056073</v>
      </c>
      <c r="D27" s="1253">
        <f>SUM(D23:D24,D20:D20,D17,D11)+D21</f>
        <v>20542314</v>
      </c>
      <c r="E27" s="1242"/>
      <c r="F27" s="1238" t="s">
        <v>275</v>
      </c>
      <c r="G27" s="1253">
        <f>SUM(G23:G24,G17,G20:G20,G11)</f>
        <v>18056073</v>
      </c>
      <c r="H27" s="1253">
        <f>SUM(H23:H24,H17,H20:H20,H11)</f>
        <v>20542314</v>
      </c>
    </row>
    <row r="28" spans="1:8" s="1214" customFormat="1" ht="15.75" thickTop="1">
      <c r="A28" s="1293"/>
      <c r="B28" s="1243" t="s">
        <v>1129</v>
      </c>
      <c r="C28" s="1258">
        <f>C18-G18</f>
        <v>395560</v>
      </c>
      <c r="D28" s="1259">
        <v>-671466</v>
      </c>
      <c r="E28" s="1244"/>
      <c r="F28" s="1245"/>
      <c r="G28" s="1268"/>
      <c r="H28" s="1256"/>
    </row>
    <row r="29" spans="1:8" s="1214" customFormat="1" ht="15">
      <c r="A29" s="1294"/>
      <c r="B29" s="1245" t="s">
        <v>276</v>
      </c>
      <c r="C29" s="1269">
        <f>C28-G26</f>
        <v>-1352433</v>
      </c>
      <c r="D29" s="1259">
        <v>-2419459</v>
      </c>
      <c r="E29" s="1244"/>
      <c r="F29" s="1245"/>
      <c r="G29" s="1268"/>
      <c r="H29" s="1256"/>
    </row>
    <row r="30" spans="1:8" ht="19.5" customHeight="1">
      <c r="A30" s="1270"/>
      <c r="B30" s="1271" t="s">
        <v>277</v>
      </c>
      <c r="C30" s="1272">
        <v>0.629</v>
      </c>
      <c r="D30" s="1273">
        <v>0.595</v>
      </c>
      <c r="E30" s="1274"/>
      <c r="F30" s="1271" t="s">
        <v>278</v>
      </c>
      <c r="G30" s="1272">
        <v>0.638</v>
      </c>
      <c r="H30" s="1272">
        <v>0.603</v>
      </c>
    </row>
    <row r="31" spans="1:8" ht="19.5" customHeight="1">
      <c r="A31" s="1275"/>
      <c r="B31" s="1276" t="s">
        <v>279</v>
      </c>
      <c r="C31" s="1277">
        <v>0.371</v>
      </c>
      <c r="D31" s="1278">
        <v>0.405</v>
      </c>
      <c r="E31" s="1279"/>
      <c r="F31" s="1276" t="s">
        <v>280</v>
      </c>
      <c r="G31" s="1277">
        <v>0.362</v>
      </c>
      <c r="H31" s="1277">
        <v>0.397</v>
      </c>
    </row>
    <row r="32" ht="15">
      <c r="F32" s="1215" t="s">
        <v>281</v>
      </c>
    </row>
    <row r="33" ht="15">
      <c r="C33" s="1247" t="s">
        <v>281</v>
      </c>
    </row>
  </sheetData>
  <mergeCells count="3">
    <mergeCell ref="A1:B1"/>
    <mergeCell ref="A2:H2"/>
    <mergeCell ref="A3:H3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SheetLayoutView="100" workbookViewId="0" topLeftCell="A1">
      <selection activeCell="C7" sqref="C7"/>
    </sheetView>
  </sheetViews>
  <sheetFormatPr defaultColWidth="31.25390625" defaultRowHeight="12.75"/>
  <cols>
    <col min="1" max="1" width="3.25390625" style="9" bestFit="1" customWidth="1"/>
    <col min="2" max="2" width="3.25390625" style="9" customWidth="1"/>
    <col min="3" max="3" width="50.75390625" style="25" customWidth="1"/>
    <col min="4" max="6" width="13.75390625" style="11" customWidth="1"/>
    <col min="7" max="7" width="30.75390625" style="131" customWidth="1"/>
    <col min="8" max="8" width="12.125" style="12" customWidth="1"/>
    <col min="9" max="9" width="12.875" style="12" customWidth="1"/>
    <col min="10" max="16384" width="31.25390625" style="12" customWidth="1"/>
  </cols>
  <sheetData>
    <row r="1" spans="3:5" ht="16.5">
      <c r="C1" s="1460" t="s">
        <v>807</v>
      </c>
      <c r="D1" s="1460"/>
      <c r="E1" s="10"/>
    </row>
    <row r="2" spans="3:7" ht="17.25">
      <c r="C2" s="1331" t="s">
        <v>581</v>
      </c>
      <c r="D2" s="1331"/>
      <c r="E2" s="1331"/>
      <c r="F2" s="1331"/>
      <c r="G2" s="1331"/>
    </row>
    <row r="3" spans="3:7" ht="17.25">
      <c r="C3" s="1331" t="s">
        <v>846</v>
      </c>
      <c r="D3" s="1331"/>
      <c r="E3" s="1331"/>
      <c r="F3" s="1331"/>
      <c r="G3" s="1331"/>
    </row>
    <row r="4" spans="2:7" ht="17.25" thickBot="1">
      <c r="B4" s="9" t="s">
        <v>873</v>
      </c>
      <c r="C4" s="22" t="s">
        <v>874</v>
      </c>
      <c r="D4" s="14" t="s">
        <v>875</v>
      </c>
      <c r="E4" s="14" t="s">
        <v>876</v>
      </c>
      <c r="F4" s="14" t="s">
        <v>877</v>
      </c>
      <c r="G4" s="131" t="s">
        <v>878</v>
      </c>
    </row>
    <row r="5" spans="2:7" ht="50.25" thickBot="1">
      <c r="B5" s="141" t="s">
        <v>391</v>
      </c>
      <c r="C5" s="142" t="s">
        <v>862</v>
      </c>
      <c r="D5" s="143" t="s">
        <v>847</v>
      </c>
      <c r="E5" s="143" t="s">
        <v>480</v>
      </c>
      <c r="F5" s="143" t="s">
        <v>847</v>
      </c>
      <c r="G5" s="144" t="s">
        <v>481</v>
      </c>
    </row>
    <row r="6" spans="1:7" ht="21.75" customHeight="1" thickTop="1">
      <c r="A6" s="9">
        <v>1</v>
      </c>
      <c r="B6" s="136">
        <v>1</v>
      </c>
      <c r="C6" s="137" t="s">
        <v>1185</v>
      </c>
      <c r="D6" s="15">
        <v>37</v>
      </c>
      <c r="E6" s="15"/>
      <c r="F6" s="15">
        <f>SUM(D6:E6)</f>
        <v>37</v>
      </c>
      <c r="G6" s="132"/>
    </row>
    <row r="7" spans="1:7" ht="21.75" customHeight="1">
      <c r="A7" s="9">
        <v>2</v>
      </c>
      <c r="B7" s="136"/>
      <c r="C7" s="138" t="s">
        <v>403</v>
      </c>
      <c r="D7" s="15">
        <v>2</v>
      </c>
      <c r="E7" s="15"/>
      <c r="F7" s="15">
        <f aca="true" t="shared" si="0" ref="F7:F32">SUM(D7:E7)</f>
        <v>2</v>
      </c>
      <c r="G7" s="132"/>
    </row>
    <row r="8" spans="1:7" ht="21.75" customHeight="1">
      <c r="A8" s="9">
        <v>3</v>
      </c>
      <c r="B8" s="136">
        <v>2</v>
      </c>
      <c r="C8" s="137" t="s">
        <v>1186</v>
      </c>
      <c r="D8" s="15">
        <v>69</v>
      </c>
      <c r="E8" s="15"/>
      <c r="F8" s="15">
        <f t="shared" si="0"/>
        <v>69</v>
      </c>
      <c r="G8" s="132"/>
    </row>
    <row r="9" spans="1:7" ht="21.75" customHeight="1">
      <c r="A9" s="9">
        <v>4</v>
      </c>
      <c r="B9" s="136"/>
      <c r="C9" s="138" t="s">
        <v>403</v>
      </c>
      <c r="D9" s="15">
        <v>3</v>
      </c>
      <c r="E9" s="15"/>
      <c r="F9" s="15">
        <f t="shared" si="0"/>
        <v>3</v>
      </c>
      <c r="G9" s="132"/>
    </row>
    <row r="10" spans="1:7" s="16" customFormat="1" ht="21.75" customHeight="1">
      <c r="A10" s="9">
        <v>5</v>
      </c>
      <c r="B10" s="136">
        <v>3</v>
      </c>
      <c r="C10" s="137" t="s">
        <v>1187</v>
      </c>
      <c r="D10" s="15">
        <v>82.5</v>
      </c>
      <c r="E10" s="15"/>
      <c r="F10" s="15">
        <f t="shared" si="0"/>
        <v>82.5</v>
      </c>
      <c r="G10" s="132"/>
    </row>
    <row r="11" spans="1:7" s="16" customFormat="1" ht="21.75" customHeight="1">
      <c r="A11" s="9">
        <v>6</v>
      </c>
      <c r="B11" s="136"/>
      <c r="C11" s="138" t="s">
        <v>403</v>
      </c>
      <c r="D11" s="15">
        <v>6</v>
      </c>
      <c r="E11" s="15"/>
      <c r="F11" s="15">
        <f t="shared" si="0"/>
        <v>6</v>
      </c>
      <c r="G11" s="132"/>
    </row>
    <row r="12" spans="1:7" ht="21.75" customHeight="1">
      <c r="A12" s="9">
        <v>7</v>
      </c>
      <c r="B12" s="136">
        <v>4</v>
      </c>
      <c r="C12" s="137" t="s">
        <v>1188</v>
      </c>
      <c r="D12" s="15">
        <v>59</v>
      </c>
      <c r="E12" s="15"/>
      <c r="F12" s="15">
        <f t="shared" si="0"/>
        <v>59</v>
      </c>
      <c r="G12" s="132"/>
    </row>
    <row r="13" spans="1:7" ht="21.75" customHeight="1">
      <c r="A13" s="9">
        <v>8</v>
      </c>
      <c r="B13" s="136"/>
      <c r="C13" s="138" t="s">
        <v>403</v>
      </c>
      <c r="D13" s="15">
        <v>4</v>
      </c>
      <c r="E13" s="15"/>
      <c r="F13" s="15">
        <f t="shared" si="0"/>
        <v>4</v>
      </c>
      <c r="G13" s="132"/>
    </row>
    <row r="14" spans="1:7" ht="21.75" customHeight="1">
      <c r="A14" s="9">
        <v>9</v>
      </c>
      <c r="B14" s="136">
        <v>5</v>
      </c>
      <c r="C14" s="137" t="s">
        <v>1189</v>
      </c>
      <c r="D14" s="15">
        <v>60.5</v>
      </c>
      <c r="E14" s="15"/>
      <c r="F14" s="15">
        <f t="shared" si="0"/>
        <v>60.5</v>
      </c>
      <c r="G14" s="132"/>
    </row>
    <row r="15" spans="1:7" ht="21.75" customHeight="1">
      <c r="A15" s="9">
        <v>10</v>
      </c>
      <c r="B15" s="136"/>
      <c r="C15" s="138" t="s">
        <v>403</v>
      </c>
      <c r="D15" s="15">
        <v>2</v>
      </c>
      <c r="E15" s="15"/>
      <c r="F15" s="15">
        <f t="shared" si="0"/>
        <v>2</v>
      </c>
      <c r="G15" s="132"/>
    </row>
    <row r="16" spans="1:7" s="16" customFormat="1" ht="21.75" customHeight="1">
      <c r="A16" s="9">
        <v>11</v>
      </c>
      <c r="B16" s="136">
        <v>6</v>
      </c>
      <c r="C16" s="137" t="s">
        <v>1190</v>
      </c>
      <c r="D16" s="15">
        <v>30</v>
      </c>
      <c r="E16" s="15"/>
      <c r="F16" s="15">
        <f t="shared" si="0"/>
        <v>30</v>
      </c>
      <c r="G16" s="132"/>
    </row>
    <row r="17" spans="1:7" s="16" customFormat="1" ht="21.75" customHeight="1">
      <c r="A17" s="9">
        <v>12</v>
      </c>
      <c r="B17" s="136"/>
      <c r="C17" s="138" t="s">
        <v>403</v>
      </c>
      <c r="D17" s="15">
        <v>1</v>
      </c>
      <c r="E17" s="15"/>
      <c r="F17" s="15">
        <f t="shared" si="0"/>
        <v>1</v>
      </c>
      <c r="G17" s="132"/>
    </row>
    <row r="18" spans="1:7" ht="21.75" customHeight="1">
      <c r="A18" s="9">
        <v>13</v>
      </c>
      <c r="B18" s="136">
        <v>7</v>
      </c>
      <c r="C18" s="139" t="s">
        <v>438</v>
      </c>
      <c r="D18" s="15">
        <v>59</v>
      </c>
      <c r="E18" s="15">
        <v>-13</v>
      </c>
      <c r="F18" s="15">
        <f t="shared" si="0"/>
        <v>46</v>
      </c>
      <c r="G18" s="133" t="s">
        <v>947</v>
      </c>
    </row>
    <row r="19" spans="1:7" ht="21.75" customHeight="1">
      <c r="A19" s="9">
        <v>14</v>
      </c>
      <c r="B19" s="136">
        <v>8</v>
      </c>
      <c r="C19" s="139" t="s">
        <v>443</v>
      </c>
      <c r="D19" s="15">
        <v>170</v>
      </c>
      <c r="E19" s="15"/>
      <c r="F19" s="15">
        <f t="shared" si="0"/>
        <v>170</v>
      </c>
      <c r="G19" s="132"/>
    </row>
    <row r="20" spans="1:7" s="16" customFormat="1" ht="21.75" customHeight="1">
      <c r="A20" s="9">
        <v>15</v>
      </c>
      <c r="B20" s="136"/>
      <c r="C20" s="138" t="s">
        <v>403</v>
      </c>
      <c r="D20" s="15">
        <v>5</v>
      </c>
      <c r="E20" s="15"/>
      <c r="F20" s="15">
        <f t="shared" si="0"/>
        <v>5</v>
      </c>
      <c r="G20" s="132"/>
    </row>
    <row r="21" spans="1:7" ht="36" customHeight="1">
      <c r="A21" s="9">
        <v>16</v>
      </c>
      <c r="B21" s="136">
        <v>9</v>
      </c>
      <c r="C21" s="139" t="s">
        <v>461</v>
      </c>
      <c r="D21" s="15">
        <v>12.25</v>
      </c>
      <c r="E21" s="15"/>
      <c r="F21" s="15">
        <f t="shared" si="0"/>
        <v>12.25</v>
      </c>
      <c r="G21" s="132"/>
    </row>
    <row r="22" spans="1:7" ht="21.75" customHeight="1">
      <c r="A22" s="9">
        <v>17</v>
      </c>
      <c r="B22" s="136">
        <v>10</v>
      </c>
      <c r="C22" s="139" t="s">
        <v>912</v>
      </c>
      <c r="D22" s="15">
        <v>24.25</v>
      </c>
      <c r="E22" s="15"/>
      <c r="F22" s="15">
        <f t="shared" si="0"/>
        <v>24.25</v>
      </c>
      <c r="G22" s="132"/>
    </row>
    <row r="23" spans="1:7" ht="21.75" customHeight="1">
      <c r="A23" s="9">
        <v>18</v>
      </c>
      <c r="B23" s="136">
        <v>11</v>
      </c>
      <c r="C23" s="139" t="s">
        <v>913</v>
      </c>
      <c r="D23" s="15">
        <v>20</v>
      </c>
      <c r="E23" s="15"/>
      <c r="F23" s="15">
        <f t="shared" si="0"/>
        <v>20</v>
      </c>
      <c r="G23" s="132"/>
    </row>
    <row r="24" spans="1:7" ht="21.75" customHeight="1">
      <c r="A24" s="9">
        <v>19</v>
      </c>
      <c r="B24" s="136">
        <v>12</v>
      </c>
      <c r="C24" s="139" t="s">
        <v>459</v>
      </c>
      <c r="D24" s="15">
        <v>50</v>
      </c>
      <c r="E24" s="15"/>
      <c r="F24" s="15">
        <f t="shared" si="0"/>
        <v>50</v>
      </c>
      <c r="G24" s="132"/>
    </row>
    <row r="25" spans="1:7" ht="21.75" customHeight="1">
      <c r="A25" s="9">
        <v>20</v>
      </c>
      <c r="B25" s="136"/>
      <c r="C25" s="138" t="s">
        <v>403</v>
      </c>
      <c r="D25" s="15">
        <v>9</v>
      </c>
      <c r="E25" s="15"/>
      <c r="F25" s="15">
        <f t="shared" si="0"/>
        <v>9</v>
      </c>
      <c r="G25" s="132"/>
    </row>
    <row r="26" spans="1:7" ht="28.5">
      <c r="A26" s="9">
        <v>21</v>
      </c>
      <c r="B26" s="136">
        <v>13</v>
      </c>
      <c r="C26" s="139" t="s">
        <v>460</v>
      </c>
      <c r="D26" s="15">
        <v>47.6</v>
      </c>
      <c r="E26" s="15">
        <v>3.25</v>
      </c>
      <c r="F26" s="15">
        <f t="shared" si="0"/>
        <v>50.85</v>
      </c>
      <c r="G26" s="133" t="s">
        <v>748</v>
      </c>
    </row>
    <row r="27" spans="1:7" ht="17.25">
      <c r="A27" s="9">
        <v>22</v>
      </c>
      <c r="B27" s="136"/>
      <c r="C27" s="138" t="s">
        <v>404</v>
      </c>
      <c r="D27" s="15">
        <v>29.67</v>
      </c>
      <c r="E27" s="15"/>
      <c r="F27" s="15">
        <f t="shared" si="0"/>
        <v>29.67</v>
      </c>
      <c r="G27" s="133"/>
    </row>
    <row r="28" spans="1:7" ht="36" customHeight="1">
      <c r="A28" s="9">
        <v>23</v>
      </c>
      <c r="B28" s="136">
        <v>14</v>
      </c>
      <c r="C28" s="139" t="s">
        <v>914</v>
      </c>
      <c r="D28" s="15">
        <v>20</v>
      </c>
      <c r="E28" s="15"/>
      <c r="F28" s="15">
        <f t="shared" si="0"/>
        <v>20</v>
      </c>
      <c r="G28" s="132"/>
    </row>
    <row r="29" spans="1:7" ht="21.75" customHeight="1">
      <c r="A29" s="9">
        <v>24</v>
      </c>
      <c r="B29" s="136"/>
      <c r="C29" s="138" t="s">
        <v>403</v>
      </c>
      <c r="D29" s="15">
        <v>3</v>
      </c>
      <c r="E29" s="15"/>
      <c r="F29" s="15">
        <f t="shared" si="0"/>
        <v>3</v>
      </c>
      <c r="G29" s="132"/>
    </row>
    <row r="30" spans="1:7" ht="21.75" customHeight="1">
      <c r="A30" s="9">
        <v>25</v>
      </c>
      <c r="B30" s="136">
        <v>15</v>
      </c>
      <c r="C30" s="139" t="s">
        <v>482</v>
      </c>
      <c r="D30" s="15">
        <v>102</v>
      </c>
      <c r="E30" s="15"/>
      <c r="F30" s="15">
        <f t="shared" si="0"/>
        <v>102</v>
      </c>
      <c r="G30" s="132"/>
    </row>
    <row r="31" spans="1:7" ht="21.75" customHeight="1">
      <c r="A31" s="9">
        <v>26</v>
      </c>
      <c r="B31" s="136"/>
      <c r="C31" s="138" t="s">
        <v>403</v>
      </c>
      <c r="D31" s="15">
        <v>3</v>
      </c>
      <c r="E31" s="15"/>
      <c r="F31" s="15">
        <f t="shared" si="0"/>
        <v>3</v>
      </c>
      <c r="G31" s="132"/>
    </row>
    <row r="32" spans="1:7" ht="21.75" customHeight="1" thickBot="1">
      <c r="A32" s="9">
        <v>27</v>
      </c>
      <c r="B32" s="148">
        <v>16</v>
      </c>
      <c r="C32" s="149" t="s">
        <v>458</v>
      </c>
      <c r="D32" s="150">
        <v>134</v>
      </c>
      <c r="E32" s="150"/>
      <c r="F32" s="150">
        <f t="shared" si="0"/>
        <v>134</v>
      </c>
      <c r="G32" s="151"/>
    </row>
    <row r="33" spans="1:7" ht="30" customHeight="1" thickBot="1" thickTop="1">
      <c r="A33" s="9">
        <v>28</v>
      </c>
      <c r="B33" s="140"/>
      <c r="C33" s="145" t="s">
        <v>475</v>
      </c>
      <c r="D33" s="146">
        <f>SUM(D6:D32)</f>
        <v>1044.77</v>
      </c>
      <c r="E33" s="146">
        <f>SUM(E6:E32)</f>
        <v>-9.75</v>
      </c>
      <c r="F33" s="146">
        <f>SUM(F6:F32)</f>
        <v>1035.02</v>
      </c>
      <c r="G33" s="147"/>
    </row>
    <row r="34" spans="1:7" ht="21.75" customHeight="1">
      <c r="A34" s="9">
        <v>29</v>
      </c>
      <c r="B34" s="136">
        <v>17</v>
      </c>
      <c r="C34" s="139" t="s">
        <v>1105</v>
      </c>
      <c r="D34" s="15">
        <v>201</v>
      </c>
      <c r="E34" s="15"/>
      <c r="F34" s="15">
        <f>SUM(D34:E34)</f>
        <v>201</v>
      </c>
      <c r="G34" s="132"/>
    </row>
    <row r="35" spans="1:7" ht="16.5">
      <c r="A35" s="9">
        <v>30</v>
      </c>
      <c r="B35" s="136">
        <v>18</v>
      </c>
      <c r="C35" s="139" t="s">
        <v>520</v>
      </c>
      <c r="D35" s="262"/>
      <c r="E35" s="262"/>
      <c r="F35" s="15"/>
      <c r="G35" s="133"/>
    </row>
    <row r="36" spans="1:7" ht="17.25">
      <c r="A36" s="9">
        <v>31</v>
      </c>
      <c r="B36" s="136"/>
      <c r="C36" s="138" t="s">
        <v>404</v>
      </c>
      <c r="D36" s="288">
        <v>8.67</v>
      </c>
      <c r="E36" s="288"/>
      <c r="F36" s="15">
        <f>SUM(D36:E36)</f>
        <v>8.67</v>
      </c>
      <c r="G36" s="133"/>
    </row>
    <row r="37" spans="1:7" ht="18" thickBot="1">
      <c r="A37" s="9">
        <v>32</v>
      </c>
      <c r="B37" s="148"/>
      <c r="C37" s="152" t="s">
        <v>403</v>
      </c>
      <c r="D37" s="150">
        <v>166</v>
      </c>
      <c r="E37" s="150"/>
      <c r="F37" s="150">
        <f>SUM(D37:E37)</f>
        <v>166</v>
      </c>
      <c r="G37" s="153"/>
    </row>
    <row r="38" spans="1:7" ht="30" customHeight="1" thickBot="1" thickTop="1">
      <c r="A38" s="9">
        <v>33</v>
      </c>
      <c r="B38" s="140"/>
      <c r="C38" s="145" t="s">
        <v>3</v>
      </c>
      <c r="D38" s="146">
        <f>SUM(D33:D37)</f>
        <v>1420.44</v>
      </c>
      <c r="E38" s="146">
        <f>SUM(E33:E37)</f>
        <v>-9.75</v>
      </c>
      <c r="F38" s="146">
        <f>SUM(F33:F37)</f>
        <v>1410.69</v>
      </c>
      <c r="G38" s="147"/>
    </row>
    <row r="42" spans="3:7" ht="16.5">
      <c r="C42" s="23"/>
      <c r="D42" s="15"/>
      <c r="E42" s="15"/>
      <c r="F42" s="15"/>
      <c r="G42" s="134"/>
    </row>
    <row r="43" spans="3:7" ht="16.5">
      <c r="C43" s="24"/>
      <c r="D43" s="17"/>
      <c r="E43" s="17"/>
      <c r="F43" s="17"/>
      <c r="G43" s="134"/>
    </row>
    <row r="44" spans="3:7" ht="16.5">
      <c r="C44" s="24"/>
      <c r="D44" s="17"/>
      <c r="E44" s="17"/>
      <c r="F44" s="17"/>
      <c r="G44" s="134"/>
    </row>
    <row r="45" spans="3:7" ht="16.5">
      <c r="C45" s="24"/>
      <c r="D45" s="17"/>
      <c r="E45" s="17"/>
      <c r="F45" s="17"/>
      <c r="G45" s="134"/>
    </row>
    <row r="46" spans="3:7" ht="16.5">
      <c r="C46" s="23"/>
      <c r="D46" s="15"/>
      <c r="E46" s="15"/>
      <c r="F46" s="15"/>
      <c r="G46" s="134"/>
    </row>
    <row r="47" spans="3:7" ht="16.5">
      <c r="C47" s="23"/>
      <c r="D47" s="15"/>
      <c r="E47" s="15"/>
      <c r="F47" s="15"/>
      <c r="G47" s="134"/>
    </row>
    <row r="48" spans="3:7" ht="16.5">
      <c r="C48" s="23"/>
      <c r="D48" s="15"/>
      <c r="E48" s="15"/>
      <c r="F48" s="15"/>
      <c r="G48" s="134"/>
    </row>
    <row r="51" spans="1:7" s="16" customFormat="1" ht="17.25">
      <c r="A51" s="13"/>
      <c r="B51" s="13"/>
      <c r="C51" s="26"/>
      <c r="D51" s="18"/>
      <c r="E51" s="18"/>
      <c r="F51" s="18"/>
      <c r="G51" s="135"/>
    </row>
    <row r="53" spans="1:7" s="16" customFormat="1" ht="17.25">
      <c r="A53" s="13"/>
      <c r="B53" s="13"/>
      <c r="C53" s="26"/>
      <c r="D53" s="18"/>
      <c r="E53" s="18"/>
      <c r="F53" s="18"/>
      <c r="G53" s="135"/>
    </row>
    <row r="56" spans="1:7" s="16" customFormat="1" ht="17.25">
      <c r="A56" s="13"/>
      <c r="B56" s="13"/>
      <c r="C56" s="26"/>
      <c r="D56" s="18"/>
      <c r="E56" s="18"/>
      <c r="F56" s="18"/>
      <c r="G56" s="135"/>
    </row>
    <row r="74" spans="1:7" s="16" customFormat="1" ht="17.25">
      <c r="A74" s="13"/>
      <c r="B74" s="13"/>
      <c r="C74" s="26"/>
      <c r="D74" s="18"/>
      <c r="E74" s="18"/>
      <c r="F74" s="18"/>
      <c r="G74" s="135"/>
    </row>
    <row r="83" ht="16.5">
      <c r="D83" s="19"/>
    </row>
    <row r="84" ht="16.5">
      <c r="D84" s="19"/>
    </row>
    <row r="85" ht="16.5">
      <c r="D85" s="19"/>
    </row>
    <row r="86" ht="16.5">
      <c r="D86" s="19"/>
    </row>
    <row r="87" ht="16.5">
      <c r="D87" s="19"/>
    </row>
    <row r="88" ht="16.5">
      <c r="D88" s="19"/>
    </row>
    <row r="89" ht="16.5">
      <c r="D89" s="19"/>
    </row>
    <row r="90" ht="16.5">
      <c r="D90" s="19"/>
    </row>
  </sheetData>
  <sheetProtection/>
  <mergeCells count="3">
    <mergeCell ref="C1:D1"/>
    <mergeCell ref="C2:G2"/>
    <mergeCell ref="C3:G3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385"/>
  <sheetViews>
    <sheetView view="pageBreakPreview" zoomScale="80" zoomScaleSheetLayoutView="80" workbookViewId="0" topLeftCell="A1">
      <selection activeCell="B1" sqref="B1:J1"/>
    </sheetView>
  </sheetViews>
  <sheetFormatPr defaultColWidth="9.00390625" defaultRowHeight="12.75"/>
  <cols>
    <col min="1" max="1" width="3.75390625" style="2" customWidth="1"/>
    <col min="2" max="2" width="7.00390625" style="30" bestFit="1" customWidth="1"/>
    <col min="3" max="5" width="5.75390625" style="30" customWidth="1"/>
    <col min="6" max="6" width="56.875" style="31" customWidth="1"/>
    <col min="7" max="8" width="12.75390625" style="461" customWidth="1"/>
    <col min="9" max="9" width="12.75390625" style="57" customWidth="1"/>
    <col min="10" max="10" width="15.75390625" style="550" customWidth="1"/>
    <col min="11" max="11" width="11.75390625" style="1142" customWidth="1"/>
    <col min="12" max="12" width="13.00390625" style="1142" bestFit="1" customWidth="1"/>
    <col min="13" max="16384" width="9.125" style="31" customWidth="1"/>
  </cols>
  <sheetData>
    <row r="1" spans="2:10" ht="18">
      <c r="B1" s="1333" t="s">
        <v>797</v>
      </c>
      <c r="C1" s="1333"/>
      <c r="D1" s="1333"/>
      <c r="E1" s="1333"/>
      <c r="F1" s="1333"/>
      <c r="G1" s="1333"/>
      <c r="H1" s="1333"/>
      <c r="I1" s="1333"/>
      <c r="J1" s="1333"/>
    </row>
    <row r="2" spans="1:12" s="32" customFormat="1" ht="18" customHeight="1">
      <c r="A2" s="2"/>
      <c r="B2" s="1334" t="s">
        <v>390</v>
      </c>
      <c r="C2" s="1334"/>
      <c r="D2" s="1334"/>
      <c r="E2" s="1334"/>
      <c r="F2" s="1334"/>
      <c r="G2" s="1334"/>
      <c r="H2" s="1334"/>
      <c r="I2" s="1334"/>
      <c r="J2" s="1334"/>
      <c r="K2" s="1334"/>
      <c r="L2" s="1334"/>
    </row>
    <row r="3" spans="1:12" s="32" customFormat="1" ht="18" customHeight="1">
      <c r="A3" s="2"/>
      <c r="B3" s="1335" t="s">
        <v>1165</v>
      </c>
      <c r="C3" s="1335"/>
      <c r="D3" s="1335"/>
      <c r="E3" s="1335"/>
      <c r="F3" s="1335"/>
      <c r="G3" s="1335"/>
      <c r="H3" s="1335"/>
      <c r="I3" s="1335"/>
      <c r="J3" s="1335"/>
      <c r="K3" s="1335"/>
      <c r="L3" s="1335"/>
    </row>
    <row r="4" spans="1:12" s="32" customFormat="1" ht="18" customHeight="1">
      <c r="A4" s="2"/>
      <c r="B4" s="1337" t="s">
        <v>1164</v>
      </c>
      <c r="C4" s="1337"/>
      <c r="D4" s="1337"/>
      <c r="E4" s="1337"/>
      <c r="F4" s="1337"/>
      <c r="G4" s="1337"/>
      <c r="H4" s="1337"/>
      <c r="I4" s="1337"/>
      <c r="J4" s="1337"/>
      <c r="K4" s="1337"/>
      <c r="L4" s="1337"/>
    </row>
    <row r="5" spans="2:12" ht="16.5">
      <c r="B5" s="33"/>
      <c r="C5" s="33"/>
      <c r="D5" s="33"/>
      <c r="E5" s="33"/>
      <c r="F5" s="33"/>
      <c r="G5" s="463"/>
      <c r="H5" s="463"/>
      <c r="I5" s="303"/>
      <c r="J5" s="554"/>
      <c r="K5" s="1336" t="s">
        <v>861</v>
      </c>
      <c r="L5" s="1336"/>
    </row>
    <row r="6" spans="2:12" ht="18.75" thickBot="1">
      <c r="B6" s="34" t="s">
        <v>873</v>
      </c>
      <c r="C6" s="34" t="s">
        <v>874</v>
      </c>
      <c r="D6" s="34" t="s">
        <v>875</v>
      </c>
      <c r="E6" s="34" t="s">
        <v>876</v>
      </c>
      <c r="F6" s="34" t="s">
        <v>877</v>
      </c>
      <c r="G6" s="464" t="s">
        <v>878</v>
      </c>
      <c r="H6" s="464" t="s">
        <v>879</v>
      </c>
      <c r="I6" s="922" t="s">
        <v>518</v>
      </c>
      <c r="J6" s="539" t="s">
        <v>519</v>
      </c>
      <c r="K6" s="539" t="s">
        <v>465</v>
      </c>
      <c r="L6" s="539" t="s">
        <v>466</v>
      </c>
    </row>
    <row r="7" spans="1:23" s="36" customFormat="1" ht="57.75" thickBot="1">
      <c r="A7" s="125"/>
      <c r="B7" s="87" t="s">
        <v>391</v>
      </c>
      <c r="C7" s="88" t="s">
        <v>1184</v>
      </c>
      <c r="D7" s="29" t="s">
        <v>537</v>
      </c>
      <c r="E7" s="29" t="s">
        <v>538</v>
      </c>
      <c r="F7" s="465" t="s">
        <v>862</v>
      </c>
      <c r="G7" s="126" t="s">
        <v>928</v>
      </c>
      <c r="H7" s="126" t="s">
        <v>929</v>
      </c>
      <c r="I7" s="923" t="s">
        <v>585</v>
      </c>
      <c r="J7" s="881" t="s">
        <v>1008</v>
      </c>
      <c r="K7" s="540" t="s">
        <v>480</v>
      </c>
      <c r="L7" s="541" t="s">
        <v>1087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38" customFormat="1" ht="25.5" customHeight="1">
      <c r="A8" s="1">
        <v>1</v>
      </c>
      <c r="B8" s="289"/>
      <c r="C8" s="120"/>
      <c r="D8" s="121">
        <v>1</v>
      </c>
      <c r="E8" s="121"/>
      <c r="F8" s="122" t="s">
        <v>502</v>
      </c>
      <c r="G8" s="217">
        <f aca="true" t="shared" si="0" ref="G8:L8">SUM(G9,G18,G32,G37,G38,G17,G36)</f>
        <v>14952917</v>
      </c>
      <c r="H8" s="217">
        <f t="shared" si="0"/>
        <v>10346289</v>
      </c>
      <c r="I8" s="924">
        <f t="shared" si="0"/>
        <v>11976121</v>
      </c>
      <c r="J8" s="882">
        <f t="shared" si="0"/>
        <v>10513484</v>
      </c>
      <c r="K8" s="217">
        <f t="shared" si="0"/>
        <v>263310</v>
      </c>
      <c r="L8" s="1299">
        <f t="shared" si="0"/>
        <v>10776794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s="38" customFormat="1" ht="36" customHeight="1">
      <c r="A9" s="1">
        <v>2</v>
      </c>
      <c r="B9" s="290">
        <v>18</v>
      </c>
      <c r="C9" s="119"/>
      <c r="D9" s="123"/>
      <c r="E9" s="123">
        <v>1</v>
      </c>
      <c r="F9" s="119" t="s">
        <v>507</v>
      </c>
      <c r="G9" s="124">
        <f aca="true" t="shared" si="1" ref="G9:L9">SUM(G10,G14:G15)</f>
        <v>6651983</v>
      </c>
      <c r="H9" s="124">
        <f t="shared" si="1"/>
        <v>3165117</v>
      </c>
      <c r="I9" s="925">
        <f t="shared" si="1"/>
        <v>4667298</v>
      </c>
      <c r="J9" s="883">
        <f t="shared" si="1"/>
        <v>3507784</v>
      </c>
      <c r="K9" s="542">
        <f t="shared" si="1"/>
        <v>225142</v>
      </c>
      <c r="L9" s="543">
        <f t="shared" si="1"/>
        <v>3732926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12" s="42" customFormat="1" ht="18">
      <c r="A10" s="125">
        <v>3</v>
      </c>
      <c r="B10" s="39"/>
      <c r="C10" s="40"/>
      <c r="D10" s="33"/>
      <c r="E10" s="33"/>
      <c r="F10" s="248" t="s">
        <v>417</v>
      </c>
      <c r="G10" s="41">
        <f aca="true" t="shared" si="2" ref="G10:L10">SUM(G11:G13)</f>
        <v>6259231</v>
      </c>
      <c r="H10" s="41">
        <f t="shared" si="2"/>
        <v>2162435</v>
      </c>
      <c r="I10" s="8">
        <f t="shared" si="2"/>
        <v>4361695</v>
      </c>
      <c r="J10" s="884">
        <f t="shared" si="2"/>
        <v>3009851</v>
      </c>
      <c r="K10" s="544">
        <f t="shared" si="2"/>
        <v>23990</v>
      </c>
      <c r="L10" s="545">
        <f t="shared" si="2"/>
        <v>3033841</v>
      </c>
    </row>
    <row r="11" spans="1:12" ht="33.75">
      <c r="A11" s="125">
        <v>4</v>
      </c>
      <c r="B11" s="43"/>
      <c r="C11" s="44"/>
      <c r="D11" s="44"/>
      <c r="E11" s="44"/>
      <c r="F11" s="51" t="s">
        <v>569</v>
      </c>
      <c r="G11" s="459">
        <v>3946911</v>
      </c>
      <c r="H11" s="459">
        <v>2162435</v>
      </c>
      <c r="I11" s="46">
        <v>2618843</v>
      </c>
      <c r="J11" s="885">
        <v>2963093</v>
      </c>
      <c r="K11" s="1143"/>
      <c r="L11" s="546">
        <f aca="true" t="shared" si="3" ref="L11:L17">SUM(J11:K11)</f>
        <v>2963093</v>
      </c>
    </row>
    <row r="12" spans="1:12" ht="18">
      <c r="A12" s="125">
        <v>5</v>
      </c>
      <c r="B12" s="45"/>
      <c r="C12" s="44"/>
      <c r="D12" s="44"/>
      <c r="E12" s="44"/>
      <c r="F12" s="51" t="s">
        <v>409</v>
      </c>
      <c r="G12" s="459">
        <v>562320</v>
      </c>
      <c r="H12" s="459">
        <v>0</v>
      </c>
      <c r="I12" s="46">
        <v>242852</v>
      </c>
      <c r="J12" s="885">
        <v>46758</v>
      </c>
      <c r="K12" s="1143">
        <v>23990</v>
      </c>
      <c r="L12" s="546">
        <f t="shared" si="3"/>
        <v>70748</v>
      </c>
    </row>
    <row r="13" spans="1:12" ht="18">
      <c r="A13" s="125">
        <v>6</v>
      </c>
      <c r="B13" s="45"/>
      <c r="C13" s="44"/>
      <c r="D13" s="44"/>
      <c r="E13" s="44"/>
      <c r="F13" s="51" t="s">
        <v>414</v>
      </c>
      <c r="G13" s="459">
        <v>1750000</v>
      </c>
      <c r="H13" s="459"/>
      <c r="I13" s="46">
        <v>1500000</v>
      </c>
      <c r="J13" s="885"/>
      <c r="K13" s="1143"/>
      <c r="L13" s="546">
        <f t="shared" si="3"/>
        <v>0</v>
      </c>
    </row>
    <row r="14" spans="1:12" s="42" customFormat="1" ht="34.5">
      <c r="A14" s="125">
        <v>7</v>
      </c>
      <c r="B14" s="39"/>
      <c r="C14" s="47"/>
      <c r="D14" s="44"/>
      <c r="E14" s="44"/>
      <c r="F14" s="249" t="s">
        <v>415</v>
      </c>
      <c r="G14" s="46">
        <v>3684</v>
      </c>
      <c r="H14" s="8"/>
      <c r="I14" s="8"/>
      <c r="J14" s="886"/>
      <c r="K14" s="544"/>
      <c r="L14" s="546">
        <f t="shared" si="3"/>
        <v>0</v>
      </c>
    </row>
    <row r="15" spans="1:12" s="42" customFormat="1" ht="18">
      <c r="A15" s="125">
        <v>8</v>
      </c>
      <c r="B15" s="39"/>
      <c r="C15" s="47"/>
      <c r="D15" s="44"/>
      <c r="E15" s="44"/>
      <c r="F15" s="249" t="s">
        <v>416</v>
      </c>
      <c r="G15" s="41">
        <f>225761+163307</f>
        <v>389068</v>
      </c>
      <c r="H15" s="41">
        <f>839566+163116</f>
        <v>1002682</v>
      </c>
      <c r="I15" s="8">
        <v>305603</v>
      </c>
      <c r="J15" s="886">
        <v>497933</v>
      </c>
      <c r="K15" s="544">
        <v>201152</v>
      </c>
      <c r="L15" s="545">
        <f t="shared" si="3"/>
        <v>699085</v>
      </c>
    </row>
    <row r="16" spans="1:12" ht="18">
      <c r="A16" s="125">
        <v>9</v>
      </c>
      <c r="B16" s="45"/>
      <c r="C16" s="44"/>
      <c r="D16" s="44"/>
      <c r="E16" s="44"/>
      <c r="F16" s="51" t="s">
        <v>903</v>
      </c>
      <c r="G16" s="459">
        <v>163307</v>
      </c>
      <c r="H16" s="459">
        <v>163116</v>
      </c>
      <c r="I16" s="46">
        <v>180166</v>
      </c>
      <c r="J16" s="885">
        <v>143683</v>
      </c>
      <c r="K16" s="1143"/>
      <c r="L16" s="546">
        <f t="shared" si="3"/>
        <v>143683</v>
      </c>
    </row>
    <row r="17" spans="1:12" ht="42" customHeight="1">
      <c r="A17" s="103">
        <v>10</v>
      </c>
      <c r="B17" s="292" t="s">
        <v>8</v>
      </c>
      <c r="C17" s="44"/>
      <c r="D17" s="44"/>
      <c r="E17" s="85">
        <v>2</v>
      </c>
      <c r="F17" s="119" t="s">
        <v>850</v>
      </c>
      <c r="G17" s="218">
        <v>133698</v>
      </c>
      <c r="H17" s="218">
        <v>186114</v>
      </c>
      <c r="I17" s="218">
        <v>164408</v>
      </c>
      <c r="J17" s="886">
        <v>115009</v>
      </c>
      <c r="K17" s="1143">
        <v>24994</v>
      </c>
      <c r="L17" s="545">
        <f t="shared" si="3"/>
        <v>140003</v>
      </c>
    </row>
    <row r="18" spans="1:12" s="102" customFormat="1" ht="36" customHeight="1">
      <c r="A18" s="1">
        <v>11</v>
      </c>
      <c r="B18" s="45">
        <v>18</v>
      </c>
      <c r="C18" s="40"/>
      <c r="D18" s="33"/>
      <c r="E18" s="33">
        <v>3</v>
      </c>
      <c r="F18" s="100" t="s">
        <v>540</v>
      </c>
      <c r="G18" s="219">
        <f aca="true" t="shared" si="4" ref="G18:L18">SUM(G19,G27:G31)</f>
        <v>6672810</v>
      </c>
      <c r="H18" s="219">
        <f t="shared" si="4"/>
        <v>5527500</v>
      </c>
      <c r="I18" s="220">
        <f t="shared" si="4"/>
        <v>5488153</v>
      </c>
      <c r="J18" s="887">
        <f t="shared" si="4"/>
        <v>5485000</v>
      </c>
      <c r="K18" s="219">
        <f t="shared" si="4"/>
        <v>0</v>
      </c>
      <c r="L18" s="221">
        <f t="shared" si="4"/>
        <v>5485000</v>
      </c>
    </row>
    <row r="19" spans="1:12" s="42" customFormat="1" ht="18">
      <c r="A19" s="125">
        <v>12</v>
      </c>
      <c r="B19" s="39"/>
      <c r="C19" s="40"/>
      <c r="D19" s="33"/>
      <c r="E19" s="33"/>
      <c r="F19" s="249" t="s">
        <v>509</v>
      </c>
      <c r="G19" s="41">
        <f aca="true" t="shared" si="5" ref="G19:L19">SUM(G20:G26)</f>
        <v>5489609</v>
      </c>
      <c r="H19" s="41">
        <f t="shared" si="5"/>
        <v>5470000</v>
      </c>
      <c r="I19" s="8">
        <f t="shared" si="5"/>
        <v>5470662</v>
      </c>
      <c r="J19" s="884">
        <f t="shared" si="5"/>
        <v>5465000</v>
      </c>
      <c r="K19" s="544">
        <f t="shared" si="5"/>
        <v>0</v>
      </c>
      <c r="L19" s="545">
        <f t="shared" si="5"/>
        <v>5465000</v>
      </c>
    </row>
    <row r="20" spans="1:12" ht="18">
      <c r="A20" s="125">
        <v>13</v>
      </c>
      <c r="B20" s="45"/>
      <c r="C20" s="33"/>
      <c r="D20" s="33"/>
      <c r="E20" s="33"/>
      <c r="F20" s="51" t="s">
        <v>570</v>
      </c>
      <c r="G20" s="459">
        <v>1100922</v>
      </c>
      <c r="H20" s="459">
        <v>1100000</v>
      </c>
      <c r="I20" s="46">
        <v>1127194</v>
      </c>
      <c r="J20" s="885">
        <v>1130000</v>
      </c>
      <c r="K20" s="1143"/>
      <c r="L20" s="546">
        <f aca="true" t="shared" si="6" ref="L20:L38">SUM(J20:K20)</f>
        <v>1130000</v>
      </c>
    </row>
    <row r="21" spans="1:12" ht="18">
      <c r="A21" s="125">
        <v>14</v>
      </c>
      <c r="B21" s="45"/>
      <c r="C21" s="33"/>
      <c r="D21" s="33"/>
      <c r="E21" s="33"/>
      <c r="F21" s="51" t="s">
        <v>571</v>
      </c>
      <c r="G21" s="459">
        <v>30835</v>
      </c>
      <c r="H21" s="459">
        <v>30000</v>
      </c>
      <c r="I21" s="46">
        <v>32272</v>
      </c>
      <c r="J21" s="885">
        <v>35000</v>
      </c>
      <c r="K21" s="1143"/>
      <c r="L21" s="546">
        <f t="shared" si="6"/>
        <v>35000</v>
      </c>
    </row>
    <row r="22" spans="1:12" ht="18">
      <c r="A22" s="125">
        <v>15</v>
      </c>
      <c r="B22" s="45"/>
      <c r="C22" s="33"/>
      <c r="D22" s="33"/>
      <c r="E22" s="33"/>
      <c r="F22" s="51" t="s">
        <v>572</v>
      </c>
      <c r="G22" s="459">
        <v>139082</v>
      </c>
      <c r="H22" s="459">
        <v>140000</v>
      </c>
      <c r="I22" s="46">
        <v>142370</v>
      </c>
      <c r="J22" s="885">
        <v>140000</v>
      </c>
      <c r="K22" s="1143"/>
      <c r="L22" s="546">
        <f t="shared" si="6"/>
        <v>140000</v>
      </c>
    </row>
    <row r="23" spans="1:12" ht="18">
      <c r="A23" s="125">
        <v>16</v>
      </c>
      <c r="B23" s="45"/>
      <c r="C23" s="33"/>
      <c r="D23" s="33"/>
      <c r="E23" s="33"/>
      <c r="F23" s="51" t="s">
        <v>573</v>
      </c>
      <c r="G23" s="459">
        <v>128451</v>
      </c>
      <c r="H23" s="459">
        <v>150000</v>
      </c>
      <c r="I23" s="46">
        <v>137270</v>
      </c>
      <c r="J23" s="885">
        <v>135000</v>
      </c>
      <c r="K23" s="1143"/>
      <c r="L23" s="546">
        <f t="shared" si="6"/>
        <v>135000</v>
      </c>
    </row>
    <row r="24" spans="1:12" ht="18">
      <c r="A24" s="125">
        <v>17</v>
      </c>
      <c r="B24" s="45"/>
      <c r="C24" s="33"/>
      <c r="D24" s="33"/>
      <c r="E24" s="33"/>
      <c r="F24" s="51" t="s">
        <v>564</v>
      </c>
      <c r="G24" s="459">
        <v>3575700</v>
      </c>
      <c r="H24" s="459">
        <v>3800000</v>
      </c>
      <c r="I24" s="46">
        <v>3789124</v>
      </c>
      <c r="J24" s="885">
        <v>3800000</v>
      </c>
      <c r="K24" s="1143"/>
      <c r="L24" s="546">
        <f t="shared" si="6"/>
        <v>3800000</v>
      </c>
    </row>
    <row r="25" spans="1:12" ht="18">
      <c r="A25" s="125">
        <v>18</v>
      </c>
      <c r="B25" s="45"/>
      <c r="C25" s="33"/>
      <c r="D25" s="33"/>
      <c r="E25" s="33"/>
      <c r="F25" s="51" t="s">
        <v>395</v>
      </c>
      <c r="G25" s="459">
        <v>476400</v>
      </c>
      <c r="H25" s="459">
        <v>210000</v>
      </c>
      <c r="I25" s="46">
        <v>188896</v>
      </c>
      <c r="J25" s="885">
        <v>190000</v>
      </c>
      <c r="K25" s="1143"/>
      <c r="L25" s="546">
        <f t="shared" si="6"/>
        <v>190000</v>
      </c>
    </row>
    <row r="26" spans="1:12" ht="18">
      <c r="A26" s="125">
        <v>19</v>
      </c>
      <c r="B26" s="45"/>
      <c r="C26" s="33"/>
      <c r="D26" s="33"/>
      <c r="E26" s="33"/>
      <c r="F26" s="51" t="s">
        <v>574</v>
      </c>
      <c r="G26" s="459">
        <v>38219</v>
      </c>
      <c r="H26" s="459">
        <v>40000</v>
      </c>
      <c r="I26" s="46">
        <v>53536</v>
      </c>
      <c r="J26" s="885">
        <v>35000</v>
      </c>
      <c r="K26" s="1143"/>
      <c r="L26" s="546">
        <f t="shared" si="6"/>
        <v>35000</v>
      </c>
    </row>
    <row r="27" spans="1:12" s="42" customFormat="1" ht="18">
      <c r="A27" s="125">
        <v>20</v>
      </c>
      <c r="B27" s="39"/>
      <c r="C27" s="40"/>
      <c r="D27" s="33"/>
      <c r="E27" s="33"/>
      <c r="F27" s="249" t="s">
        <v>396</v>
      </c>
      <c r="G27" s="41">
        <v>227911</v>
      </c>
      <c r="H27" s="41">
        <v>0</v>
      </c>
      <c r="I27" s="8">
        <v>0</v>
      </c>
      <c r="J27" s="886"/>
      <c r="K27" s="544"/>
      <c r="L27" s="545">
        <f t="shared" si="6"/>
        <v>0</v>
      </c>
    </row>
    <row r="28" spans="1:12" s="42" customFormat="1" ht="34.5">
      <c r="A28" s="125">
        <v>21</v>
      </c>
      <c r="B28" s="39"/>
      <c r="C28" s="40"/>
      <c r="D28" s="33"/>
      <c r="E28" s="33"/>
      <c r="F28" s="249" t="s">
        <v>857</v>
      </c>
      <c r="G28" s="41">
        <v>42134</v>
      </c>
      <c r="H28" s="41">
        <v>30000</v>
      </c>
      <c r="I28" s="8">
        <v>17491</v>
      </c>
      <c r="J28" s="886">
        <v>20000</v>
      </c>
      <c r="K28" s="544"/>
      <c r="L28" s="545">
        <f t="shared" si="6"/>
        <v>20000</v>
      </c>
    </row>
    <row r="29" spans="1:12" ht="18">
      <c r="A29" s="125">
        <v>22</v>
      </c>
      <c r="B29" s="45"/>
      <c r="C29" s="33"/>
      <c r="D29" s="33"/>
      <c r="E29" s="33"/>
      <c r="F29" s="51" t="s">
        <v>575</v>
      </c>
      <c r="G29" s="459">
        <v>885768</v>
      </c>
      <c r="H29" s="459"/>
      <c r="I29" s="46"/>
      <c r="J29" s="885"/>
      <c r="K29" s="1143"/>
      <c r="L29" s="546">
        <f t="shared" si="6"/>
        <v>0</v>
      </c>
    </row>
    <row r="30" spans="1:12" ht="18">
      <c r="A30" s="125">
        <v>23</v>
      </c>
      <c r="B30" s="45"/>
      <c r="C30" s="33"/>
      <c r="D30" s="33"/>
      <c r="E30" s="33"/>
      <c r="F30" s="51" t="s">
        <v>576</v>
      </c>
      <c r="G30" s="459">
        <v>27353</v>
      </c>
      <c r="H30" s="459">
        <v>27500</v>
      </c>
      <c r="I30" s="46"/>
      <c r="J30" s="885"/>
      <c r="K30" s="1143"/>
      <c r="L30" s="546">
        <f t="shared" si="6"/>
        <v>0</v>
      </c>
    </row>
    <row r="31" spans="1:12" ht="18">
      <c r="A31" s="125">
        <v>24</v>
      </c>
      <c r="B31" s="45"/>
      <c r="C31" s="33"/>
      <c r="D31" s="33"/>
      <c r="E31" s="33"/>
      <c r="F31" s="51" t="s">
        <v>851</v>
      </c>
      <c r="G31" s="459">
        <v>35</v>
      </c>
      <c r="H31" s="459"/>
      <c r="I31" s="46"/>
      <c r="J31" s="885"/>
      <c r="K31" s="1143"/>
      <c r="L31" s="546">
        <f t="shared" si="6"/>
        <v>0</v>
      </c>
    </row>
    <row r="32" spans="1:12" s="102" customFormat="1" ht="36" customHeight="1">
      <c r="A32" s="1">
        <v>25</v>
      </c>
      <c r="B32" s="45">
        <v>18</v>
      </c>
      <c r="C32" s="40"/>
      <c r="D32" s="33"/>
      <c r="E32" s="33">
        <v>4</v>
      </c>
      <c r="F32" s="100" t="s">
        <v>907</v>
      </c>
      <c r="G32" s="219">
        <v>294439</v>
      </c>
      <c r="H32" s="219">
        <v>671800</v>
      </c>
      <c r="I32" s="220">
        <v>506309</v>
      </c>
      <c r="J32" s="887">
        <v>426096</v>
      </c>
      <c r="K32" s="219">
        <v>1999</v>
      </c>
      <c r="L32" s="221">
        <f>SUM(J32:K32)</f>
        <v>428095</v>
      </c>
    </row>
    <row r="33" spans="1:12" ht="18">
      <c r="A33" s="125">
        <v>26</v>
      </c>
      <c r="B33" s="45"/>
      <c r="C33" s="33"/>
      <c r="D33" s="33"/>
      <c r="E33" s="33"/>
      <c r="F33" s="51" t="s">
        <v>858</v>
      </c>
      <c r="G33" s="459">
        <v>160553</v>
      </c>
      <c r="H33" s="459">
        <v>436000</v>
      </c>
      <c r="I33" s="46">
        <v>354114</v>
      </c>
      <c r="J33" s="885">
        <v>251050</v>
      </c>
      <c r="K33" s="1143">
        <v>1999</v>
      </c>
      <c r="L33" s="546">
        <f t="shared" si="6"/>
        <v>253049</v>
      </c>
    </row>
    <row r="34" spans="1:12" ht="18">
      <c r="A34" s="125">
        <v>27</v>
      </c>
      <c r="B34" s="45"/>
      <c r="C34" s="33"/>
      <c r="D34" s="33"/>
      <c r="E34" s="33"/>
      <c r="F34" s="51" t="s">
        <v>859</v>
      </c>
      <c r="G34" s="459">
        <v>28630</v>
      </c>
      <c r="H34" s="459">
        <v>40000</v>
      </c>
      <c r="I34" s="46">
        <v>25037</v>
      </c>
      <c r="J34" s="885">
        <v>35000</v>
      </c>
      <c r="K34" s="1143"/>
      <c r="L34" s="546">
        <f t="shared" si="6"/>
        <v>35000</v>
      </c>
    </row>
    <row r="35" spans="1:12" ht="18">
      <c r="A35" s="125">
        <v>28</v>
      </c>
      <c r="B35" s="45"/>
      <c r="C35" s="33"/>
      <c r="D35" s="33"/>
      <c r="E35" s="33"/>
      <c r="F35" s="51" t="s">
        <v>72</v>
      </c>
      <c r="G35" s="459">
        <v>99512</v>
      </c>
      <c r="H35" s="459">
        <v>195800</v>
      </c>
      <c r="I35" s="46">
        <v>123672</v>
      </c>
      <c r="J35" s="885">
        <v>67500</v>
      </c>
      <c r="K35" s="1143"/>
      <c r="L35" s="546">
        <f t="shared" si="6"/>
        <v>67500</v>
      </c>
    </row>
    <row r="36" spans="1:12" s="102" customFormat="1" ht="36" customHeight="1">
      <c r="A36" s="1">
        <v>29</v>
      </c>
      <c r="B36" s="49" t="s">
        <v>8</v>
      </c>
      <c r="C36" s="40"/>
      <c r="D36" s="33"/>
      <c r="E36" s="33">
        <v>5</v>
      </c>
      <c r="F36" s="100" t="s">
        <v>852</v>
      </c>
      <c r="G36" s="219">
        <v>1048783</v>
      </c>
      <c r="H36" s="219">
        <v>795758</v>
      </c>
      <c r="I36" s="220">
        <v>1033576</v>
      </c>
      <c r="J36" s="887">
        <v>899595</v>
      </c>
      <c r="K36" s="219">
        <v>11175</v>
      </c>
      <c r="L36" s="545">
        <f t="shared" si="6"/>
        <v>910770</v>
      </c>
    </row>
    <row r="37" spans="1:12" s="102" customFormat="1" ht="36" customHeight="1">
      <c r="A37" s="1">
        <v>30</v>
      </c>
      <c r="B37" s="45">
        <v>18</v>
      </c>
      <c r="C37" s="40"/>
      <c r="D37" s="33"/>
      <c r="E37" s="33">
        <v>6</v>
      </c>
      <c r="F37" s="100" t="s">
        <v>924</v>
      </c>
      <c r="G37" s="219">
        <v>4145</v>
      </c>
      <c r="H37" s="219"/>
      <c r="I37" s="220">
        <v>2914</v>
      </c>
      <c r="J37" s="887"/>
      <c r="K37" s="219"/>
      <c r="L37" s="545">
        <f t="shared" si="6"/>
        <v>0</v>
      </c>
    </row>
    <row r="38" spans="1:12" s="42" customFormat="1" ht="34.5">
      <c r="A38" s="125">
        <v>31</v>
      </c>
      <c r="B38" s="294" t="s">
        <v>8</v>
      </c>
      <c r="C38" s="258"/>
      <c r="D38" s="258"/>
      <c r="E38" s="259">
        <v>7</v>
      </c>
      <c r="F38" s="260" t="s">
        <v>856</v>
      </c>
      <c r="G38" s="261">
        <v>147059</v>
      </c>
      <c r="H38" s="261"/>
      <c r="I38" s="261">
        <v>113463</v>
      </c>
      <c r="J38" s="888">
        <v>80000</v>
      </c>
      <c r="K38" s="1144"/>
      <c r="L38" s="547">
        <f t="shared" si="6"/>
        <v>80000</v>
      </c>
    </row>
    <row r="39" spans="1:23" s="38" customFormat="1" ht="36" customHeight="1">
      <c r="A39" s="1">
        <v>32</v>
      </c>
      <c r="B39" s="291"/>
      <c r="C39" s="253"/>
      <c r="D39" s="254">
        <v>2</v>
      </c>
      <c r="E39" s="254"/>
      <c r="F39" s="222" t="s">
        <v>503</v>
      </c>
      <c r="G39" s="255">
        <f aca="true" t="shared" si="7" ref="G39:L39">SUM(G40,G46,G52:G53)</f>
        <v>1277415</v>
      </c>
      <c r="H39" s="255">
        <f t="shared" si="7"/>
        <v>1610752</v>
      </c>
      <c r="I39" s="926">
        <f t="shared" si="7"/>
        <v>1861642</v>
      </c>
      <c r="J39" s="889">
        <f t="shared" si="7"/>
        <v>6190156</v>
      </c>
      <c r="K39" s="255">
        <f t="shared" si="7"/>
        <v>1155905</v>
      </c>
      <c r="L39" s="256">
        <f t="shared" si="7"/>
        <v>7346061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12" s="102" customFormat="1" ht="30" customHeight="1">
      <c r="A40" s="1">
        <v>33</v>
      </c>
      <c r="B40" s="45"/>
      <c r="C40" s="40"/>
      <c r="D40" s="33"/>
      <c r="E40" s="33">
        <v>1</v>
      </c>
      <c r="F40" s="100" t="s">
        <v>508</v>
      </c>
      <c r="G40" s="219">
        <f aca="true" t="shared" si="8" ref="G40:L40">SUM(G41,G44:G45)</f>
        <v>513139</v>
      </c>
      <c r="H40" s="219">
        <f t="shared" si="8"/>
        <v>1008752</v>
      </c>
      <c r="I40" s="220">
        <f t="shared" si="8"/>
        <v>1732283</v>
      </c>
      <c r="J40" s="890">
        <f t="shared" si="8"/>
        <v>5640156</v>
      </c>
      <c r="K40" s="220">
        <f t="shared" si="8"/>
        <v>1155905</v>
      </c>
      <c r="L40" s="230">
        <f t="shared" si="8"/>
        <v>6796061</v>
      </c>
    </row>
    <row r="41" spans="1:12" s="42" customFormat="1" ht="18">
      <c r="A41" s="125">
        <v>34</v>
      </c>
      <c r="B41" s="45">
        <v>18</v>
      </c>
      <c r="C41" s="40"/>
      <c r="D41" s="33"/>
      <c r="E41" s="33"/>
      <c r="F41" s="249" t="s">
        <v>418</v>
      </c>
      <c r="G41" s="41">
        <f aca="true" t="shared" si="9" ref="G41:L41">SUM(G42:G43)</f>
        <v>1692</v>
      </c>
      <c r="H41" s="41">
        <f t="shared" si="9"/>
        <v>0</v>
      </c>
      <c r="I41" s="8">
        <f t="shared" si="9"/>
        <v>341018</v>
      </c>
      <c r="J41" s="884">
        <f t="shared" si="9"/>
        <v>1733964</v>
      </c>
      <c r="K41" s="544">
        <f t="shared" si="9"/>
        <v>1155905</v>
      </c>
      <c r="L41" s="545">
        <f t="shared" si="9"/>
        <v>2889869</v>
      </c>
    </row>
    <row r="42" spans="1:12" ht="18">
      <c r="A42" s="125">
        <v>35</v>
      </c>
      <c r="B42" s="45"/>
      <c r="C42" s="44"/>
      <c r="D42" s="44"/>
      <c r="E42" s="44"/>
      <c r="F42" s="51" t="s">
        <v>539</v>
      </c>
      <c r="G42" s="46">
        <v>1692</v>
      </c>
      <c r="H42" s="46">
        <v>0</v>
      </c>
      <c r="I42" s="46">
        <v>7800</v>
      </c>
      <c r="J42" s="885"/>
      <c r="K42" s="1143"/>
      <c r="L42" s="546">
        <f>SUM(J42:K42)</f>
        <v>0</v>
      </c>
    </row>
    <row r="43" spans="1:12" ht="33.75">
      <c r="A43" s="125">
        <v>36</v>
      </c>
      <c r="B43" s="45"/>
      <c r="C43" s="44"/>
      <c r="D43" s="44"/>
      <c r="E43" s="44"/>
      <c r="F43" s="51" t="s">
        <v>843</v>
      </c>
      <c r="G43" s="46"/>
      <c r="H43" s="46"/>
      <c r="I43" s="46">
        <v>333218</v>
      </c>
      <c r="J43" s="885">
        <v>1733964</v>
      </c>
      <c r="K43" s="1143">
        <v>1155905</v>
      </c>
      <c r="L43" s="546">
        <f>SUM(J43:K43)</f>
        <v>2889869</v>
      </c>
    </row>
    <row r="44" spans="1:12" s="42" customFormat="1" ht="18">
      <c r="A44" s="125">
        <v>37</v>
      </c>
      <c r="B44" s="45">
        <v>18</v>
      </c>
      <c r="C44" s="47"/>
      <c r="D44" s="44"/>
      <c r="E44" s="44"/>
      <c r="F44" s="249" t="s">
        <v>419</v>
      </c>
      <c r="G44" s="8">
        <v>511447</v>
      </c>
      <c r="H44" s="8">
        <v>994752</v>
      </c>
      <c r="I44" s="8">
        <v>1376765</v>
      </c>
      <c r="J44" s="886">
        <v>3906192</v>
      </c>
      <c r="K44" s="544"/>
      <c r="L44" s="545">
        <f>SUM(J44:K44)</f>
        <v>3906192</v>
      </c>
    </row>
    <row r="45" spans="1:12" s="42" customFormat="1" ht="34.5">
      <c r="A45" s="125">
        <v>38</v>
      </c>
      <c r="B45" s="294" t="s">
        <v>8</v>
      </c>
      <c r="C45" s="47"/>
      <c r="D45" s="47"/>
      <c r="E45" s="44"/>
      <c r="F45" s="249" t="s">
        <v>855</v>
      </c>
      <c r="G45" s="8"/>
      <c r="H45" s="8">
        <v>14000</v>
      </c>
      <c r="I45" s="8">
        <v>14500</v>
      </c>
      <c r="J45" s="886"/>
      <c r="K45" s="544"/>
      <c r="L45" s="546">
        <f>SUM(J45:K45)</f>
        <v>0</v>
      </c>
    </row>
    <row r="46" spans="1:12" s="102" customFormat="1" ht="30" customHeight="1">
      <c r="A46" s="1">
        <v>39</v>
      </c>
      <c r="B46" s="45">
        <v>18</v>
      </c>
      <c r="C46" s="40"/>
      <c r="D46" s="33"/>
      <c r="E46" s="33">
        <v>2</v>
      </c>
      <c r="F46" s="100" t="s">
        <v>920</v>
      </c>
      <c r="G46" s="219">
        <f aca="true" t="shared" si="10" ref="G46:L46">SUM(G47:G51)</f>
        <v>736660</v>
      </c>
      <c r="H46" s="219">
        <f t="shared" si="10"/>
        <v>602000</v>
      </c>
      <c r="I46" s="220">
        <f t="shared" si="10"/>
        <v>99046</v>
      </c>
      <c r="J46" s="887">
        <f t="shared" si="10"/>
        <v>550000</v>
      </c>
      <c r="K46" s="219">
        <f t="shared" si="10"/>
        <v>0</v>
      </c>
      <c r="L46" s="221">
        <f t="shared" si="10"/>
        <v>550000</v>
      </c>
    </row>
    <row r="47" spans="1:12" ht="18">
      <c r="A47" s="125">
        <v>40</v>
      </c>
      <c r="B47" s="45"/>
      <c r="C47" s="33"/>
      <c r="D47" s="33"/>
      <c r="E47" s="33"/>
      <c r="F47" s="51" t="s">
        <v>849</v>
      </c>
      <c r="G47" s="459">
        <v>667683</v>
      </c>
      <c r="H47" s="459">
        <v>550000</v>
      </c>
      <c r="I47" s="46">
        <v>94021</v>
      </c>
      <c r="J47" s="885">
        <v>550000</v>
      </c>
      <c r="K47" s="1143"/>
      <c r="L47" s="546">
        <f aca="true" t="shared" si="11" ref="L47:L53">SUM(J47:K47)</f>
        <v>550000</v>
      </c>
    </row>
    <row r="48" spans="1:12" ht="18">
      <c r="A48" s="125">
        <v>41</v>
      </c>
      <c r="B48" s="45"/>
      <c r="C48" s="33"/>
      <c r="D48" s="33"/>
      <c r="E48" s="33"/>
      <c r="F48" s="51" t="s">
        <v>921</v>
      </c>
      <c r="G48" s="459">
        <v>18100</v>
      </c>
      <c r="H48" s="459"/>
      <c r="I48" s="46"/>
      <c r="J48" s="885"/>
      <c r="K48" s="1143"/>
      <c r="L48" s="546">
        <f t="shared" si="11"/>
        <v>0</v>
      </c>
    </row>
    <row r="49" spans="1:12" ht="18">
      <c r="A49" s="125">
        <v>42</v>
      </c>
      <c r="B49" s="45"/>
      <c r="C49" s="33"/>
      <c r="D49" s="33"/>
      <c r="E49" s="33"/>
      <c r="F49" s="51" t="s">
        <v>922</v>
      </c>
      <c r="G49" s="459">
        <v>115</v>
      </c>
      <c r="H49" s="459"/>
      <c r="I49" s="46"/>
      <c r="J49" s="885"/>
      <c r="K49" s="1143"/>
      <c r="L49" s="546">
        <f t="shared" si="11"/>
        <v>0</v>
      </c>
    </row>
    <row r="50" spans="1:12" ht="18">
      <c r="A50" s="125">
        <v>43</v>
      </c>
      <c r="B50" s="45"/>
      <c r="C50" s="33"/>
      <c r="D50" s="33"/>
      <c r="E50" s="33"/>
      <c r="F50" s="51" t="s">
        <v>923</v>
      </c>
      <c r="G50" s="459">
        <v>42019</v>
      </c>
      <c r="H50" s="459">
        <v>52000</v>
      </c>
      <c r="I50" s="46"/>
      <c r="J50" s="885"/>
      <c r="K50" s="1143"/>
      <c r="L50" s="546">
        <f t="shared" si="11"/>
        <v>0</v>
      </c>
    </row>
    <row r="51" spans="1:12" ht="18">
      <c r="A51" s="125">
        <v>44</v>
      </c>
      <c r="B51" s="45"/>
      <c r="C51" s="33"/>
      <c r="D51" s="33"/>
      <c r="E51" s="33"/>
      <c r="F51" s="51" t="s">
        <v>854</v>
      </c>
      <c r="G51" s="46">
        <v>8743</v>
      </c>
      <c r="H51" s="459"/>
      <c r="I51" s="46">
        <v>5025</v>
      </c>
      <c r="J51" s="885"/>
      <c r="K51" s="1143"/>
      <c r="L51" s="546">
        <f t="shared" si="11"/>
        <v>0</v>
      </c>
    </row>
    <row r="52" spans="1:12" s="102" customFormat="1" ht="30" customHeight="1">
      <c r="A52" s="1">
        <v>45</v>
      </c>
      <c r="B52" s="45">
        <v>18</v>
      </c>
      <c r="C52" s="40"/>
      <c r="D52" s="33"/>
      <c r="E52" s="33">
        <v>3</v>
      </c>
      <c r="F52" s="100" t="s">
        <v>925</v>
      </c>
      <c r="G52" s="101">
        <v>27466</v>
      </c>
      <c r="H52" s="101"/>
      <c r="I52" s="215">
        <f>28273+2040</f>
        <v>30313</v>
      </c>
      <c r="J52" s="887"/>
      <c r="K52" s="219"/>
      <c r="L52" s="546">
        <f t="shared" si="11"/>
        <v>0</v>
      </c>
    </row>
    <row r="53" spans="1:12" s="42" customFormat="1" ht="42" customHeight="1">
      <c r="A53" s="103">
        <v>46</v>
      </c>
      <c r="B53" s="292" t="s">
        <v>8</v>
      </c>
      <c r="C53" s="258"/>
      <c r="D53" s="258"/>
      <c r="E53" s="551">
        <v>4</v>
      </c>
      <c r="F53" s="260" t="s">
        <v>853</v>
      </c>
      <c r="G53" s="552">
        <v>150</v>
      </c>
      <c r="H53" s="553"/>
      <c r="I53" s="552"/>
      <c r="J53" s="888"/>
      <c r="K53" s="1144"/>
      <c r="L53" s="548">
        <f t="shared" si="11"/>
        <v>0</v>
      </c>
    </row>
    <row r="54" spans="1:12" s="56" customFormat="1" ht="36" customHeight="1">
      <c r="A54" s="103">
        <v>47</v>
      </c>
      <c r="B54" s="293">
        <v>18</v>
      </c>
      <c r="C54" s="105"/>
      <c r="D54" s="106"/>
      <c r="E54" s="106"/>
      <c r="F54" s="107" t="s">
        <v>865</v>
      </c>
      <c r="G54" s="466">
        <f aca="true" t="shared" si="12" ref="G54:L54">SUM(G55:G56)</f>
        <v>2022</v>
      </c>
      <c r="H54" s="466">
        <f t="shared" si="12"/>
        <v>0</v>
      </c>
      <c r="I54" s="927">
        <f t="shared" si="12"/>
        <v>1149</v>
      </c>
      <c r="J54" s="891">
        <f t="shared" si="12"/>
        <v>0</v>
      </c>
      <c r="K54" s="226">
        <f t="shared" si="12"/>
        <v>0</v>
      </c>
      <c r="L54" s="227">
        <f t="shared" si="12"/>
        <v>0</v>
      </c>
    </row>
    <row r="55" spans="1:12" ht="18">
      <c r="A55" s="125">
        <v>48</v>
      </c>
      <c r="B55" s="45"/>
      <c r="C55" s="33"/>
      <c r="D55" s="33"/>
      <c r="E55" s="33"/>
      <c r="F55" s="48" t="s">
        <v>566</v>
      </c>
      <c r="G55" s="459">
        <v>679</v>
      </c>
      <c r="H55" s="459"/>
      <c r="I55" s="46">
        <v>1149</v>
      </c>
      <c r="J55" s="885"/>
      <c r="K55" s="1143"/>
      <c r="L55" s="546"/>
    </row>
    <row r="56" spans="1:12" ht="18">
      <c r="A56" s="125">
        <v>49</v>
      </c>
      <c r="B56" s="45"/>
      <c r="C56" s="33"/>
      <c r="D56" s="33"/>
      <c r="E56" s="33"/>
      <c r="F56" s="48" t="s">
        <v>920</v>
      </c>
      <c r="G56" s="459">
        <v>1343</v>
      </c>
      <c r="H56" s="459"/>
      <c r="I56" s="46"/>
      <c r="J56" s="885"/>
      <c r="K56" s="1143"/>
      <c r="L56" s="546"/>
    </row>
    <row r="57" spans="1:12" s="56" customFormat="1" ht="36" customHeight="1" thickBot="1">
      <c r="A57" s="103">
        <v>50</v>
      </c>
      <c r="B57" s="111"/>
      <c r="C57" s="112"/>
      <c r="D57" s="113"/>
      <c r="E57" s="113"/>
      <c r="F57" s="114" t="s">
        <v>927</v>
      </c>
      <c r="G57" s="223">
        <f aca="true" t="shared" si="13" ref="G57:L57">SUM(G8,G39,G54)</f>
        <v>16232354</v>
      </c>
      <c r="H57" s="223">
        <f t="shared" si="13"/>
        <v>11957041</v>
      </c>
      <c r="I57" s="928">
        <f t="shared" si="13"/>
        <v>13838912</v>
      </c>
      <c r="J57" s="892">
        <f t="shared" si="13"/>
        <v>16703640</v>
      </c>
      <c r="K57" s="223">
        <f t="shared" si="13"/>
        <v>1419215</v>
      </c>
      <c r="L57" s="1300">
        <f t="shared" si="13"/>
        <v>18122855</v>
      </c>
    </row>
    <row r="58" spans="1:12" s="56" customFormat="1" ht="36" customHeight="1" thickBot="1" thickTop="1">
      <c r="A58" s="103">
        <v>51</v>
      </c>
      <c r="B58" s="115"/>
      <c r="C58" s="116"/>
      <c r="D58" s="117"/>
      <c r="E58" s="117"/>
      <c r="F58" s="118" t="s">
        <v>1088</v>
      </c>
      <c r="G58" s="467">
        <f>+G57+G60-'[1]3.Onki'!G32</f>
        <v>1285033</v>
      </c>
      <c r="H58" s="467">
        <f>+H57+H60-'[1]3.Onki'!H32</f>
        <v>-1260883</v>
      </c>
      <c r="I58" s="929">
        <f>+I57+I60-'[1]3.Onki'!I32</f>
        <v>-2125695</v>
      </c>
      <c r="J58" s="893">
        <f>+J57+J60-'[1]3.Onki'!J32</f>
        <v>395560</v>
      </c>
      <c r="K58" s="1145">
        <v>-1067026</v>
      </c>
      <c r="L58" s="1146">
        <v>-671466</v>
      </c>
    </row>
    <row r="59" spans="1:12" s="56" customFormat="1" ht="30" customHeight="1">
      <c r="A59" s="103">
        <v>52</v>
      </c>
      <c r="B59" s="108"/>
      <c r="C59" s="89"/>
      <c r="D59" s="109"/>
      <c r="E59" s="109"/>
      <c r="F59" s="110" t="s">
        <v>1089</v>
      </c>
      <c r="G59" s="468">
        <f aca="true" t="shared" si="14" ref="G59:L59">SUM(G60,G71)</f>
        <v>3458185</v>
      </c>
      <c r="H59" s="468">
        <f t="shared" si="14"/>
        <v>2038624</v>
      </c>
      <c r="I59" s="224">
        <f t="shared" si="14"/>
        <v>1012025</v>
      </c>
      <c r="J59" s="894">
        <f t="shared" si="14"/>
        <v>1352433</v>
      </c>
      <c r="K59" s="224">
        <f t="shared" si="14"/>
        <v>1067026</v>
      </c>
      <c r="L59" s="225">
        <f t="shared" si="14"/>
        <v>2419459</v>
      </c>
    </row>
    <row r="60" spans="1:12" s="56" customFormat="1" ht="30" customHeight="1">
      <c r="A60" s="103">
        <v>53</v>
      </c>
      <c r="B60" s="104"/>
      <c r="C60" s="105"/>
      <c r="D60" s="106"/>
      <c r="E60" s="106"/>
      <c r="F60" s="107" t="s">
        <v>420</v>
      </c>
      <c r="G60" s="469">
        <f aca="true" t="shared" si="15" ref="G60:L60">SUM(G61,G68)</f>
        <v>490867</v>
      </c>
      <c r="H60" s="469">
        <f t="shared" si="15"/>
        <v>280886</v>
      </c>
      <c r="I60" s="226">
        <f t="shared" si="15"/>
        <v>260256</v>
      </c>
      <c r="J60" s="891">
        <f t="shared" si="15"/>
        <v>0</v>
      </c>
      <c r="K60" s="226">
        <f t="shared" si="15"/>
        <v>1067026</v>
      </c>
      <c r="L60" s="227">
        <f t="shared" si="15"/>
        <v>1067026</v>
      </c>
    </row>
    <row r="61" spans="1:12" s="102" customFormat="1" ht="30" customHeight="1">
      <c r="A61" s="1">
        <v>54</v>
      </c>
      <c r="B61" s="39"/>
      <c r="C61" s="40"/>
      <c r="D61" s="33"/>
      <c r="E61" s="33"/>
      <c r="F61" s="100" t="s">
        <v>1090</v>
      </c>
      <c r="G61" s="101">
        <f aca="true" t="shared" si="16" ref="G61:L61">SUM(G62:G67)</f>
        <v>444960</v>
      </c>
      <c r="H61" s="101">
        <f t="shared" si="16"/>
        <v>280886</v>
      </c>
      <c r="I61" s="215">
        <f t="shared" si="16"/>
        <v>255986</v>
      </c>
      <c r="J61" s="887">
        <f t="shared" si="16"/>
        <v>0</v>
      </c>
      <c r="K61" s="219">
        <f t="shared" si="16"/>
        <v>1067026</v>
      </c>
      <c r="L61" s="221">
        <f t="shared" si="16"/>
        <v>1067026</v>
      </c>
    </row>
    <row r="62" spans="1:12" ht="18">
      <c r="A62" s="125">
        <v>55</v>
      </c>
      <c r="B62" s="292" t="s">
        <v>8</v>
      </c>
      <c r="C62" s="33"/>
      <c r="D62" s="33"/>
      <c r="E62" s="33"/>
      <c r="F62" s="51" t="s">
        <v>1091</v>
      </c>
      <c r="G62" s="459">
        <v>323552</v>
      </c>
      <c r="H62" s="459">
        <v>34459</v>
      </c>
      <c r="I62" s="46">
        <v>39832</v>
      </c>
      <c r="J62" s="885"/>
      <c r="K62" s="1143">
        <v>142701</v>
      </c>
      <c r="L62" s="546">
        <f aca="true" t="shared" si="17" ref="L62:L70">SUM(J62:K62)</f>
        <v>142701</v>
      </c>
    </row>
    <row r="63" spans="1:12" ht="18">
      <c r="A63" s="125">
        <v>56</v>
      </c>
      <c r="B63" s="49" t="s">
        <v>9</v>
      </c>
      <c r="C63" s="33"/>
      <c r="D63" s="33"/>
      <c r="E63" s="33"/>
      <c r="F63" s="51" t="s">
        <v>1116</v>
      </c>
      <c r="G63" s="459">
        <v>92911</v>
      </c>
      <c r="H63" s="459"/>
      <c r="I63" s="46"/>
      <c r="J63" s="885"/>
      <c r="K63" s="1143"/>
      <c r="L63" s="546">
        <f t="shared" si="17"/>
        <v>0</v>
      </c>
    </row>
    <row r="64" spans="1:12" ht="18">
      <c r="A64" s="125">
        <v>57</v>
      </c>
      <c r="B64" s="45">
        <v>17</v>
      </c>
      <c r="C64" s="33"/>
      <c r="D64" s="33"/>
      <c r="E64" s="33"/>
      <c r="F64" s="51" t="s">
        <v>1098</v>
      </c>
      <c r="G64" s="459"/>
      <c r="H64" s="459">
        <v>131843</v>
      </c>
      <c r="I64" s="46">
        <v>140469</v>
      </c>
      <c r="J64" s="885"/>
      <c r="K64" s="1143">
        <v>171583</v>
      </c>
      <c r="L64" s="546">
        <f t="shared" si="17"/>
        <v>171583</v>
      </c>
    </row>
    <row r="65" spans="1:12" ht="18">
      <c r="A65" s="125">
        <v>58</v>
      </c>
      <c r="B65" s="45">
        <v>18</v>
      </c>
      <c r="C65" s="33"/>
      <c r="D65" s="33"/>
      <c r="E65" s="33"/>
      <c r="F65" s="51" t="s">
        <v>520</v>
      </c>
      <c r="G65" s="459"/>
      <c r="H65" s="459">
        <v>114584</v>
      </c>
      <c r="I65" s="46">
        <v>66256</v>
      </c>
      <c r="J65" s="885"/>
      <c r="K65" s="1143">
        <v>752742</v>
      </c>
      <c r="L65" s="546">
        <f t="shared" si="17"/>
        <v>752742</v>
      </c>
    </row>
    <row r="66" spans="1:12" ht="18">
      <c r="A66" s="125">
        <v>59</v>
      </c>
      <c r="B66" s="45">
        <v>18</v>
      </c>
      <c r="C66" s="52"/>
      <c r="D66" s="33"/>
      <c r="E66" s="33"/>
      <c r="F66" s="51" t="s">
        <v>567</v>
      </c>
      <c r="G66" s="459">
        <v>28455</v>
      </c>
      <c r="H66" s="459"/>
      <c r="I66" s="46">
        <v>8112</v>
      </c>
      <c r="J66" s="885"/>
      <c r="K66" s="1143"/>
      <c r="L66" s="546">
        <f t="shared" si="17"/>
        <v>0</v>
      </c>
    </row>
    <row r="67" spans="1:12" ht="18">
      <c r="A67" s="125">
        <v>60</v>
      </c>
      <c r="B67" s="45">
        <v>18</v>
      </c>
      <c r="C67" s="33"/>
      <c r="D67" s="33"/>
      <c r="E67" s="33"/>
      <c r="F67" s="51" t="s">
        <v>865</v>
      </c>
      <c r="G67" s="459">
        <v>42</v>
      </c>
      <c r="H67" s="459"/>
      <c r="I67" s="46">
        <v>1317</v>
      </c>
      <c r="J67" s="885"/>
      <c r="K67" s="1143"/>
      <c r="L67" s="546">
        <f t="shared" si="17"/>
        <v>0</v>
      </c>
    </row>
    <row r="68" spans="1:12" s="102" customFormat="1" ht="30" customHeight="1">
      <c r="A68" s="1">
        <v>61</v>
      </c>
      <c r="B68" s="39"/>
      <c r="C68" s="40"/>
      <c r="D68" s="33"/>
      <c r="E68" s="33"/>
      <c r="F68" s="100" t="s">
        <v>1092</v>
      </c>
      <c r="G68" s="101">
        <f>SUM(G69:G70)</f>
        <v>45907</v>
      </c>
      <c r="H68" s="101">
        <f>SUM(H69:H70)</f>
        <v>0</v>
      </c>
      <c r="I68" s="215">
        <f>SUM(I69:I70)</f>
        <v>4270</v>
      </c>
      <c r="J68" s="887"/>
      <c r="K68" s="219"/>
      <c r="L68" s="545">
        <f t="shared" si="17"/>
        <v>0</v>
      </c>
    </row>
    <row r="69" spans="1:12" s="42" customFormat="1" ht="18">
      <c r="A69" s="125">
        <v>62</v>
      </c>
      <c r="B69" s="49" t="s">
        <v>8</v>
      </c>
      <c r="C69" s="33"/>
      <c r="D69" s="33"/>
      <c r="E69" s="33"/>
      <c r="F69" s="50" t="s">
        <v>1091</v>
      </c>
      <c r="G69" s="459">
        <v>27540</v>
      </c>
      <c r="H69" s="459"/>
      <c r="I69" s="46">
        <v>4270</v>
      </c>
      <c r="J69" s="885"/>
      <c r="K69" s="544"/>
      <c r="L69" s="546">
        <f t="shared" si="17"/>
        <v>0</v>
      </c>
    </row>
    <row r="70" spans="1:12" s="42" customFormat="1" ht="18">
      <c r="A70" s="125">
        <v>63</v>
      </c>
      <c r="B70" s="45">
        <v>18</v>
      </c>
      <c r="C70" s="33"/>
      <c r="D70" s="33"/>
      <c r="E70" s="33"/>
      <c r="F70" s="50" t="s">
        <v>567</v>
      </c>
      <c r="G70" s="459">
        <v>18367</v>
      </c>
      <c r="H70" s="459"/>
      <c r="I70" s="46"/>
      <c r="J70" s="885"/>
      <c r="K70" s="544"/>
      <c r="L70" s="548">
        <f t="shared" si="17"/>
        <v>0</v>
      </c>
    </row>
    <row r="71" spans="1:12" s="56" customFormat="1" ht="36" customHeight="1">
      <c r="A71" s="103">
        <v>64</v>
      </c>
      <c r="B71" s="104"/>
      <c r="C71" s="105"/>
      <c r="D71" s="106"/>
      <c r="E71" s="106"/>
      <c r="F71" s="107" t="s">
        <v>421</v>
      </c>
      <c r="G71" s="469">
        <f aca="true" t="shared" si="18" ref="G71:L71">SUM(G72:G77)</f>
        <v>2967318</v>
      </c>
      <c r="H71" s="469">
        <f t="shared" si="18"/>
        <v>1757738</v>
      </c>
      <c r="I71" s="226">
        <f t="shared" si="18"/>
        <v>751769</v>
      </c>
      <c r="J71" s="891">
        <f t="shared" si="18"/>
        <v>1352433</v>
      </c>
      <c r="K71" s="226">
        <f t="shared" si="18"/>
        <v>0</v>
      </c>
      <c r="L71" s="227">
        <f t="shared" si="18"/>
        <v>1352433</v>
      </c>
    </row>
    <row r="72" spans="1:12" s="102" customFormat="1" ht="30" customHeight="1">
      <c r="A72" s="1">
        <v>65</v>
      </c>
      <c r="B72" s="39">
        <v>18</v>
      </c>
      <c r="C72" s="40"/>
      <c r="D72" s="33"/>
      <c r="E72" s="33"/>
      <c r="F72" s="100" t="s">
        <v>422</v>
      </c>
      <c r="G72" s="101"/>
      <c r="H72" s="101"/>
      <c r="I72" s="215"/>
      <c r="J72" s="887"/>
      <c r="K72" s="219"/>
      <c r="L72" s="221"/>
    </row>
    <row r="73" spans="1:12" ht="18">
      <c r="A73" s="125">
        <v>66</v>
      </c>
      <c r="B73" s="45"/>
      <c r="C73" s="33"/>
      <c r="D73" s="33"/>
      <c r="E73" s="33"/>
      <c r="F73" s="51" t="s">
        <v>1093</v>
      </c>
      <c r="G73" s="459"/>
      <c r="H73" s="459"/>
      <c r="I73" s="46"/>
      <c r="J73" s="885"/>
      <c r="K73" s="1143"/>
      <c r="L73" s="546">
        <f>SUM(J73:K73)</f>
        <v>0</v>
      </c>
    </row>
    <row r="74" spans="1:12" ht="18">
      <c r="A74" s="125">
        <v>67</v>
      </c>
      <c r="B74" s="45"/>
      <c r="C74" s="33"/>
      <c r="D74" s="33"/>
      <c r="E74" s="33"/>
      <c r="F74" s="51" t="s">
        <v>568</v>
      </c>
      <c r="G74" s="459">
        <v>2065358</v>
      </c>
      <c r="H74" s="459"/>
      <c r="I74" s="46"/>
      <c r="J74" s="885"/>
      <c r="K74" s="1143"/>
      <c r="L74" s="546">
        <f>SUM(J74:K74)</f>
        <v>0</v>
      </c>
    </row>
    <row r="75" spans="1:12" s="102" customFormat="1" ht="30" customHeight="1">
      <c r="A75" s="1">
        <v>68</v>
      </c>
      <c r="B75" s="39">
        <v>18</v>
      </c>
      <c r="C75" s="40"/>
      <c r="D75" s="33"/>
      <c r="E75" s="33"/>
      <c r="F75" s="100" t="s">
        <v>1094</v>
      </c>
      <c r="G75" s="101"/>
      <c r="H75" s="101"/>
      <c r="I75" s="215"/>
      <c r="J75" s="887"/>
      <c r="K75" s="219"/>
      <c r="L75" s="546"/>
    </row>
    <row r="76" spans="1:12" ht="18">
      <c r="A76" s="125">
        <v>69</v>
      </c>
      <c r="B76" s="45"/>
      <c r="C76" s="33"/>
      <c r="D76" s="33"/>
      <c r="E76" s="33"/>
      <c r="F76" s="51" t="s">
        <v>1094</v>
      </c>
      <c r="G76" s="459"/>
      <c r="H76" s="459">
        <v>850000</v>
      </c>
      <c r="I76" s="46">
        <v>751769</v>
      </c>
      <c r="J76" s="885">
        <v>500000</v>
      </c>
      <c r="K76" s="1143"/>
      <c r="L76" s="546">
        <f>SUM(J76:K76)</f>
        <v>500000</v>
      </c>
    </row>
    <row r="77" spans="1:12" ht="18">
      <c r="A77" s="125">
        <v>70</v>
      </c>
      <c r="B77" s="45"/>
      <c r="C77" s="33"/>
      <c r="D77" s="33"/>
      <c r="E77" s="33"/>
      <c r="F77" s="250" t="s">
        <v>1095</v>
      </c>
      <c r="G77" s="470">
        <v>901960</v>
      </c>
      <c r="H77" s="470">
        <v>907738</v>
      </c>
      <c r="I77" s="216"/>
      <c r="J77" s="895">
        <v>852433</v>
      </c>
      <c r="K77" s="1147"/>
      <c r="L77" s="548">
        <f>SUM(J77:K77)</f>
        <v>852433</v>
      </c>
    </row>
    <row r="78" spans="1:12" s="102" customFormat="1" ht="30" customHeight="1">
      <c r="A78" s="1">
        <v>71</v>
      </c>
      <c r="B78" s="39"/>
      <c r="C78" s="40"/>
      <c r="D78" s="33"/>
      <c r="E78" s="33"/>
      <c r="F78" s="100" t="s">
        <v>1096</v>
      </c>
      <c r="G78" s="101"/>
      <c r="H78" s="101"/>
      <c r="I78" s="215"/>
      <c r="J78" s="887"/>
      <c r="K78" s="219"/>
      <c r="L78" s="546"/>
    </row>
    <row r="79" spans="1:12" s="42" customFormat="1" ht="18">
      <c r="A79" s="125">
        <v>72</v>
      </c>
      <c r="B79" s="49" t="s">
        <v>8</v>
      </c>
      <c r="C79" s="40"/>
      <c r="D79" s="33"/>
      <c r="E79" s="33"/>
      <c r="F79" s="251" t="s">
        <v>866</v>
      </c>
      <c r="G79" s="459">
        <v>57475</v>
      </c>
      <c r="H79" s="41"/>
      <c r="I79" s="8">
        <f>-43840-31162</f>
        <v>-75002</v>
      </c>
      <c r="J79" s="886"/>
      <c r="K79" s="544"/>
      <c r="L79" s="546">
        <f>SUM(J79:K79)</f>
        <v>0</v>
      </c>
    </row>
    <row r="80" spans="1:12" ht="18">
      <c r="A80" s="125">
        <v>73</v>
      </c>
      <c r="B80" s="45">
        <v>18</v>
      </c>
      <c r="C80" s="33"/>
      <c r="D80" s="33"/>
      <c r="E80" s="33"/>
      <c r="F80" s="252" t="s">
        <v>1109</v>
      </c>
      <c r="G80" s="459">
        <v>5388</v>
      </c>
      <c r="H80" s="459"/>
      <c r="I80" s="46">
        <v>-4457</v>
      </c>
      <c r="J80" s="885"/>
      <c r="K80" s="1143"/>
      <c r="L80" s="546">
        <f>SUM(J80:K80)</f>
        <v>0</v>
      </c>
    </row>
    <row r="81" spans="1:12" s="56" customFormat="1" ht="36" customHeight="1" thickBot="1">
      <c r="A81" s="103">
        <v>74</v>
      </c>
      <c r="B81" s="53"/>
      <c r="C81" s="54"/>
      <c r="D81" s="86"/>
      <c r="E81" s="86"/>
      <c r="F81" s="55" t="s">
        <v>1097</v>
      </c>
      <c r="G81" s="471">
        <f aca="true" t="shared" si="19" ref="G81:L81">SUM(G57,G59,G78:G80)</f>
        <v>19753402</v>
      </c>
      <c r="H81" s="471">
        <f t="shared" si="19"/>
        <v>13995665</v>
      </c>
      <c r="I81" s="228">
        <f t="shared" si="19"/>
        <v>14771478</v>
      </c>
      <c r="J81" s="896">
        <f t="shared" si="19"/>
        <v>18056073</v>
      </c>
      <c r="K81" s="228">
        <f t="shared" si="19"/>
        <v>2486241</v>
      </c>
      <c r="L81" s="1301">
        <f t="shared" si="19"/>
        <v>20542314</v>
      </c>
    </row>
    <row r="82" spans="10:12" ht="18">
      <c r="J82" s="549"/>
      <c r="K82" s="1143"/>
      <c r="L82" s="1143"/>
    </row>
    <row r="83" spans="10:12" ht="18">
      <c r="J83" s="549"/>
      <c r="K83" s="1143"/>
      <c r="L83" s="1143"/>
    </row>
    <row r="84" spans="10:12" ht="18">
      <c r="J84" s="549"/>
      <c r="K84" s="1143"/>
      <c r="L84" s="1143"/>
    </row>
    <row r="85" spans="10:12" ht="18">
      <c r="J85" s="549"/>
      <c r="K85" s="1143"/>
      <c r="L85" s="1143"/>
    </row>
    <row r="86" spans="10:12" ht="18">
      <c r="J86" s="549"/>
      <c r="K86" s="1143"/>
      <c r="L86" s="1143"/>
    </row>
    <row r="87" spans="10:12" ht="18">
      <c r="J87" s="549"/>
      <c r="K87" s="1143"/>
      <c r="L87" s="1143"/>
    </row>
    <row r="88" spans="10:12" ht="18">
      <c r="J88" s="549"/>
      <c r="K88" s="1143"/>
      <c r="L88" s="1143"/>
    </row>
    <row r="89" spans="10:12" ht="18">
      <c r="J89" s="549"/>
      <c r="K89" s="1143"/>
      <c r="L89" s="1143"/>
    </row>
    <row r="90" spans="10:12" ht="18">
      <c r="J90" s="549"/>
      <c r="K90" s="1143"/>
      <c r="L90" s="1143"/>
    </row>
    <row r="91" spans="10:12" ht="18">
      <c r="J91" s="549"/>
      <c r="K91" s="1143"/>
      <c r="L91" s="1143"/>
    </row>
    <row r="92" spans="10:12" ht="18">
      <c r="J92" s="549"/>
      <c r="K92" s="1143"/>
      <c r="L92" s="1143"/>
    </row>
    <row r="93" spans="10:12" ht="18">
      <c r="J93" s="549"/>
      <c r="K93" s="1143"/>
      <c r="L93" s="1143"/>
    </row>
    <row r="94" spans="10:12" ht="18">
      <c r="J94" s="549"/>
      <c r="K94" s="1143"/>
      <c r="L94" s="1143"/>
    </row>
    <row r="95" spans="10:12" ht="18">
      <c r="J95" s="549"/>
      <c r="K95" s="1143"/>
      <c r="L95" s="1143"/>
    </row>
    <row r="96" spans="10:12" ht="18">
      <c r="J96" s="549"/>
      <c r="K96" s="1143"/>
      <c r="L96" s="1143"/>
    </row>
    <row r="97" spans="10:12" ht="18">
      <c r="J97" s="549"/>
      <c r="K97" s="1143"/>
      <c r="L97" s="1143"/>
    </row>
    <row r="98" spans="10:12" ht="18">
      <c r="J98" s="549"/>
      <c r="K98" s="1143"/>
      <c r="L98" s="1143"/>
    </row>
    <row r="99" spans="10:12" ht="18">
      <c r="J99" s="549"/>
      <c r="K99" s="1143"/>
      <c r="L99" s="1143"/>
    </row>
    <row r="100" spans="10:12" ht="18">
      <c r="J100" s="549"/>
      <c r="K100" s="1143"/>
      <c r="L100" s="1143"/>
    </row>
    <row r="101" spans="10:12" ht="18">
      <c r="J101" s="549"/>
      <c r="K101" s="1143"/>
      <c r="L101" s="1143"/>
    </row>
    <row r="102" spans="10:12" ht="18">
      <c r="J102" s="549"/>
      <c r="K102" s="1143"/>
      <c r="L102" s="1143"/>
    </row>
    <row r="103" spans="10:12" ht="18">
      <c r="J103" s="549"/>
      <c r="K103" s="1143"/>
      <c r="L103" s="1143"/>
    </row>
    <row r="104" spans="10:12" ht="18">
      <c r="J104" s="549"/>
      <c r="K104" s="1143"/>
      <c r="L104" s="1143"/>
    </row>
    <row r="105" spans="10:12" ht="18">
      <c r="J105" s="549"/>
      <c r="K105" s="1143"/>
      <c r="L105" s="1143"/>
    </row>
    <row r="106" spans="10:12" ht="18">
      <c r="J106" s="549"/>
      <c r="K106" s="1143"/>
      <c r="L106" s="1143"/>
    </row>
    <row r="107" spans="10:12" ht="18">
      <c r="J107" s="549"/>
      <c r="K107" s="1143"/>
      <c r="L107" s="1143"/>
    </row>
    <row r="108" spans="10:12" ht="18">
      <c r="J108" s="549"/>
      <c r="K108" s="1143"/>
      <c r="L108" s="1143"/>
    </row>
    <row r="109" spans="10:12" ht="18">
      <c r="J109" s="549"/>
      <c r="K109" s="1143"/>
      <c r="L109" s="1143"/>
    </row>
    <row r="338" spans="1:12" s="303" customFormat="1" ht="18">
      <c r="A338" s="600"/>
      <c r="B338" s="307"/>
      <c r="C338" s="307"/>
      <c r="D338" s="307"/>
      <c r="E338" s="307"/>
      <c r="G338" s="57"/>
      <c r="H338" s="57"/>
      <c r="I338" s="57"/>
      <c r="J338" s="550"/>
      <c r="K338" s="550"/>
      <c r="L338" s="550"/>
    </row>
    <row r="339" spans="1:12" s="303" customFormat="1" ht="18">
      <c r="A339" s="600"/>
      <c r="B339" s="307"/>
      <c r="C339" s="307"/>
      <c r="D339" s="307"/>
      <c r="E339" s="307"/>
      <c r="G339" s="57"/>
      <c r="H339" s="57"/>
      <c r="I339" s="57"/>
      <c r="J339" s="550"/>
      <c r="K339" s="550"/>
      <c r="L339" s="550"/>
    </row>
    <row r="371" spans="1:12" s="607" customFormat="1" ht="18">
      <c r="A371" s="605"/>
      <c r="B371" s="606"/>
      <c r="C371" s="606"/>
      <c r="D371" s="606"/>
      <c r="E371" s="606"/>
      <c r="G371" s="608"/>
      <c r="H371" s="608"/>
      <c r="I371" s="57"/>
      <c r="J371" s="609"/>
      <c r="K371" s="609"/>
      <c r="L371" s="609"/>
    </row>
    <row r="372" spans="1:12" s="607" customFormat="1" ht="18">
      <c r="A372" s="605"/>
      <c r="B372" s="606"/>
      <c r="C372" s="606"/>
      <c r="D372" s="606"/>
      <c r="E372" s="606"/>
      <c r="G372" s="608"/>
      <c r="H372" s="608"/>
      <c r="I372" s="57"/>
      <c r="J372" s="609"/>
      <c r="K372" s="609"/>
      <c r="L372" s="609"/>
    </row>
    <row r="373" spans="1:12" s="607" customFormat="1" ht="18">
      <c r="A373" s="605"/>
      <c r="B373" s="606"/>
      <c r="C373" s="606"/>
      <c r="D373" s="606"/>
      <c r="E373" s="606"/>
      <c r="G373" s="608"/>
      <c r="H373" s="608"/>
      <c r="I373" s="57"/>
      <c r="J373" s="609"/>
      <c r="K373" s="609"/>
      <c r="L373" s="609"/>
    </row>
    <row r="374" spans="1:12" s="607" customFormat="1" ht="18">
      <c r="A374" s="605"/>
      <c r="B374" s="606"/>
      <c r="C374" s="606"/>
      <c r="D374" s="606"/>
      <c r="E374" s="606"/>
      <c r="G374" s="608"/>
      <c r="H374" s="608"/>
      <c r="I374" s="57"/>
      <c r="J374" s="609"/>
      <c r="K374" s="609"/>
      <c r="L374" s="609"/>
    </row>
    <row r="375" spans="1:17" s="607" customFormat="1" ht="16.5">
      <c r="A375" s="605"/>
      <c r="B375" s="606"/>
      <c r="C375" s="606"/>
      <c r="D375" s="606"/>
      <c r="E375" s="606"/>
      <c r="G375" s="608"/>
      <c r="H375" s="608"/>
      <c r="I375" s="57">
        <f aca="true" t="shared" si="20" ref="I375:Q375">SUM(I373:I374)</f>
        <v>0</v>
      </c>
      <c r="J375" s="608">
        <f t="shared" si="20"/>
        <v>0</v>
      </c>
      <c r="K375" s="608">
        <f t="shared" si="20"/>
        <v>0</v>
      </c>
      <c r="L375" s="608">
        <f t="shared" si="20"/>
        <v>0</v>
      </c>
      <c r="M375" s="608">
        <f t="shared" si="20"/>
        <v>0</v>
      </c>
      <c r="N375" s="608">
        <f t="shared" si="20"/>
        <v>0</v>
      </c>
      <c r="O375" s="608">
        <f t="shared" si="20"/>
        <v>0</v>
      </c>
      <c r="P375" s="608">
        <f t="shared" si="20"/>
        <v>0</v>
      </c>
      <c r="Q375" s="608">
        <f t="shared" si="20"/>
        <v>0</v>
      </c>
    </row>
    <row r="376" spans="1:12" s="607" customFormat="1" ht="18">
      <c r="A376" s="605"/>
      <c r="B376" s="606"/>
      <c r="C376" s="606"/>
      <c r="D376" s="606"/>
      <c r="E376" s="606"/>
      <c r="G376" s="608"/>
      <c r="H376" s="608"/>
      <c r="I376" s="57"/>
      <c r="J376" s="609"/>
      <c r="K376" s="609"/>
      <c r="L376" s="609"/>
    </row>
    <row r="377" spans="1:12" s="607" customFormat="1" ht="18">
      <c r="A377" s="605"/>
      <c r="B377" s="606"/>
      <c r="C377" s="606"/>
      <c r="D377" s="606"/>
      <c r="E377" s="606"/>
      <c r="G377" s="608"/>
      <c r="H377" s="608"/>
      <c r="I377" s="57"/>
      <c r="J377" s="609"/>
      <c r="K377" s="609"/>
      <c r="L377" s="609"/>
    </row>
    <row r="378" spans="1:12" s="607" customFormat="1" ht="18">
      <c r="A378" s="605"/>
      <c r="B378" s="606"/>
      <c r="C378" s="606"/>
      <c r="D378" s="606"/>
      <c r="E378" s="606"/>
      <c r="G378" s="608"/>
      <c r="H378" s="608"/>
      <c r="I378" s="57"/>
      <c r="J378" s="609"/>
      <c r="K378" s="609"/>
      <c r="L378" s="609"/>
    </row>
    <row r="379" spans="1:12" s="607" customFormat="1" ht="18">
      <c r="A379" s="605"/>
      <c r="B379" s="606"/>
      <c r="C379" s="606"/>
      <c r="D379" s="606"/>
      <c r="E379" s="606"/>
      <c r="G379" s="608"/>
      <c r="H379" s="608"/>
      <c r="I379" s="57"/>
      <c r="J379" s="609"/>
      <c r="K379" s="609"/>
      <c r="L379" s="609"/>
    </row>
    <row r="380" spans="1:17" s="607" customFormat="1" ht="16.5">
      <c r="A380" s="605"/>
      <c r="B380" s="606"/>
      <c r="C380" s="606"/>
      <c r="D380" s="606"/>
      <c r="E380" s="606"/>
      <c r="G380" s="608"/>
      <c r="H380" s="608"/>
      <c r="I380" s="57">
        <f aca="true" t="shared" si="21" ref="I380:Q380">SUM(I378:I379)</f>
        <v>0</v>
      </c>
      <c r="J380" s="608">
        <f t="shared" si="21"/>
        <v>0</v>
      </c>
      <c r="K380" s="608">
        <f t="shared" si="21"/>
        <v>0</v>
      </c>
      <c r="L380" s="608">
        <f t="shared" si="21"/>
        <v>0</v>
      </c>
      <c r="M380" s="608">
        <f t="shared" si="21"/>
        <v>0</v>
      </c>
      <c r="N380" s="608">
        <f t="shared" si="21"/>
        <v>0</v>
      </c>
      <c r="O380" s="608">
        <f t="shared" si="21"/>
        <v>0</v>
      </c>
      <c r="P380" s="608">
        <f t="shared" si="21"/>
        <v>0</v>
      </c>
      <c r="Q380" s="608">
        <f t="shared" si="21"/>
        <v>0</v>
      </c>
    </row>
    <row r="381" spans="1:12" s="607" customFormat="1" ht="18">
      <c r="A381" s="605"/>
      <c r="B381" s="606"/>
      <c r="C381" s="606"/>
      <c r="D381" s="606"/>
      <c r="E381" s="606"/>
      <c r="G381" s="608"/>
      <c r="H381" s="608"/>
      <c r="I381" s="57"/>
      <c r="J381" s="609"/>
      <c r="K381" s="609"/>
      <c r="L381" s="609"/>
    </row>
    <row r="382" spans="1:12" s="607" customFormat="1" ht="18">
      <c r="A382" s="605"/>
      <c r="B382" s="606"/>
      <c r="C382" s="606"/>
      <c r="D382" s="606"/>
      <c r="E382" s="606"/>
      <c r="G382" s="608"/>
      <c r="H382" s="608"/>
      <c r="I382" s="57"/>
      <c r="J382" s="609"/>
      <c r="K382" s="609"/>
      <c r="L382" s="609"/>
    </row>
    <row r="383" spans="1:12" s="607" customFormat="1" ht="18">
      <c r="A383" s="605"/>
      <c r="B383" s="606"/>
      <c r="C383" s="606"/>
      <c r="D383" s="606"/>
      <c r="E383" s="606"/>
      <c r="G383" s="608"/>
      <c r="H383" s="608"/>
      <c r="I383" s="57"/>
      <c r="J383" s="609"/>
      <c r="K383" s="609"/>
      <c r="L383" s="609"/>
    </row>
    <row r="384" spans="1:12" s="607" customFormat="1" ht="18">
      <c r="A384" s="605"/>
      <c r="B384" s="606"/>
      <c r="C384" s="606"/>
      <c r="D384" s="606"/>
      <c r="E384" s="606"/>
      <c r="G384" s="608"/>
      <c r="H384" s="608"/>
      <c r="I384" s="57"/>
      <c r="J384" s="609"/>
      <c r="K384" s="609"/>
      <c r="L384" s="609"/>
    </row>
    <row r="385" spans="1:17" s="607" customFormat="1" ht="16.5">
      <c r="A385" s="605"/>
      <c r="B385" s="606"/>
      <c r="C385" s="606"/>
      <c r="D385" s="606"/>
      <c r="E385" s="606"/>
      <c r="G385" s="608"/>
      <c r="H385" s="608"/>
      <c r="I385" s="57">
        <f aca="true" t="shared" si="22" ref="I385:Q385">SUM(I383:I384)</f>
        <v>0</v>
      </c>
      <c r="J385" s="608">
        <f t="shared" si="22"/>
        <v>0</v>
      </c>
      <c r="K385" s="608">
        <f t="shared" si="22"/>
        <v>0</v>
      </c>
      <c r="L385" s="608">
        <f t="shared" si="22"/>
        <v>0</v>
      </c>
      <c r="M385" s="608">
        <f t="shared" si="22"/>
        <v>0</v>
      </c>
      <c r="N385" s="608">
        <f t="shared" si="22"/>
        <v>0</v>
      </c>
      <c r="O385" s="608">
        <f t="shared" si="22"/>
        <v>0</v>
      </c>
      <c r="P385" s="608">
        <f t="shared" si="22"/>
        <v>0</v>
      </c>
      <c r="Q385" s="608">
        <f t="shared" si="22"/>
        <v>0</v>
      </c>
    </row>
  </sheetData>
  <sheetProtection/>
  <mergeCells count="5">
    <mergeCell ref="B1:J1"/>
    <mergeCell ref="B2:L2"/>
    <mergeCell ref="B3:L3"/>
    <mergeCell ref="K5:L5"/>
    <mergeCell ref="B4:L4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62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385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75390625" style="28" customWidth="1"/>
    <col min="2" max="2" width="5.75390625" style="61" customWidth="1"/>
    <col min="3" max="5" width="5.75390625" style="60" customWidth="1"/>
    <col min="6" max="6" width="55.75390625" style="58" customWidth="1"/>
    <col min="7" max="9" width="12.75390625" style="58" customWidth="1"/>
    <col min="10" max="10" width="15.75390625" style="58" customWidth="1"/>
    <col min="11" max="12" width="12.75390625" style="58" customWidth="1"/>
    <col min="13" max="16384" width="9.125" style="58" customWidth="1"/>
  </cols>
  <sheetData>
    <row r="1" spans="1:8" s="160" customFormat="1" ht="31.5" customHeight="1">
      <c r="A1" s="166"/>
      <c r="B1" s="1338" t="s">
        <v>798</v>
      </c>
      <c r="C1" s="1338"/>
      <c r="D1" s="1338"/>
      <c r="E1" s="1338"/>
      <c r="F1" s="1338"/>
      <c r="H1" s="556"/>
    </row>
    <row r="2" spans="1:12" s="160" customFormat="1" ht="24.75" customHeight="1">
      <c r="A2" s="166"/>
      <c r="B2" s="1334" t="s">
        <v>390</v>
      </c>
      <c r="C2" s="1334"/>
      <c r="D2" s="1334"/>
      <c r="E2" s="1334"/>
      <c r="F2" s="1334"/>
      <c r="G2" s="1334"/>
      <c r="H2" s="1334"/>
      <c r="I2" s="1334"/>
      <c r="J2" s="1334"/>
      <c r="K2" s="1334"/>
      <c r="L2" s="1334"/>
    </row>
    <row r="3" spans="1:12" s="160" customFormat="1" ht="24.75" customHeight="1">
      <c r="A3" s="166"/>
      <c r="B3" s="1334" t="s">
        <v>1166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</row>
    <row r="4" spans="1:12" s="160" customFormat="1" ht="24.75" customHeight="1">
      <c r="A4" s="166"/>
      <c r="B4" s="1340" t="s">
        <v>1164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</row>
    <row r="5" spans="1:12" s="235" customFormat="1" ht="14.25">
      <c r="A5" s="28"/>
      <c r="B5" s="231"/>
      <c r="C5" s="233"/>
      <c r="D5" s="28"/>
      <c r="E5" s="233"/>
      <c r="F5" s="234"/>
      <c r="G5" s="234"/>
      <c r="H5" s="472"/>
      <c r="J5" s="555"/>
      <c r="K5" s="1339" t="s">
        <v>861</v>
      </c>
      <c r="L5" s="1339"/>
    </row>
    <row r="6" spans="2:12" s="28" customFormat="1" ht="15" thickBot="1">
      <c r="B6" s="231" t="s">
        <v>873</v>
      </c>
      <c r="C6" s="28" t="s">
        <v>874</v>
      </c>
      <c r="D6" s="28" t="s">
        <v>875</v>
      </c>
      <c r="E6" s="28" t="s">
        <v>876</v>
      </c>
      <c r="F6" s="28" t="s">
        <v>877</v>
      </c>
      <c r="G6" s="28" t="s">
        <v>878</v>
      </c>
      <c r="H6" s="28" t="s">
        <v>879</v>
      </c>
      <c r="I6" s="232" t="s">
        <v>518</v>
      </c>
      <c r="J6" s="232" t="s">
        <v>519</v>
      </c>
      <c r="K6" s="28" t="s">
        <v>465</v>
      </c>
      <c r="L6" s="28" t="s">
        <v>466</v>
      </c>
    </row>
    <row r="7" spans="1:12" s="163" customFormat="1" ht="57.75" thickBot="1">
      <c r="A7" s="166"/>
      <c r="B7" s="473" t="s">
        <v>867</v>
      </c>
      <c r="C7" s="474" t="s">
        <v>1184</v>
      </c>
      <c r="D7" s="475" t="s">
        <v>537</v>
      </c>
      <c r="E7" s="475" t="s">
        <v>538</v>
      </c>
      <c r="F7" s="476" t="s">
        <v>862</v>
      </c>
      <c r="G7" s="130" t="s">
        <v>930</v>
      </c>
      <c r="H7" s="130" t="s">
        <v>929</v>
      </c>
      <c r="I7" s="923" t="s">
        <v>585</v>
      </c>
      <c r="J7" s="872" t="s">
        <v>1008</v>
      </c>
      <c r="K7" s="540" t="s">
        <v>480</v>
      </c>
      <c r="L7" s="541" t="s">
        <v>1087</v>
      </c>
    </row>
    <row r="8" spans="1:12" s="83" customFormat="1" ht="30" customHeight="1">
      <c r="A8" s="28">
        <v>1</v>
      </c>
      <c r="B8" s="295" t="s">
        <v>8</v>
      </c>
      <c r="C8" s="62"/>
      <c r="D8" s="63"/>
      <c r="E8" s="62"/>
      <c r="F8" s="236" t="s">
        <v>75</v>
      </c>
      <c r="G8" s="64">
        <f aca="true" t="shared" si="0" ref="G8:L8">SUM(G9:G12)</f>
        <v>10590218</v>
      </c>
      <c r="H8" s="64">
        <f t="shared" si="0"/>
        <v>5709332</v>
      </c>
      <c r="I8" s="64">
        <f t="shared" si="0"/>
        <v>6047359</v>
      </c>
      <c r="J8" s="873">
        <f t="shared" si="0"/>
        <v>6127521</v>
      </c>
      <c r="K8" s="64">
        <f t="shared" si="0"/>
        <v>336662</v>
      </c>
      <c r="L8" s="65">
        <f t="shared" si="0"/>
        <v>6464183</v>
      </c>
    </row>
    <row r="9" spans="1:12" ht="25.5" customHeight="1">
      <c r="A9" s="28">
        <v>2</v>
      </c>
      <c r="B9" s="66"/>
      <c r="C9" s="67"/>
      <c r="D9" s="67">
        <v>1</v>
      </c>
      <c r="E9" s="67"/>
      <c r="F9" s="68" t="s">
        <v>497</v>
      </c>
      <c r="G9" s="68">
        <f>9013971+1473034</f>
        <v>10487005</v>
      </c>
      <c r="H9" s="68">
        <f>4269068+1426264</f>
        <v>5695332</v>
      </c>
      <c r="I9" s="68">
        <f>4696272+1244999</f>
        <v>5941271</v>
      </c>
      <c r="J9" s="874">
        <v>6014645</v>
      </c>
      <c r="K9" s="68">
        <v>329292</v>
      </c>
      <c r="L9" s="72">
        <f>SUM(J9:K9)</f>
        <v>6343937</v>
      </c>
    </row>
    <row r="10" spans="1:12" ht="19.5" customHeight="1">
      <c r="A10" s="28">
        <v>3</v>
      </c>
      <c r="B10" s="66"/>
      <c r="C10" s="67"/>
      <c r="D10" s="67">
        <v>2</v>
      </c>
      <c r="E10" s="67"/>
      <c r="F10" s="68" t="s">
        <v>498</v>
      </c>
      <c r="G10" s="68"/>
      <c r="H10" s="68"/>
      <c r="I10" s="68"/>
      <c r="J10" s="874"/>
      <c r="K10" s="68"/>
      <c r="L10" s="72">
        <f>SUM(J10:K10)</f>
        <v>0</v>
      </c>
    </row>
    <row r="11" spans="1:12" ht="19.5" customHeight="1">
      <c r="A11" s="28">
        <v>4</v>
      </c>
      <c r="B11" s="66"/>
      <c r="C11" s="67"/>
      <c r="D11" s="67"/>
      <c r="E11" s="67">
        <v>1</v>
      </c>
      <c r="F11" s="68" t="s">
        <v>1110</v>
      </c>
      <c r="G11" s="68">
        <v>76072</v>
      </c>
      <c r="H11" s="68">
        <v>14000</v>
      </c>
      <c r="I11" s="68">
        <f>88060+17347</f>
        <v>105407</v>
      </c>
      <c r="J11" s="874">
        <v>94211</v>
      </c>
      <c r="K11" s="68">
        <v>7370</v>
      </c>
      <c r="L11" s="72">
        <f>SUM(J11:K11)</f>
        <v>101581</v>
      </c>
    </row>
    <row r="12" spans="1:12" ht="19.5" customHeight="1">
      <c r="A12" s="28">
        <v>5</v>
      </c>
      <c r="B12" s="66"/>
      <c r="C12" s="67"/>
      <c r="D12" s="67"/>
      <c r="E12" s="67">
        <v>2</v>
      </c>
      <c r="F12" s="68" t="s">
        <v>1099</v>
      </c>
      <c r="G12" s="68">
        <v>27141</v>
      </c>
      <c r="H12" s="68"/>
      <c r="I12" s="68">
        <v>681</v>
      </c>
      <c r="J12" s="874">
        <f>18240+425</f>
        <v>18665</v>
      </c>
      <c r="K12" s="68"/>
      <c r="L12" s="72">
        <f>SUM(J12:K12)</f>
        <v>18665</v>
      </c>
    </row>
    <row r="13" spans="1:12" s="83" customFormat="1" ht="30" customHeight="1">
      <c r="A13" s="28">
        <v>6</v>
      </c>
      <c r="B13" s="66" t="s">
        <v>10</v>
      </c>
      <c r="C13" s="69"/>
      <c r="D13" s="67"/>
      <c r="E13" s="67"/>
      <c r="F13" s="70" t="s">
        <v>520</v>
      </c>
      <c r="G13" s="70">
        <f aca="true" t="shared" si="1" ref="G13:L13">SUM(G14:G15,G25,G26)</f>
        <v>4822768</v>
      </c>
      <c r="H13" s="70">
        <f t="shared" si="1"/>
        <v>7778846</v>
      </c>
      <c r="I13" s="70">
        <f t="shared" si="1"/>
        <v>6973981</v>
      </c>
      <c r="J13" s="875">
        <f t="shared" si="1"/>
        <v>10180559</v>
      </c>
      <c r="K13" s="70">
        <f t="shared" si="1"/>
        <v>2149579</v>
      </c>
      <c r="L13" s="71">
        <f t="shared" si="1"/>
        <v>12330138</v>
      </c>
    </row>
    <row r="14" spans="1:12" s="83" customFormat="1" ht="19.5" customHeight="1">
      <c r="A14" s="28">
        <v>7</v>
      </c>
      <c r="B14" s="66"/>
      <c r="C14" s="69"/>
      <c r="D14" s="69">
        <v>1</v>
      </c>
      <c r="E14" s="69"/>
      <c r="F14" s="70" t="s">
        <v>497</v>
      </c>
      <c r="G14" s="70">
        <f>2533406+568965</f>
        <v>3102371</v>
      </c>
      <c r="H14" s="70">
        <f>3686640+281589</f>
        <v>3968229</v>
      </c>
      <c r="I14" s="70">
        <f>3560146+263651</f>
        <v>3823797</v>
      </c>
      <c r="J14" s="875">
        <f>4093644+87500</f>
        <v>4181144</v>
      </c>
      <c r="K14" s="70">
        <v>615370</v>
      </c>
      <c r="L14" s="71">
        <f>SUM(J14:K14)</f>
        <v>4796514</v>
      </c>
    </row>
    <row r="15" spans="1:12" ht="19.5" customHeight="1">
      <c r="A15" s="28">
        <v>8</v>
      </c>
      <c r="B15" s="66"/>
      <c r="C15" s="69"/>
      <c r="D15" s="69"/>
      <c r="E15" s="69"/>
      <c r="F15" s="70" t="s">
        <v>504</v>
      </c>
      <c r="G15" s="70">
        <f aca="true" t="shared" si="2" ref="G15:L15">SUM(G16,G21)</f>
        <v>0</v>
      </c>
      <c r="H15" s="70">
        <f t="shared" si="2"/>
        <v>1447041</v>
      </c>
      <c r="I15" s="70">
        <f t="shared" si="2"/>
        <v>0</v>
      </c>
      <c r="J15" s="875">
        <f t="shared" si="2"/>
        <v>1273579</v>
      </c>
      <c r="K15" s="70">
        <f t="shared" si="2"/>
        <v>-906682</v>
      </c>
      <c r="L15" s="71">
        <f t="shared" si="2"/>
        <v>366897</v>
      </c>
    </row>
    <row r="16" spans="1:12" s="240" customFormat="1" ht="19.5" customHeight="1">
      <c r="A16" s="28">
        <v>9</v>
      </c>
      <c r="B16" s="73"/>
      <c r="C16" s="74"/>
      <c r="D16" s="74"/>
      <c r="E16" s="74"/>
      <c r="F16" s="238" t="s">
        <v>505</v>
      </c>
      <c r="G16" s="229">
        <f>SUM(G17:G20)</f>
        <v>0</v>
      </c>
      <c r="H16" s="229">
        <f>SUM(H17:H20)</f>
        <v>75376</v>
      </c>
      <c r="I16" s="229">
        <f>SUM(I17:I20)</f>
        <v>0</v>
      </c>
      <c r="J16" s="876">
        <f>SUM(J17:J20)</f>
        <v>120000</v>
      </c>
      <c r="K16" s="229">
        <v>-16268</v>
      </c>
      <c r="L16" s="239">
        <f aca="true" t="shared" si="3" ref="L16:L25">SUM(J16:K16)</f>
        <v>103732</v>
      </c>
    </row>
    <row r="17" spans="1:12" ht="19.5" customHeight="1">
      <c r="A17" s="28">
        <v>10</v>
      </c>
      <c r="B17" s="66"/>
      <c r="C17" s="67"/>
      <c r="D17" s="67"/>
      <c r="E17" s="67"/>
      <c r="F17" s="241" t="s">
        <v>841</v>
      </c>
      <c r="G17" s="68"/>
      <c r="H17" s="68"/>
      <c r="I17" s="68"/>
      <c r="J17" s="874"/>
      <c r="K17" s="68"/>
      <c r="L17" s="72">
        <f t="shared" si="3"/>
        <v>0</v>
      </c>
    </row>
    <row r="18" spans="1:12" ht="19.5" customHeight="1">
      <c r="A18" s="28">
        <v>11</v>
      </c>
      <c r="B18" s="66"/>
      <c r="C18" s="67"/>
      <c r="D18" s="67"/>
      <c r="E18" s="67"/>
      <c r="F18" s="241" t="s">
        <v>1111</v>
      </c>
      <c r="G18" s="68"/>
      <c r="H18" s="68">
        <v>51376</v>
      </c>
      <c r="I18" s="68"/>
      <c r="J18" s="874">
        <v>96000</v>
      </c>
      <c r="K18" s="68">
        <v>-21115</v>
      </c>
      <c r="L18" s="72">
        <f t="shared" si="3"/>
        <v>74885</v>
      </c>
    </row>
    <row r="19" spans="1:12" ht="19.5" customHeight="1">
      <c r="A19" s="28">
        <v>12</v>
      </c>
      <c r="B19" s="66"/>
      <c r="C19" s="67"/>
      <c r="D19" s="67"/>
      <c r="E19" s="67"/>
      <c r="F19" s="241" t="s">
        <v>1112</v>
      </c>
      <c r="G19" s="68"/>
      <c r="H19" s="68">
        <v>24000</v>
      </c>
      <c r="I19" s="68"/>
      <c r="J19" s="874">
        <v>24000</v>
      </c>
      <c r="K19" s="68">
        <v>4847</v>
      </c>
      <c r="L19" s="72">
        <f t="shared" si="3"/>
        <v>28847</v>
      </c>
    </row>
    <row r="20" spans="1:12" ht="33" customHeight="1">
      <c r="A20" s="28">
        <v>13</v>
      </c>
      <c r="B20" s="66"/>
      <c r="C20" s="67"/>
      <c r="D20" s="67"/>
      <c r="E20" s="67"/>
      <c r="F20" s="242" t="s">
        <v>842</v>
      </c>
      <c r="G20" s="68"/>
      <c r="H20" s="68"/>
      <c r="I20" s="68"/>
      <c r="J20" s="874"/>
      <c r="K20" s="68"/>
      <c r="L20" s="72">
        <f t="shared" si="3"/>
        <v>0</v>
      </c>
    </row>
    <row r="21" spans="1:12" s="240" customFormat="1" ht="25.5" customHeight="1">
      <c r="A21" s="28">
        <v>14</v>
      </c>
      <c r="B21" s="73"/>
      <c r="C21" s="74"/>
      <c r="D21" s="74"/>
      <c r="E21" s="74"/>
      <c r="F21" s="238" t="s">
        <v>506</v>
      </c>
      <c r="G21" s="229">
        <f>SUM(G22:G24)</f>
        <v>0</v>
      </c>
      <c r="H21" s="229">
        <f>SUM(H22:H24)</f>
        <v>1371665</v>
      </c>
      <c r="I21" s="229">
        <f>SUM(I22:I24)</f>
        <v>0</v>
      </c>
      <c r="J21" s="876">
        <f>SUM(J22:J24)</f>
        <v>1153579</v>
      </c>
      <c r="K21" s="229">
        <f>SUM(K22:K24)</f>
        <v>-890414</v>
      </c>
      <c r="L21" s="239">
        <f t="shared" si="3"/>
        <v>263165</v>
      </c>
    </row>
    <row r="22" spans="1:12" ht="19.5" customHeight="1">
      <c r="A22" s="28">
        <v>15</v>
      </c>
      <c r="B22" s="66"/>
      <c r="C22" s="67"/>
      <c r="D22" s="67"/>
      <c r="E22" s="67"/>
      <c r="F22" s="241" t="s">
        <v>1113</v>
      </c>
      <c r="G22" s="68"/>
      <c r="H22" s="68">
        <v>783009</v>
      </c>
      <c r="I22" s="68"/>
      <c r="J22" s="874">
        <v>815433</v>
      </c>
      <c r="K22" s="68">
        <v>-552268</v>
      </c>
      <c r="L22" s="72">
        <f t="shared" si="3"/>
        <v>263165</v>
      </c>
    </row>
    <row r="23" spans="1:12" ht="19.5" customHeight="1">
      <c r="A23" s="28">
        <v>16</v>
      </c>
      <c r="B23" s="66"/>
      <c r="C23" s="67"/>
      <c r="D23" s="67"/>
      <c r="E23" s="67"/>
      <c r="F23" s="241" t="s">
        <v>1115</v>
      </c>
      <c r="G23" s="68"/>
      <c r="H23" s="68">
        <v>330809</v>
      </c>
      <c r="I23" s="68"/>
      <c r="J23" s="874">
        <v>121471</v>
      </c>
      <c r="K23" s="68">
        <v>-121471</v>
      </c>
      <c r="L23" s="72">
        <f t="shared" si="3"/>
        <v>0</v>
      </c>
    </row>
    <row r="24" spans="1:12" ht="19.5" customHeight="1">
      <c r="A24" s="28">
        <v>17</v>
      </c>
      <c r="B24" s="66"/>
      <c r="C24" s="67"/>
      <c r="D24" s="67"/>
      <c r="E24" s="67"/>
      <c r="F24" s="241" t="s">
        <v>1114</v>
      </c>
      <c r="G24" s="68"/>
      <c r="H24" s="68">
        <v>257847</v>
      </c>
      <c r="I24" s="68"/>
      <c r="J24" s="874">
        <v>216675</v>
      </c>
      <c r="K24" s="68">
        <v>-216675</v>
      </c>
      <c r="L24" s="72">
        <f t="shared" si="3"/>
        <v>0</v>
      </c>
    </row>
    <row r="25" spans="1:12" s="160" customFormat="1" ht="30" customHeight="1">
      <c r="A25" s="166">
        <v>18</v>
      </c>
      <c r="B25" s="296"/>
      <c r="C25" s="247"/>
      <c r="D25" s="247"/>
      <c r="E25" s="247"/>
      <c r="F25" s="243" t="s">
        <v>868</v>
      </c>
      <c r="G25" s="243">
        <v>0</v>
      </c>
      <c r="H25" s="243">
        <v>50000</v>
      </c>
      <c r="I25" s="243"/>
      <c r="J25" s="877">
        <v>85000</v>
      </c>
      <c r="K25" s="164"/>
      <c r="L25" s="477">
        <f t="shared" si="3"/>
        <v>85000</v>
      </c>
    </row>
    <row r="26" spans="1:12" s="83" customFormat="1" ht="25.5" customHeight="1">
      <c r="A26" s="28">
        <v>19</v>
      </c>
      <c r="B26" s="66"/>
      <c r="C26" s="69"/>
      <c r="D26" s="69">
        <v>2</v>
      </c>
      <c r="E26" s="69"/>
      <c r="F26" s="70" t="s">
        <v>498</v>
      </c>
      <c r="G26" s="70">
        <f aca="true" t="shared" si="4" ref="G26:L26">SUM(G27:G29)</f>
        <v>1720397</v>
      </c>
      <c r="H26" s="70">
        <f t="shared" si="4"/>
        <v>2313576</v>
      </c>
      <c r="I26" s="70">
        <f t="shared" si="4"/>
        <v>3150184</v>
      </c>
      <c r="J26" s="875">
        <f t="shared" si="4"/>
        <v>4640836</v>
      </c>
      <c r="K26" s="70">
        <f t="shared" si="4"/>
        <v>2440891</v>
      </c>
      <c r="L26" s="71">
        <f t="shared" si="4"/>
        <v>7081727</v>
      </c>
    </row>
    <row r="27" spans="1:12" ht="19.5" customHeight="1">
      <c r="A27" s="28">
        <v>20</v>
      </c>
      <c r="B27" s="66"/>
      <c r="C27" s="69"/>
      <c r="D27" s="67"/>
      <c r="E27" s="67">
        <v>1</v>
      </c>
      <c r="F27" s="68" t="s">
        <v>1110</v>
      </c>
      <c r="G27" s="68">
        <v>1050701</v>
      </c>
      <c r="H27" s="68">
        <v>1531876</v>
      </c>
      <c r="I27" s="68">
        <v>2292451</v>
      </c>
      <c r="J27" s="874">
        <v>3017086</v>
      </c>
      <c r="K27" s="68">
        <v>1485756</v>
      </c>
      <c r="L27" s="72">
        <f>SUM(J27:K27)</f>
        <v>4502842</v>
      </c>
    </row>
    <row r="28" spans="1:12" ht="19.5" customHeight="1">
      <c r="A28" s="28">
        <v>21</v>
      </c>
      <c r="B28" s="66"/>
      <c r="C28" s="69"/>
      <c r="D28" s="67"/>
      <c r="E28" s="67">
        <v>2</v>
      </c>
      <c r="F28" s="68" t="s">
        <v>1099</v>
      </c>
      <c r="G28" s="68">
        <v>68730</v>
      </c>
      <c r="H28" s="68"/>
      <c r="I28" s="68">
        <v>54477</v>
      </c>
      <c r="J28" s="874">
        <v>204950</v>
      </c>
      <c r="K28" s="68">
        <v>437085</v>
      </c>
      <c r="L28" s="72">
        <f>SUM(J28:K28)</f>
        <v>642035</v>
      </c>
    </row>
    <row r="29" spans="1:12" ht="19.5" customHeight="1">
      <c r="A29" s="28">
        <v>22</v>
      </c>
      <c r="B29" s="66"/>
      <c r="C29" s="69"/>
      <c r="D29" s="67"/>
      <c r="E29" s="67">
        <v>3</v>
      </c>
      <c r="F29" s="68" t="s">
        <v>410</v>
      </c>
      <c r="G29" s="68">
        <v>600966</v>
      </c>
      <c r="H29" s="68">
        <v>781700</v>
      </c>
      <c r="I29" s="68">
        <v>803256</v>
      </c>
      <c r="J29" s="874">
        <v>1418800</v>
      </c>
      <c r="K29" s="68">
        <v>518050</v>
      </c>
      <c r="L29" s="72">
        <f>SUM(J29:K29)</f>
        <v>1936850</v>
      </c>
    </row>
    <row r="30" spans="1:12" s="83" customFormat="1" ht="30" customHeight="1">
      <c r="A30" s="28">
        <v>23</v>
      </c>
      <c r="B30" s="66" t="s">
        <v>10</v>
      </c>
      <c r="C30" s="69"/>
      <c r="D30" s="67"/>
      <c r="E30" s="69"/>
      <c r="F30" s="70" t="s">
        <v>869</v>
      </c>
      <c r="G30" s="70">
        <f aca="true" t="shared" si="5" ref="G30:L30">SUM(G31:G32)</f>
        <v>25202</v>
      </c>
      <c r="H30" s="70">
        <f t="shared" si="5"/>
        <v>10632</v>
      </c>
      <c r="I30" s="70">
        <f t="shared" si="5"/>
        <v>47</v>
      </c>
      <c r="J30" s="875">
        <f t="shared" si="5"/>
        <v>0</v>
      </c>
      <c r="K30" s="70">
        <f t="shared" si="5"/>
        <v>0</v>
      </c>
      <c r="L30" s="71">
        <f t="shared" si="5"/>
        <v>0</v>
      </c>
    </row>
    <row r="31" spans="1:12" ht="19.5" customHeight="1">
      <c r="A31" s="28">
        <v>24</v>
      </c>
      <c r="B31" s="66"/>
      <c r="C31" s="67"/>
      <c r="D31" s="67">
        <v>1</v>
      </c>
      <c r="E31" s="67"/>
      <c r="F31" s="189" t="s">
        <v>497</v>
      </c>
      <c r="G31" s="68">
        <f>340+22359</f>
        <v>22699</v>
      </c>
      <c r="H31" s="68">
        <v>10632</v>
      </c>
      <c r="I31" s="68">
        <v>47</v>
      </c>
      <c r="J31" s="874"/>
      <c r="K31" s="68"/>
      <c r="L31" s="72">
        <f>SUM(J31:K31)</f>
        <v>0</v>
      </c>
    </row>
    <row r="32" spans="1:12" s="129" customFormat="1" ht="24" customHeight="1" thickBot="1">
      <c r="A32" s="165">
        <v>25</v>
      </c>
      <c r="B32" s="80"/>
      <c r="C32" s="81"/>
      <c r="D32" s="81">
        <v>2</v>
      </c>
      <c r="E32" s="81"/>
      <c r="F32" s="127" t="s">
        <v>498</v>
      </c>
      <c r="G32" s="82">
        <v>2503</v>
      </c>
      <c r="H32" s="82"/>
      <c r="I32" s="82"/>
      <c r="J32" s="878"/>
      <c r="K32" s="82"/>
      <c r="L32" s="72">
        <f>SUM(J32:K32)</f>
        <v>0</v>
      </c>
    </row>
    <row r="33" spans="1:12" s="243" customFormat="1" ht="39.75" customHeight="1" thickBot="1">
      <c r="A33" s="166">
        <v>26</v>
      </c>
      <c r="B33" s="297"/>
      <c r="C33" s="75"/>
      <c r="D33" s="76"/>
      <c r="E33" s="75"/>
      <c r="F33" s="77" t="s">
        <v>1191</v>
      </c>
      <c r="G33" s="77">
        <f aca="true" t="shared" si="6" ref="G33:L33">SUM(G8,G13,G30)</f>
        <v>15438188</v>
      </c>
      <c r="H33" s="77">
        <f t="shared" si="6"/>
        <v>13498810</v>
      </c>
      <c r="I33" s="77">
        <f t="shared" si="6"/>
        <v>13021387</v>
      </c>
      <c r="J33" s="879">
        <f t="shared" si="6"/>
        <v>16308080</v>
      </c>
      <c r="K33" s="77">
        <f t="shared" si="6"/>
        <v>2486241</v>
      </c>
      <c r="L33" s="78">
        <f t="shared" si="6"/>
        <v>18794321</v>
      </c>
    </row>
    <row r="34" spans="1:12" s="162" customFormat="1" ht="30" customHeight="1">
      <c r="A34" s="28">
        <v>27</v>
      </c>
      <c r="B34" s="66" t="s">
        <v>10</v>
      </c>
      <c r="C34" s="67"/>
      <c r="D34" s="67"/>
      <c r="E34" s="67"/>
      <c r="F34" s="79" t="s">
        <v>1100</v>
      </c>
      <c r="G34" s="79"/>
      <c r="H34" s="79"/>
      <c r="I34" s="79"/>
      <c r="J34" s="880"/>
      <c r="K34" s="79"/>
      <c r="L34" s="244"/>
    </row>
    <row r="35" spans="1:12" s="162" customFormat="1" ht="19.5" customHeight="1">
      <c r="A35" s="28">
        <v>28</v>
      </c>
      <c r="B35" s="66"/>
      <c r="C35" s="67"/>
      <c r="D35" s="67">
        <v>1</v>
      </c>
      <c r="E35" s="67"/>
      <c r="F35" s="79" t="s">
        <v>411</v>
      </c>
      <c r="G35" s="79"/>
      <c r="H35" s="79"/>
      <c r="I35" s="79"/>
      <c r="J35" s="880"/>
      <c r="K35" s="79"/>
      <c r="L35" s="244"/>
    </row>
    <row r="36" spans="1:12" ht="19.5" customHeight="1">
      <c r="A36" s="28">
        <v>29</v>
      </c>
      <c r="B36" s="66"/>
      <c r="C36" s="67"/>
      <c r="D36" s="67"/>
      <c r="E36" s="67"/>
      <c r="F36" s="237" t="s">
        <v>871</v>
      </c>
      <c r="G36" s="68">
        <v>3972669</v>
      </c>
      <c r="H36" s="68">
        <v>309804</v>
      </c>
      <c r="I36" s="68"/>
      <c r="J36" s="874"/>
      <c r="K36" s="68"/>
      <c r="L36" s="72">
        <f>SUM(J36:K36)</f>
        <v>0</v>
      </c>
    </row>
    <row r="37" spans="1:12" ht="19.5" customHeight="1">
      <c r="A37" s="28">
        <v>30</v>
      </c>
      <c r="B37" s="66"/>
      <c r="C37" s="67"/>
      <c r="D37" s="67">
        <v>2</v>
      </c>
      <c r="E37" s="67"/>
      <c r="F37" s="79" t="s">
        <v>412</v>
      </c>
      <c r="G37" s="68"/>
      <c r="H37" s="68"/>
      <c r="I37" s="68"/>
      <c r="J37" s="874"/>
      <c r="K37" s="68"/>
      <c r="L37" s="72"/>
    </row>
    <row r="38" spans="1:12" ht="19.5" customHeight="1">
      <c r="A38" s="28">
        <v>31</v>
      </c>
      <c r="B38" s="66"/>
      <c r="C38" s="67"/>
      <c r="D38" s="67"/>
      <c r="E38" s="67"/>
      <c r="F38" s="237" t="s">
        <v>871</v>
      </c>
      <c r="G38" s="68"/>
      <c r="H38" s="68">
        <v>180811</v>
      </c>
      <c r="I38" s="68">
        <v>745787</v>
      </c>
      <c r="J38" s="874">
        <v>1747993</v>
      </c>
      <c r="K38" s="68"/>
      <c r="L38" s="72">
        <f>SUM(J38:K38)</f>
        <v>1747993</v>
      </c>
    </row>
    <row r="39" spans="1:12" s="129" customFormat="1" ht="19.5" customHeight="1" thickBot="1">
      <c r="A39" s="28">
        <v>32</v>
      </c>
      <c r="B39" s="80"/>
      <c r="C39" s="81"/>
      <c r="D39" s="81"/>
      <c r="E39" s="81"/>
      <c r="F39" s="245" t="s">
        <v>872</v>
      </c>
      <c r="G39" s="82">
        <v>20800</v>
      </c>
      <c r="H39" s="82">
        <v>6240</v>
      </c>
      <c r="I39" s="82">
        <v>74</v>
      </c>
      <c r="J39" s="878"/>
      <c r="K39" s="82"/>
      <c r="L39" s="128">
        <f>SUM(J39:K39)</f>
        <v>0</v>
      </c>
    </row>
    <row r="40" spans="1:12" s="243" customFormat="1" ht="39.75" customHeight="1" thickBot="1">
      <c r="A40" s="166">
        <v>33</v>
      </c>
      <c r="B40" s="297"/>
      <c r="C40" s="75"/>
      <c r="D40" s="76"/>
      <c r="E40" s="75"/>
      <c r="F40" s="77" t="s">
        <v>860</v>
      </c>
      <c r="G40" s="77">
        <f aca="true" t="shared" si="7" ref="G40:L40">SUM(G33:G39)</f>
        <v>19431657</v>
      </c>
      <c r="H40" s="77">
        <f t="shared" si="7"/>
        <v>13995665</v>
      </c>
      <c r="I40" s="77">
        <f t="shared" si="7"/>
        <v>13767248</v>
      </c>
      <c r="J40" s="879">
        <f t="shared" si="7"/>
        <v>18056073</v>
      </c>
      <c r="K40" s="77">
        <f t="shared" si="7"/>
        <v>2486241</v>
      </c>
      <c r="L40" s="78">
        <f t="shared" si="7"/>
        <v>20542314</v>
      </c>
    </row>
    <row r="41" spans="1:12" s="162" customFormat="1" ht="30" customHeight="1">
      <c r="A41" s="28">
        <v>34</v>
      </c>
      <c r="B41" s="66"/>
      <c r="C41" s="67"/>
      <c r="D41" s="67"/>
      <c r="E41" s="67"/>
      <c r="F41" s="79" t="s">
        <v>870</v>
      </c>
      <c r="G41" s="79"/>
      <c r="H41" s="79"/>
      <c r="I41" s="79"/>
      <c r="J41" s="880"/>
      <c r="K41" s="79"/>
      <c r="L41" s="244"/>
    </row>
    <row r="42" spans="1:12" ht="19.5" customHeight="1">
      <c r="A42" s="28">
        <v>35</v>
      </c>
      <c r="B42" s="66" t="s">
        <v>8</v>
      </c>
      <c r="C42" s="67"/>
      <c r="D42" s="67"/>
      <c r="E42" s="67"/>
      <c r="F42" s="237" t="s">
        <v>866</v>
      </c>
      <c r="G42" s="68">
        <v>633</v>
      </c>
      <c r="H42" s="68"/>
      <c r="I42" s="68">
        <f>2780-4719</f>
        <v>-1939</v>
      </c>
      <c r="J42" s="874"/>
      <c r="K42" s="68"/>
      <c r="L42" s="72">
        <f>SUM(J42:K42)</f>
        <v>0</v>
      </c>
    </row>
    <row r="43" spans="1:12" s="129" customFormat="1" ht="19.5" customHeight="1" thickBot="1">
      <c r="A43" s="28">
        <v>36</v>
      </c>
      <c r="B43" s="80" t="s">
        <v>10</v>
      </c>
      <c r="C43" s="81"/>
      <c r="D43" s="81"/>
      <c r="E43" s="81"/>
      <c r="F43" s="245" t="s">
        <v>1109</v>
      </c>
      <c r="G43" s="82">
        <v>-2050</v>
      </c>
      <c r="H43" s="82"/>
      <c r="I43" s="82">
        <v>-56553</v>
      </c>
      <c r="J43" s="878"/>
      <c r="K43" s="82"/>
      <c r="L43" s="128">
        <f>SUM(J43:K43)</f>
        <v>0</v>
      </c>
    </row>
    <row r="44" spans="1:12" s="243" customFormat="1" ht="39.75" customHeight="1" thickBot="1">
      <c r="A44" s="166">
        <v>37</v>
      </c>
      <c r="B44" s="297"/>
      <c r="C44" s="75"/>
      <c r="D44" s="76"/>
      <c r="E44" s="75"/>
      <c r="F44" s="77" t="s">
        <v>1101</v>
      </c>
      <c r="G44" s="77">
        <f aca="true" t="shared" si="8" ref="G44:L44">SUM(G40:G43)</f>
        <v>19430240</v>
      </c>
      <c r="H44" s="77">
        <f t="shared" si="8"/>
        <v>13995665</v>
      </c>
      <c r="I44" s="77">
        <f t="shared" si="8"/>
        <v>13708756</v>
      </c>
      <c r="J44" s="879">
        <f t="shared" si="8"/>
        <v>18056073</v>
      </c>
      <c r="K44" s="77">
        <f t="shared" si="8"/>
        <v>2486241</v>
      </c>
      <c r="L44" s="78">
        <f t="shared" si="8"/>
        <v>20542314</v>
      </c>
    </row>
    <row r="45" spans="2:11" ht="16.5">
      <c r="B45" s="246"/>
      <c r="C45" s="67"/>
      <c r="D45" s="67"/>
      <c r="E45" s="67"/>
      <c r="F45" s="68"/>
      <c r="G45" s="68"/>
      <c r="H45" s="68"/>
      <c r="I45" s="68"/>
      <c r="J45" s="68"/>
      <c r="K45" s="68"/>
    </row>
    <row r="46" spans="2:11" ht="16.5">
      <c r="B46" s="246"/>
      <c r="C46" s="67"/>
      <c r="D46" s="67"/>
      <c r="E46" s="67"/>
      <c r="F46" s="68"/>
      <c r="G46" s="68"/>
      <c r="H46" s="68"/>
      <c r="I46" s="68"/>
      <c r="J46" s="68"/>
      <c r="K46" s="68"/>
    </row>
    <row r="47" spans="2:11" ht="16.5">
      <c r="B47" s="246"/>
      <c r="C47" s="67"/>
      <c r="D47" s="67"/>
      <c r="E47" s="67"/>
      <c r="F47" s="68"/>
      <c r="G47" s="68"/>
      <c r="H47" s="68"/>
      <c r="I47" s="68"/>
      <c r="J47" s="68"/>
      <c r="K47" s="68"/>
    </row>
    <row r="48" spans="2:11" ht="16.5">
      <c r="B48" s="246"/>
      <c r="C48" s="67"/>
      <c r="D48" s="67"/>
      <c r="E48" s="67"/>
      <c r="F48" s="68"/>
      <c r="G48" s="68"/>
      <c r="H48" s="68"/>
      <c r="I48" s="68"/>
      <c r="J48" s="68"/>
      <c r="K48" s="68"/>
    </row>
    <row r="49" spans="2:11" ht="17.25">
      <c r="B49" s="246"/>
      <c r="C49" s="69"/>
      <c r="D49" s="67"/>
      <c r="E49" s="69"/>
      <c r="F49" s="70"/>
      <c r="G49" s="70"/>
      <c r="H49" s="70"/>
      <c r="I49" s="70"/>
      <c r="J49" s="68"/>
      <c r="K49" s="68"/>
    </row>
    <row r="50" spans="2:11" ht="16.5">
      <c r="B50" s="246"/>
      <c r="C50" s="67"/>
      <c r="D50" s="67"/>
      <c r="E50" s="67"/>
      <c r="F50" s="68"/>
      <c r="G50" s="68"/>
      <c r="H50" s="68"/>
      <c r="I50" s="68"/>
      <c r="J50" s="68"/>
      <c r="K50" s="68"/>
    </row>
    <row r="51" spans="2:11" ht="16.5">
      <c r="B51" s="246"/>
      <c r="C51" s="67"/>
      <c r="D51" s="67"/>
      <c r="E51" s="67"/>
      <c r="F51" s="68"/>
      <c r="G51" s="68"/>
      <c r="H51" s="68"/>
      <c r="I51" s="68"/>
      <c r="J51" s="68"/>
      <c r="K51" s="68"/>
    </row>
    <row r="52" spans="10:11" ht="16.5">
      <c r="J52" s="68"/>
      <c r="K52" s="68"/>
    </row>
    <row r="53" spans="10:11" ht="16.5">
      <c r="J53" s="68"/>
      <c r="K53" s="68"/>
    </row>
    <row r="54" spans="10:11" ht="16.5">
      <c r="J54" s="68"/>
      <c r="K54" s="68"/>
    </row>
    <row r="55" spans="10:11" ht="16.5">
      <c r="J55" s="68"/>
      <c r="K55" s="68"/>
    </row>
    <row r="56" spans="10:11" ht="16.5">
      <c r="J56" s="68"/>
      <c r="K56" s="68"/>
    </row>
    <row r="57" spans="10:11" ht="16.5">
      <c r="J57" s="68"/>
      <c r="K57" s="68"/>
    </row>
    <row r="58" spans="10:11" ht="16.5">
      <c r="J58" s="68"/>
      <c r="K58" s="68"/>
    </row>
    <row r="59" spans="10:11" ht="16.5">
      <c r="J59" s="68"/>
      <c r="K59" s="68"/>
    </row>
    <row r="60" spans="1:11" s="83" customFormat="1" ht="17.25">
      <c r="A60" s="233"/>
      <c r="B60" s="61"/>
      <c r="C60" s="59"/>
      <c r="D60" s="60"/>
      <c r="E60" s="59"/>
      <c r="J60" s="70"/>
      <c r="K60" s="70"/>
    </row>
    <row r="61" spans="10:11" ht="16.5">
      <c r="J61" s="68"/>
      <c r="K61" s="68"/>
    </row>
    <row r="62" spans="10:11" ht="16.5">
      <c r="J62" s="68"/>
      <c r="K62" s="68"/>
    </row>
    <row r="63" spans="10:11" ht="16.5">
      <c r="J63" s="68"/>
      <c r="K63" s="68"/>
    </row>
    <row r="64" spans="10:11" ht="16.5">
      <c r="J64" s="68"/>
      <c r="K64" s="68"/>
    </row>
    <row r="65" spans="1:11" s="83" customFormat="1" ht="17.25">
      <c r="A65" s="233"/>
      <c r="B65" s="61"/>
      <c r="C65" s="59"/>
      <c r="D65" s="60"/>
      <c r="E65" s="59"/>
      <c r="J65" s="70"/>
      <c r="K65" s="70"/>
    </row>
    <row r="66" spans="10:11" ht="16.5">
      <c r="J66" s="68"/>
      <c r="K66" s="68"/>
    </row>
    <row r="67" spans="1:11" s="83" customFormat="1" ht="17.25">
      <c r="A67" s="233"/>
      <c r="B67" s="61"/>
      <c r="C67" s="59"/>
      <c r="D67" s="60"/>
      <c r="E67" s="59"/>
      <c r="J67" s="70"/>
      <c r="K67" s="70"/>
    </row>
    <row r="74" ht="16.5">
      <c r="F74" s="68"/>
    </row>
    <row r="75" ht="16.5">
      <c r="F75" s="68"/>
    </row>
    <row r="76" ht="16.5">
      <c r="F76" s="68"/>
    </row>
    <row r="77" ht="16.5">
      <c r="F77" s="68"/>
    </row>
    <row r="78" ht="16.5">
      <c r="F78" s="68"/>
    </row>
    <row r="79" ht="16.5">
      <c r="F79" s="68"/>
    </row>
    <row r="80" ht="16.5">
      <c r="F80" s="68"/>
    </row>
    <row r="371" spans="1:9" s="604" customFormat="1" ht="16.5">
      <c r="A371" s="601"/>
      <c r="B371" s="602"/>
      <c r="C371" s="603"/>
      <c r="D371" s="603"/>
      <c r="E371" s="603"/>
      <c r="I371" s="58"/>
    </row>
    <row r="372" spans="1:9" s="604" customFormat="1" ht="16.5">
      <c r="A372" s="601"/>
      <c r="B372" s="602"/>
      <c r="C372" s="603"/>
      <c r="D372" s="603"/>
      <c r="E372" s="603"/>
      <c r="I372" s="58"/>
    </row>
    <row r="373" spans="1:9" s="604" customFormat="1" ht="16.5">
      <c r="A373" s="601"/>
      <c r="B373" s="602"/>
      <c r="C373" s="603"/>
      <c r="D373" s="603"/>
      <c r="E373" s="603"/>
      <c r="I373" s="58"/>
    </row>
    <row r="374" spans="1:9" s="604" customFormat="1" ht="16.5">
      <c r="A374" s="601"/>
      <c r="B374" s="602"/>
      <c r="C374" s="603"/>
      <c r="D374" s="603"/>
      <c r="E374" s="603"/>
      <c r="I374" s="58"/>
    </row>
    <row r="375" spans="1:17" s="604" customFormat="1" ht="16.5">
      <c r="A375" s="601"/>
      <c r="B375" s="602"/>
      <c r="C375" s="603"/>
      <c r="D375" s="603"/>
      <c r="E375" s="603"/>
      <c r="I375" s="58">
        <f aca="true" t="shared" si="9" ref="I375:Q375">SUM(I373:I374)</f>
        <v>0</v>
      </c>
      <c r="J375" s="604">
        <f t="shared" si="9"/>
        <v>0</v>
      </c>
      <c r="K375" s="604">
        <f t="shared" si="9"/>
        <v>0</v>
      </c>
      <c r="L375" s="604">
        <f t="shared" si="9"/>
        <v>0</v>
      </c>
      <c r="M375" s="604">
        <f t="shared" si="9"/>
        <v>0</v>
      </c>
      <c r="N375" s="604">
        <f t="shared" si="9"/>
        <v>0</v>
      </c>
      <c r="O375" s="604">
        <f t="shared" si="9"/>
        <v>0</v>
      </c>
      <c r="P375" s="604">
        <f t="shared" si="9"/>
        <v>0</v>
      </c>
      <c r="Q375" s="604">
        <f t="shared" si="9"/>
        <v>0</v>
      </c>
    </row>
    <row r="376" spans="1:9" s="604" customFormat="1" ht="16.5">
      <c r="A376" s="601"/>
      <c r="B376" s="602"/>
      <c r="C376" s="603"/>
      <c r="D376" s="603"/>
      <c r="E376" s="603"/>
      <c r="I376" s="58"/>
    </row>
    <row r="377" spans="1:9" s="604" customFormat="1" ht="16.5">
      <c r="A377" s="601"/>
      <c r="B377" s="602"/>
      <c r="C377" s="603"/>
      <c r="D377" s="603"/>
      <c r="E377" s="603"/>
      <c r="I377" s="58"/>
    </row>
    <row r="378" spans="1:9" s="604" customFormat="1" ht="16.5">
      <c r="A378" s="601"/>
      <c r="B378" s="602"/>
      <c r="C378" s="603"/>
      <c r="D378" s="603"/>
      <c r="E378" s="603"/>
      <c r="I378" s="58"/>
    </row>
    <row r="379" spans="1:9" s="604" customFormat="1" ht="16.5">
      <c r="A379" s="601"/>
      <c r="B379" s="602"/>
      <c r="C379" s="603"/>
      <c r="D379" s="603"/>
      <c r="E379" s="603"/>
      <c r="I379" s="58"/>
    </row>
    <row r="380" spans="1:17" s="604" customFormat="1" ht="16.5">
      <c r="A380" s="601"/>
      <c r="B380" s="602"/>
      <c r="C380" s="603"/>
      <c r="D380" s="603"/>
      <c r="E380" s="603"/>
      <c r="I380" s="58">
        <f aca="true" t="shared" si="10" ref="I380:Q380">SUM(I378:I379)</f>
        <v>0</v>
      </c>
      <c r="J380" s="604">
        <f t="shared" si="10"/>
        <v>0</v>
      </c>
      <c r="K380" s="604">
        <f t="shared" si="10"/>
        <v>0</v>
      </c>
      <c r="L380" s="604">
        <f t="shared" si="10"/>
        <v>0</v>
      </c>
      <c r="M380" s="604">
        <f t="shared" si="10"/>
        <v>0</v>
      </c>
      <c r="N380" s="604">
        <f t="shared" si="10"/>
        <v>0</v>
      </c>
      <c r="O380" s="604">
        <f t="shared" si="10"/>
        <v>0</v>
      </c>
      <c r="P380" s="604">
        <f t="shared" si="10"/>
        <v>0</v>
      </c>
      <c r="Q380" s="604">
        <f t="shared" si="10"/>
        <v>0</v>
      </c>
    </row>
    <row r="381" spans="1:9" s="604" customFormat="1" ht="16.5">
      <c r="A381" s="601"/>
      <c r="B381" s="602"/>
      <c r="C381" s="603"/>
      <c r="D381" s="603"/>
      <c r="E381" s="603"/>
      <c r="I381" s="58"/>
    </row>
    <row r="382" spans="1:9" s="604" customFormat="1" ht="16.5">
      <c r="A382" s="601"/>
      <c r="B382" s="602"/>
      <c r="C382" s="603"/>
      <c r="D382" s="603"/>
      <c r="E382" s="603"/>
      <c r="I382" s="58"/>
    </row>
    <row r="383" spans="1:9" s="604" customFormat="1" ht="16.5">
      <c r="A383" s="601"/>
      <c r="B383" s="602"/>
      <c r="C383" s="603"/>
      <c r="D383" s="603"/>
      <c r="E383" s="603"/>
      <c r="I383" s="58"/>
    </row>
    <row r="384" spans="1:9" s="604" customFormat="1" ht="16.5">
      <c r="A384" s="601"/>
      <c r="B384" s="602"/>
      <c r="C384" s="603"/>
      <c r="D384" s="603"/>
      <c r="E384" s="603"/>
      <c r="I384" s="58"/>
    </row>
    <row r="385" spans="1:17" s="604" customFormat="1" ht="16.5">
      <c r="A385" s="601"/>
      <c r="B385" s="602"/>
      <c r="C385" s="603"/>
      <c r="D385" s="603"/>
      <c r="E385" s="603"/>
      <c r="I385" s="58">
        <f aca="true" t="shared" si="11" ref="I385:Q385">SUM(I383:I384)</f>
        <v>0</v>
      </c>
      <c r="J385" s="604">
        <f t="shared" si="11"/>
        <v>0</v>
      </c>
      <c r="K385" s="604">
        <f t="shared" si="11"/>
        <v>0</v>
      </c>
      <c r="L385" s="604">
        <f t="shared" si="11"/>
        <v>0</v>
      </c>
      <c r="M385" s="604">
        <f t="shared" si="11"/>
        <v>0</v>
      </c>
      <c r="N385" s="604">
        <f t="shared" si="11"/>
        <v>0</v>
      </c>
      <c r="O385" s="604">
        <f t="shared" si="11"/>
        <v>0</v>
      </c>
      <c r="P385" s="604">
        <f t="shared" si="11"/>
        <v>0</v>
      </c>
      <c r="Q385" s="604">
        <f t="shared" si="11"/>
        <v>0</v>
      </c>
    </row>
  </sheetData>
  <sheetProtection/>
  <mergeCells count="5">
    <mergeCell ref="B1:F1"/>
    <mergeCell ref="K5:L5"/>
    <mergeCell ref="B2:L2"/>
    <mergeCell ref="B3:L3"/>
    <mergeCell ref="B4:L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399"/>
  <sheetViews>
    <sheetView view="pageBreakPreview" zoomScale="95" zoomScaleSheetLayoutView="95" zoomScalePageLayoutView="0" workbookViewId="0" topLeftCell="A1">
      <selection activeCell="B1" sqref="B1:D1"/>
    </sheetView>
  </sheetViews>
  <sheetFormatPr defaultColWidth="9.00390625" defaultRowHeight="12.75"/>
  <cols>
    <col min="1" max="1" width="3.625" style="284" bestFit="1" customWidth="1"/>
    <col min="2" max="2" width="4.125" style="156" customWidth="1"/>
    <col min="3" max="3" width="5.875" style="99" bestFit="1" customWidth="1"/>
    <col min="4" max="4" width="50.75390625" style="99" customWidth="1"/>
    <col min="5" max="5" width="9.375" style="99" bestFit="1" customWidth="1"/>
    <col min="6" max="6" width="14.00390625" style="99" bestFit="1" customWidth="1"/>
    <col min="7" max="7" width="11.25390625" style="99" customWidth="1"/>
    <col min="8" max="8" width="13.00390625" style="99" customWidth="1"/>
    <col min="9" max="11" width="12.75390625" style="99" customWidth="1"/>
    <col min="12" max="12" width="9.875" style="99" bestFit="1" customWidth="1"/>
    <col min="13" max="13" width="12.75390625" style="177" customWidth="1"/>
    <col min="14" max="14" width="12.75390625" style="99" customWidth="1"/>
    <col min="15" max="15" width="0" style="99" hidden="1" customWidth="1"/>
    <col min="16" max="16384" width="9.125" style="99" customWidth="1"/>
  </cols>
  <sheetData>
    <row r="1" spans="2:4" ht="15">
      <c r="B1" s="1357" t="s">
        <v>799</v>
      </c>
      <c r="C1" s="1357"/>
      <c r="D1" s="1357"/>
    </row>
    <row r="2" spans="2:14" ht="15">
      <c r="B2" s="1345" t="s">
        <v>1183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</row>
    <row r="3" spans="2:14" ht="15">
      <c r="B3" s="1345" t="s">
        <v>1167</v>
      </c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</row>
    <row r="4" spans="5:14" ht="15">
      <c r="E4" s="90"/>
      <c r="F4" s="90"/>
      <c r="G4" s="90"/>
      <c r="H4" s="90"/>
      <c r="I4" s="90"/>
      <c r="J4" s="90"/>
      <c r="M4" s="1344" t="s">
        <v>861</v>
      </c>
      <c r="N4" s="1344"/>
    </row>
    <row r="5" spans="1:14" s="156" customFormat="1" ht="15.75" thickBot="1">
      <c r="A5" s="284"/>
      <c r="B5" s="156" t="s">
        <v>873</v>
      </c>
      <c r="C5" s="156" t="s">
        <v>874</v>
      </c>
      <c r="D5" s="156" t="s">
        <v>875</v>
      </c>
      <c r="E5" s="96" t="s">
        <v>876</v>
      </c>
      <c r="F5" s="96" t="s">
        <v>877</v>
      </c>
      <c r="G5" s="96" t="s">
        <v>878</v>
      </c>
      <c r="H5" s="96" t="s">
        <v>879</v>
      </c>
      <c r="I5" s="96" t="s">
        <v>518</v>
      </c>
      <c r="J5" s="96" t="s">
        <v>519</v>
      </c>
      <c r="K5" s="156" t="s">
        <v>465</v>
      </c>
      <c r="L5" s="156" t="s">
        <v>466</v>
      </c>
      <c r="M5" s="178" t="s">
        <v>467</v>
      </c>
      <c r="N5" s="156" t="s">
        <v>468</v>
      </c>
    </row>
    <row r="6" spans="1:14" s="156" customFormat="1" ht="15">
      <c r="A6" s="284"/>
      <c r="B6" s="1358" t="s">
        <v>391</v>
      </c>
      <c r="C6" s="1355" t="s">
        <v>1184</v>
      </c>
      <c r="D6" s="1353" t="s">
        <v>862</v>
      </c>
      <c r="E6" s="1346" t="s">
        <v>502</v>
      </c>
      <c r="F6" s="1346"/>
      <c r="G6" s="1346"/>
      <c r="H6" s="1347" t="s">
        <v>503</v>
      </c>
      <c r="I6" s="1347"/>
      <c r="J6" s="1347"/>
      <c r="K6" s="1347" t="s">
        <v>471</v>
      </c>
      <c r="L6" s="1347" t="s">
        <v>470</v>
      </c>
      <c r="M6" s="1347"/>
      <c r="N6" s="1341" t="s">
        <v>388</v>
      </c>
    </row>
    <row r="7" spans="2:14" ht="75.75" thickBot="1">
      <c r="B7" s="1359"/>
      <c r="C7" s="1356"/>
      <c r="D7" s="1354"/>
      <c r="E7" s="21" t="s">
        <v>907</v>
      </c>
      <c r="F7" s="21" t="s">
        <v>501</v>
      </c>
      <c r="G7" s="21" t="s">
        <v>580</v>
      </c>
      <c r="H7" s="21" t="s">
        <v>472</v>
      </c>
      <c r="I7" s="21" t="s">
        <v>473</v>
      </c>
      <c r="J7" s="21" t="s">
        <v>479</v>
      </c>
      <c r="K7" s="1348"/>
      <c r="L7" s="21" t="s">
        <v>860</v>
      </c>
      <c r="M7" s="27" t="s">
        <v>848</v>
      </c>
      <c r="N7" s="1342"/>
    </row>
    <row r="8" spans="1:15" s="180" customFormat="1" ht="25.5" customHeight="1">
      <c r="A8" s="284">
        <v>1</v>
      </c>
      <c r="B8" s="181">
        <v>1</v>
      </c>
      <c r="C8" s="182"/>
      <c r="D8" s="1327" t="s">
        <v>1176</v>
      </c>
      <c r="E8" s="1327"/>
      <c r="F8" s="1327"/>
      <c r="G8" s="1327"/>
      <c r="H8" s="183"/>
      <c r="I8" s="183"/>
      <c r="J8" s="183"/>
      <c r="K8" s="183"/>
      <c r="L8" s="183"/>
      <c r="M8" s="184"/>
      <c r="N8" s="155"/>
      <c r="O8" s="180">
        <f>(SUM(E9:L9))-N8</f>
        <v>166856</v>
      </c>
    </row>
    <row r="9" spans="1:14" ht="15">
      <c r="A9" s="284">
        <v>2</v>
      </c>
      <c r="B9" s="92"/>
      <c r="C9" s="96"/>
      <c r="D9" s="97" t="s">
        <v>1168</v>
      </c>
      <c r="E9" s="183">
        <v>16015</v>
      </c>
      <c r="F9" s="183"/>
      <c r="G9" s="183"/>
      <c r="H9" s="183"/>
      <c r="I9" s="183"/>
      <c r="J9" s="183"/>
      <c r="K9" s="183"/>
      <c r="L9" s="183">
        <v>150841</v>
      </c>
      <c r="M9" s="184">
        <v>126132</v>
      </c>
      <c r="N9" s="384">
        <f>SUM(E9:L9)</f>
        <v>166856</v>
      </c>
    </row>
    <row r="10" spans="1:14" s="177" customFormat="1" ht="15">
      <c r="A10" s="284">
        <v>3</v>
      </c>
      <c r="B10" s="179"/>
      <c r="C10" s="285"/>
      <c r="D10" s="187" t="s">
        <v>588</v>
      </c>
      <c r="E10" s="91"/>
      <c r="F10" s="91"/>
      <c r="G10" s="91"/>
      <c r="H10" s="91"/>
      <c r="I10" s="91"/>
      <c r="J10" s="91"/>
      <c r="K10" s="91">
        <v>1656</v>
      </c>
      <c r="L10" s="91"/>
      <c r="M10" s="91"/>
      <c r="N10" s="385">
        <f>SUM(E10:L10)</f>
        <v>1656</v>
      </c>
    </row>
    <row r="11" spans="1:14" s="177" customFormat="1" ht="15">
      <c r="A11" s="284">
        <v>4</v>
      </c>
      <c r="B11" s="179"/>
      <c r="C11" s="285"/>
      <c r="D11" s="187" t="s">
        <v>595</v>
      </c>
      <c r="E11" s="91"/>
      <c r="F11" s="91"/>
      <c r="G11" s="91"/>
      <c r="H11" s="91"/>
      <c r="I11" s="91"/>
      <c r="J11" s="91"/>
      <c r="K11" s="91"/>
      <c r="L11" s="91">
        <v>325</v>
      </c>
      <c r="M11" s="91"/>
      <c r="N11" s="385">
        <f>SUM(E11:L11)</f>
        <v>325</v>
      </c>
    </row>
    <row r="12" spans="1:14" s="177" customFormat="1" ht="15">
      <c r="A12" s="284">
        <v>5</v>
      </c>
      <c r="B12" s="179"/>
      <c r="C12" s="285"/>
      <c r="D12" s="187" t="s">
        <v>632</v>
      </c>
      <c r="E12" s="91"/>
      <c r="F12" s="91"/>
      <c r="G12" s="91"/>
      <c r="H12" s="91"/>
      <c r="I12" s="91"/>
      <c r="J12" s="91"/>
      <c r="K12" s="91"/>
      <c r="L12" s="91">
        <v>100</v>
      </c>
      <c r="M12" s="91"/>
      <c r="N12" s="385">
        <f>SUM(E12:L12)</f>
        <v>100</v>
      </c>
    </row>
    <row r="13" spans="1:14" s="7" customFormat="1" ht="15">
      <c r="A13" s="284">
        <v>6</v>
      </c>
      <c r="B13" s="383"/>
      <c r="C13" s="93"/>
      <c r="D13" s="185" t="s">
        <v>1169</v>
      </c>
      <c r="E13" s="94">
        <f aca="true" t="shared" si="0" ref="E13:M13">SUM(E9:E12)</f>
        <v>16015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1656</v>
      </c>
      <c r="L13" s="94">
        <f t="shared" si="0"/>
        <v>151266</v>
      </c>
      <c r="M13" s="186">
        <f t="shared" si="0"/>
        <v>126132</v>
      </c>
      <c r="N13" s="155">
        <f>SUM(E13:L13)</f>
        <v>168937</v>
      </c>
    </row>
    <row r="14" spans="1:15" s="180" customFormat="1" ht="18" customHeight="1">
      <c r="A14" s="284">
        <v>7</v>
      </c>
      <c r="B14" s="181"/>
      <c r="C14" s="182">
        <v>1</v>
      </c>
      <c r="D14" s="386" t="s">
        <v>464</v>
      </c>
      <c r="E14" s="183"/>
      <c r="F14" s="183"/>
      <c r="G14" s="183"/>
      <c r="H14" s="183"/>
      <c r="I14" s="183"/>
      <c r="J14" s="183"/>
      <c r="K14" s="183"/>
      <c r="L14" s="183"/>
      <c r="M14" s="184"/>
      <c r="N14" s="155"/>
      <c r="O14" s="180">
        <f>(SUM(E14:L14))-N14</f>
        <v>0</v>
      </c>
    </row>
    <row r="15" spans="1:14" ht="15">
      <c r="A15" s="284">
        <v>8</v>
      </c>
      <c r="B15" s="92"/>
      <c r="C15" s="96"/>
      <c r="D15" s="97" t="s">
        <v>1168</v>
      </c>
      <c r="E15" s="183"/>
      <c r="F15" s="183">
        <v>792</v>
      </c>
      <c r="G15" s="183"/>
      <c r="H15" s="183"/>
      <c r="I15" s="183"/>
      <c r="J15" s="183"/>
      <c r="K15" s="183"/>
      <c r="L15" s="183"/>
      <c r="M15" s="184"/>
      <c r="N15" s="384">
        <f>SUM(E15:L15)</f>
        <v>792</v>
      </c>
    </row>
    <row r="16" spans="1:14" s="177" customFormat="1" ht="15">
      <c r="A16" s="284">
        <v>9</v>
      </c>
      <c r="B16" s="179"/>
      <c r="C16" s="285"/>
      <c r="D16" s="187" t="s">
        <v>1170</v>
      </c>
      <c r="E16" s="91"/>
      <c r="F16" s="91"/>
      <c r="G16" s="91"/>
      <c r="H16" s="91"/>
      <c r="I16" s="91"/>
      <c r="J16" s="91"/>
      <c r="K16" s="91"/>
      <c r="L16" s="91"/>
      <c r="M16" s="91"/>
      <c r="N16" s="385">
        <f aca="true" t="shared" si="1" ref="N16:N73">SUM(E16:L16)</f>
        <v>0</v>
      </c>
    </row>
    <row r="17" spans="1:14" s="7" customFormat="1" ht="15">
      <c r="A17" s="284">
        <v>10</v>
      </c>
      <c r="B17" s="383"/>
      <c r="C17" s="93"/>
      <c r="D17" s="185" t="s">
        <v>1169</v>
      </c>
      <c r="E17" s="94">
        <f>SUM(E15:E16)</f>
        <v>0</v>
      </c>
      <c r="F17" s="94">
        <f>SUM(F15:F16)</f>
        <v>792</v>
      </c>
      <c r="G17" s="94">
        <f aca="true" t="shared" si="2" ref="G17:M17">SUM(G15:G16)</f>
        <v>0</v>
      </c>
      <c r="H17" s="94">
        <f t="shared" si="2"/>
        <v>0</v>
      </c>
      <c r="I17" s="94">
        <f t="shared" si="2"/>
        <v>0</v>
      </c>
      <c r="J17" s="94">
        <f t="shared" si="2"/>
        <v>0</v>
      </c>
      <c r="K17" s="94">
        <f t="shared" si="2"/>
        <v>0</v>
      </c>
      <c r="L17" s="94">
        <f t="shared" si="2"/>
        <v>0</v>
      </c>
      <c r="M17" s="186">
        <f t="shared" si="2"/>
        <v>0</v>
      </c>
      <c r="N17" s="155">
        <f t="shared" si="1"/>
        <v>792</v>
      </c>
    </row>
    <row r="18" spans="1:15" s="180" customFormat="1" ht="25.5" customHeight="1">
      <c r="A18" s="284">
        <v>11</v>
      </c>
      <c r="B18" s="181">
        <v>2</v>
      </c>
      <c r="C18" s="182"/>
      <c r="D18" s="1349" t="s">
        <v>1171</v>
      </c>
      <c r="E18" s="1349"/>
      <c r="F18" s="1349"/>
      <c r="G18" s="1349"/>
      <c r="H18" s="183"/>
      <c r="I18" s="183"/>
      <c r="J18" s="183"/>
      <c r="K18" s="183"/>
      <c r="L18" s="183"/>
      <c r="M18" s="184"/>
      <c r="N18" s="155"/>
      <c r="O18" s="180">
        <f>(SUM(E19:L19))-N18</f>
        <v>291675</v>
      </c>
    </row>
    <row r="19" spans="1:14" ht="15">
      <c r="A19" s="284">
        <v>12</v>
      </c>
      <c r="B19" s="92"/>
      <c r="C19" s="96"/>
      <c r="D19" s="97" t="s">
        <v>1168</v>
      </c>
      <c r="E19" s="183">
        <v>28300</v>
      </c>
      <c r="F19" s="183"/>
      <c r="G19" s="183"/>
      <c r="H19" s="183"/>
      <c r="I19" s="183"/>
      <c r="J19" s="183"/>
      <c r="K19" s="183"/>
      <c r="L19" s="183">
        <v>263375</v>
      </c>
      <c r="M19" s="184">
        <v>238300</v>
      </c>
      <c r="N19" s="384">
        <f t="shared" si="1"/>
        <v>291675</v>
      </c>
    </row>
    <row r="20" spans="1:14" s="177" customFormat="1" ht="15">
      <c r="A20" s="284">
        <v>13</v>
      </c>
      <c r="B20" s="179"/>
      <c r="C20" s="285"/>
      <c r="D20" s="187" t="s">
        <v>588</v>
      </c>
      <c r="E20" s="91"/>
      <c r="F20" s="91"/>
      <c r="G20" s="91"/>
      <c r="H20" s="91"/>
      <c r="I20" s="91"/>
      <c r="J20" s="91"/>
      <c r="K20" s="91">
        <v>905</v>
      </c>
      <c r="L20" s="91"/>
      <c r="M20" s="91"/>
      <c r="N20" s="385">
        <f t="shared" si="1"/>
        <v>905</v>
      </c>
    </row>
    <row r="21" spans="1:14" s="177" customFormat="1" ht="15">
      <c r="A21" s="284">
        <v>14</v>
      </c>
      <c r="B21" s="179"/>
      <c r="C21" s="285"/>
      <c r="D21" s="187" t="s">
        <v>595</v>
      </c>
      <c r="E21" s="91"/>
      <c r="F21" s="91"/>
      <c r="G21" s="91"/>
      <c r="H21" s="91"/>
      <c r="I21" s="91"/>
      <c r="J21" s="91"/>
      <c r="K21" s="91"/>
      <c r="L21" s="91">
        <v>557</v>
      </c>
      <c r="M21" s="91"/>
      <c r="N21" s="385">
        <f t="shared" si="1"/>
        <v>557</v>
      </c>
    </row>
    <row r="22" spans="1:14" s="177" customFormat="1" ht="15">
      <c r="A22" s="284">
        <v>15</v>
      </c>
      <c r="B22" s="179"/>
      <c r="C22" s="285"/>
      <c r="D22" s="187" t="s">
        <v>633</v>
      </c>
      <c r="E22" s="91"/>
      <c r="F22" s="91"/>
      <c r="G22" s="91"/>
      <c r="H22" s="91"/>
      <c r="I22" s="91"/>
      <c r="J22" s="91"/>
      <c r="K22" s="91"/>
      <c r="L22" s="91">
        <v>300</v>
      </c>
      <c r="M22" s="91"/>
      <c r="N22" s="385">
        <f t="shared" si="1"/>
        <v>300</v>
      </c>
    </row>
    <row r="23" spans="1:14" s="177" customFormat="1" ht="15">
      <c r="A23" s="284">
        <v>16</v>
      </c>
      <c r="B23" s="179"/>
      <c r="C23" s="285"/>
      <c r="D23" s="187" t="s">
        <v>634</v>
      </c>
      <c r="E23" s="91"/>
      <c r="F23" s="91"/>
      <c r="G23" s="91"/>
      <c r="H23" s="91"/>
      <c r="I23" s="91"/>
      <c r="J23" s="91"/>
      <c r="K23" s="91"/>
      <c r="L23" s="91">
        <v>300</v>
      </c>
      <c r="M23" s="91"/>
      <c r="N23" s="385">
        <f t="shared" si="1"/>
        <v>300</v>
      </c>
    </row>
    <row r="24" spans="1:14" s="7" customFormat="1" ht="15">
      <c r="A24" s="284">
        <v>17</v>
      </c>
      <c r="B24" s="383"/>
      <c r="C24" s="93"/>
      <c r="D24" s="185" t="s">
        <v>1169</v>
      </c>
      <c r="E24" s="94">
        <f>SUM(E19:E23)</f>
        <v>28300</v>
      </c>
      <c r="F24" s="94">
        <f aca="true" t="shared" si="3" ref="F24:K24">SUM(F19:F23)</f>
        <v>0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94">
        <f t="shared" si="3"/>
        <v>0</v>
      </c>
      <c r="K24" s="94">
        <f t="shared" si="3"/>
        <v>905</v>
      </c>
      <c r="L24" s="94">
        <f>SUM(L19:L23)</f>
        <v>264532</v>
      </c>
      <c r="M24" s="186">
        <f>SUM(M19:M23)</f>
        <v>238300</v>
      </c>
      <c r="N24" s="155">
        <f t="shared" si="1"/>
        <v>293737</v>
      </c>
    </row>
    <row r="25" spans="1:14" s="180" customFormat="1" ht="18" customHeight="1">
      <c r="A25" s="284">
        <v>18</v>
      </c>
      <c r="B25" s="181"/>
      <c r="C25" s="182">
        <v>1</v>
      </c>
      <c r="D25" s="386" t="s">
        <v>464</v>
      </c>
      <c r="E25" s="183"/>
      <c r="F25" s="183"/>
      <c r="G25" s="183"/>
      <c r="H25" s="183"/>
      <c r="I25" s="183"/>
      <c r="J25" s="183"/>
      <c r="K25" s="183"/>
      <c r="L25" s="183"/>
      <c r="M25" s="184"/>
      <c r="N25" s="155"/>
    </row>
    <row r="26" spans="1:14" ht="15">
      <c r="A26" s="284">
        <v>19</v>
      </c>
      <c r="B26" s="92"/>
      <c r="C26" s="96"/>
      <c r="D26" s="97" t="s">
        <v>1168</v>
      </c>
      <c r="E26" s="183"/>
      <c r="F26" s="183">
        <v>1053</v>
      </c>
      <c r="G26" s="183"/>
      <c r="H26" s="183"/>
      <c r="I26" s="183"/>
      <c r="J26" s="183"/>
      <c r="K26" s="183"/>
      <c r="L26" s="183"/>
      <c r="M26" s="184"/>
      <c r="N26" s="384">
        <f t="shared" si="1"/>
        <v>1053</v>
      </c>
    </row>
    <row r="27" spans="1:14" s="177" customFormat="1" ht="15">
      <c r="A27" s="284">
        <v>20</v>
      </c>
      <c r="B27" s="179"/>
      <c r="C27" s="285"/>
      <c r="D27" s="187" t="s">
        <v>1170</v>
      </c>
      <c r="E27" s="91"/>
      <c r="F27" s="91"/>
      <c r="G27" s="91"/>
      <c r="H27" s="91"/>
      <c r="I27" s="91"/>
      <c r="J27" s="91"/>
      <c r="K27" s="91"/>
      <c r="L27" s="91"/>
      <c r="M27" s="91"/>
      <c r="N27" s="385">
        <f t="shared" si="1"/>
        <v>0</v>
      </c>
    </row>
    <row r="28" spans="1:14" s="7" customFormat="1" ht="15">
      <c r="A28" s="284">
        <v>21</v>
      </c>
      <c r="B28" s="383"/>
      <c r="C28" s="93"/>
      <c r="D28" s="185" t="s">
        <v>1169</v>
      </c>
      <c r="E28" s="94">
        <f>SUM(E26:E27)</f>
        <v>0</v>
      </c>
      <c r="F28" s="94">
        <f>SUM(F26:F27)</f>
        <v>1053</v>
      </c>
      <c r="G28" s="94">
        <f aca="true" t="shared" si="4" ref="G28:M28">SUM(G26:G27)</f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 t="shared" si="4"/>
        <v>0</v>
      </c>
      <c r="M28" s="186">
        <f t="shared" si="4"/>
        <v>0</v>
      </c>
      <c r="N28" s="155">
        <f t="shared" si="1"/>
        <v>1053</v>
      </c>
    </row>
    <row r="29" spans="1:15" s="180" customFormat="1" ht="25.5" customHeight="1">
      <c r="A29" s="284">
        <v>22</v>
      </c>
      <c r="B29" s="181">
        <v>3</v>
      </c>
      <c r="C29" s="182"/>
      <c r="D29" s="1349" t="s">
        <v>1172</v>
      </c>
      <c r="E29" s="1349"/>
      <c r="F29" s="1349"/>
      <c r="G29" s="1349"/>
      <c r="H29" s="183"/>
      <c r="I29" s="183"/>
      <c r="J29" s="183"/>
      <c r="K29" s="183"/>
      <c r="L29" s="183"/>
      <c r="M29" s="184"/>
      <c r="N29" s="155"/>
      <c r="O29" s="180">
        <f>(SUM(E30:L30))-N29</f>
        <v>327758</v>
      </c>
    </row>
    <row r="30" spans="1:14" ht="15">
      <c r="A30" s="284">
        <v>23</v>
      </c>
      <c r="B30" s="92"/>
      <c r="C30" s="96"/>
      <c r="D30" s="97" t="s">
        <v>1168</v>
      </c>
      <c r="E30" s="183">
        <v>32344</v>
      </c>
      <c r="F30" s="183"/>
      <c r="G30" s="183"/>
      <c r="H30" s="183"/>
      <c r="I30" s="183"/>
      <c r="J30" s="183"/>
      <c r="K30" s="183"/>
      <c r="L30" s="183">
        <v>295414</v>
      </c>
      <c r="M30" s="184">
        <v>254588</v>
      </c>
      <c r="N30" s="384">
        <f t="shared" si="1"/>
        <v>327758</v>
      </c>
    </row>
    <row r="31" spans="1:14" s="177" customFormat="1" ht="15">
      <c r="A31" s="284">
        <v>24</v>
      </c>
      <c r="B31" s="179"/>
      <c r="C31" s="285"/>
      <c r="D31" s="187" t="s">
        <v>588</v>
      </c>
      <c r="E31" s="91"/>
      <c r="F31" s="91"/>
      <c r="G31" s="91"/>
      <c r="H31" s="91"/>
      <c r="I31" s="91"/>
      <c r="J31" s="91"/>
      <c r="K31" s="91">
        <v>1950</v>
      </c>
      <c r="L31" s="91"/>
      <c r="M31" s="91"/>
      <c r="N31" s="385">
        <f t="shared" si="1"/>
        <v>1950</v>
      </c>
    </row>
    <row r="32" spans="1:14" s="177" customFormat="1" ht="15">
      <c r="A32" s="284">
        <v>25</v>
      </c>
      <c r="B32" s="179"/>
      <c r="C32" s="285"/>
      <c r="D32" s="187" t="s">
        <v>595</v>
      </c>
      <c r="E32" s="91"/>
      <c r="F32" s="91"/>
      <c r="G32" s="91"/>
      <c r="H32" s="91"/>
      <c r="I32" s="91"/>
      <c r="J32" s="91"/>
      <c r="K32" s="91"/>
      <c r="L32" s="91">
        <v>397</v>
      </c>
      <c r="M32" s="91"/>
      <c r="N32" s="385">
        <f t="shared" si="1"/>
        <v>397</v>
      </c>
    </row>
    <row r="33" spans="1:14" s="177" customFormat="1" ht="15">
      <c r="A33" s="284">
        <v>26</v>
      </c>
      <c r="B33" s="179"/>
      <c r="C33" s="285"/>
      <c r="D33" s="409" t="s">
        <v>635</v>
      </c>
      <c r="E33" s="91"/>
      <c r="F33" s="91"/>
      <c r="G33" s="91"/>
      <c r="H33" s="91"/>
      <c r="I33" s="91"/>
      <c r="J33" s="91"/>
      <c r="K33" s="91"/>
      <c r="L33" s="91">
        <v>300</v>
      </c>
      <c r="M33" s="91"/>
      <c r="N33" s="385">
        <f t="shared" si="1"/>
        <v>300</v>
      </c>
    </row>
    <row r="34" spans="1:14" s="177" customFormat="1" ht="15">
      <c r="A34" s="284">
        <v>27</v>
      </c>
      <c r="B34" s="179"/>
      <c r="C34" s="285"/>
      <c r="D34" s="409" t="s">
        <v>636</v>
      </c>
      <c r="E34" s="91"/>
      <c r="F34" s="91"/>
      <c r="G34" s="91"/>
      <c r="H34" s="91"/>
      <c r="I34" s="91"/>
      <c r="J34" s="91"/>
      <c r="K34" s="91"/>
      <c r="L34" s="91">
        <v>232</v>
      </c>
      <c r="M34" s="91"/>
      <c r="N34" s="385">
        <f t="shared" si="1"/>
        <v>232</v>
      </c>
    </row>
    <row r="35" spans="1:14" s="7" customFormat="1" ht="15">
      <c r="A35" s="284">
        <v>28</v>
      </c>
      <c r="B35" s="383"/>
      <c r="C35" s="93"/>
      <c r="D35" s="185" t="s">
        <v>1169</v>
      </c>
      <c r="E35" s="94">
        <f>SUM(E30:E34)</f>
        <v>32344</v>
      </c>
      <c r="F35" s="94">
        <f aca="true" t="shared" si="5" ref="F35:M35">SUM(F30:F34)</f>
        <v>0</v>
      </c>
      <c r="G35" s="94">
        <f t="shared" si="5"/>
        <v>0</v>
      </c>
      <c r="H35" s="94">
        <f t="shared" si="5"/>
        <v>0</v>
      </c>
      <c r="I35" s="94">
        <f t="shared" si="5"/>
        <v>0</v>
      </c>
      <c r="J35" s="94">
        <f t="shared" si="5"/>
        <v>0</v>
      </c>
      <c r="K35" s="94">
        <f t="shared" si="5"/>
        <v>1950</v>
      </c>
      <c r="L35" s="94">
        <f t="shared" si="5"/>
        <v>296343</v>
      </c>
      <c r="M35" s="186">
        <f t="shared" si="5"/>
        <v>254588</v>
      </c>
      <c r="N35" s="155">
        <f t="shared" si="1"/>
        <v>330637</v>
      </c>
    </row>
    <row r="36" spans="1:14" s="180" customFormat="1" ht="18" customHeight="1">
      <c r="A36" s="284">
        <v>29</v>
      </c>
      <c r="B36" s="181"/>
      <c r="C36" s="182">
        <v>1</v>
      </c>
      <c r="D36" s="386" t="s">
        <v>464</v>
      </c>
      <c r="E36" s="183"/>
      <c r="F36" s="183"/>
      <c r="G36" s="183"/>
      <c r="H36" s="183"/>
      <c r="I36" s="183"/>
      <c r="J36" s="183"/>
      <c r="K36" s="183"/>
      <c r="L36" s="183"/>
      <c r="M36" s="184"/>
      <c r="N36" s="155"/>
    </row>
    <row r="37" spans="1:14" ht="15">
      <c r="A37" s="284">
        <v>30</v>
      </c>
      <c r="B37" s="92"/>
      <c r="C37" s="96"/>
      <c r="D37" s="97" t="s">
        <v>1168</v>
      </c>
      <c r="E37" s="183"/>
      <c r="F37" s="183">
        <v>2317</v>
      </c>
      <c r="G37" s="183"/>
      <c r="H37" s="183"/>
      <c r="I37" s="183"/>
      <c r="J37" s="183"/>
      <c r="K37" s="183"/>
      <c r="L37" s="183"/>
      <c r="M37" s="184"/>
      <c r="N37" s="384">
        <f t="shared" si="1"/>
        <v>2317</v>
      </c>
    </row>
    <row r="38" spans="1:14" s="177" customFormat="1" ht="15">
      <c r="A38" s="284">
        <v>31</v>
      </c>
      <c r="B38" s="179"/>
      <c r="C38" s="285"/>
      <c r="D38" s="187" t="s">
        <v>1170</v>
      </c>
      <c r="E38" s="91"/>
      <c r="F38" s="91"/>
      <c r="G38" s="91"/>
      <c r="H38" s="91"/>
      <c r="I38" s="91"/>
      <c r="J38" s="91"/>
      <c r="K38" s="91"/>
      <c r="L38" s="91"/>
      <c r="M38" s="91"/>
      <c r="N38" s="385">
        <f t="shared" si="1"/>
        <v>0</v>
      </c>
    </row>
    <row r="39" spans="1:14" s="7" customFormat="1" ht="15">
      <c r="A39" s="284">
        <v>32</v>
      </c>
      <c r="B39" s="383"/>
      <c r="C39" s="93"/>
      <c r="D39" s="185" t="s">
        <v>1169</v>
      </c>
      <c r="E39" s="94">
        <f>SUM(E37:E38)</f>
        <v>0</v>
      </c>
      <c r="F39" s="94">
        <f>SUM(F37:F38)</f>
        <v>2317</v>
      </c>
      <c r="G39" s="94">
        <f aca="true" t="shared" si="6" ref="G39:M39">SUM(G37:G38)</f>
        <v>0</v>
      </c>
      <c r="H39" s="94">
        <f t="shared" si="6"/>
        <v>0</v>
      </c>
      <c r="I39" s="94">
        <f t="shared" si="6"/>
        <v>0</v>
      </c>
      <c r="J39" s="94">
        <f t="shared" si="6"/>
        <v>0</v>
      </c>
      <c r="K39" s="94">
        <f t="shared" si="6"/>
        <v>0</v>
      </c>
      <c r="L39" s="94">
        <f t="shared" si="6"/>
        <v>0</v>
      </c>
      <c r="M39" s="186">
        <f t="shared" si="6"/>
        <v>0</v>
      </c>
      <c r="N39" s="155">
        <f t="shared" si="1"/>
        <v>2317</v>
      </c>
    </row>
    <row r="40" spans="1:15" s="180" customFormat="1" ht="15">
      <c r="A40" s="284">
        <v>33</v>
      </c>
      <c r="B40" s="181">
        <v>4</v>
      </c>
      <c r="C40" s="182"/>
      <c r="D40" s="1349" t="s">
        <v>1173</v>
      </c>
      <c r="E40" s="1349"/>
      <c r="F40" s="1349"/>
      <c r="G40" s="1349"/>
      <c r="H40" s="183"/>
      <c r="I40" s="183"/>
      <c r="J40" s="183"/>
      <c r="K40" s="183"/>
      <c r="L40" s="183"/>
      <c r="M40" s="184"/>
      <c r="N40" s="155"/>
      <c r="O40" s="180">
        <f>(SUM(E41:L41))-N40</f>
        <v>240673</v>
      </c>
    </row>
    <row r="41" spans="1:14" ht="15">
      <c r="A41" s="284">
        <v>34</v>
      </c>
      <c r="B41" s="92"/>
      <c r="C41" s="96"/>
      <c r="D41" s="97" t="s">
        <v>1168</v>
      </c>
      <c r="E41" s="183">
        <v>25643</v>
      </c>
      <c r="F41" s="183"/>
      <c r="G41" s="183"/>
      <c r="H41" s="183"/>
      <c r="I41" s="183"/>
      <c r="J41" s="183"/>
      <c r="K41" s="183"/>
      <c r="L41" s="183">
        <v>215030</v>
      </c>
      <c r="M41" s="184">
        <v>210953</v>
      </c>
      <c r="N41" s="384">
        <f t="shared" si="1"/>
        <v>240673</v>
      </c>
    </row>
    <row r="42" spans="1:14" s="177" customFormat="1" ht="15">
      <c r="A42" s="284">
        <v>35</v>
      </c>
      <c r="B42" s="179"/>
      <c r="C42" s="285"/>
      <c r="D42" s="187" t="s">
        <v>588</v>
      </c>
      <c r="E42" s="91"/>
      <c r="F42" s="91"/>
      <c r="G42" s="91"/>
      <c r="H42" s="91"/>
      <c r="I42" s="91"/>
      <c r="J42" s="91"/>
      <c r="K42" s="91">
        <v>78</v>
      </c>
      <c r="L42" s="91"/>
      <c r="M42" s="91"/>
      <c r="N42" s="385">
        <f t="shared" si="1"/>
        <v>78</v>
      </c>
    </row>
    <row r="43" spans="1:14" s="177" customFormat="1" ht="15">
      <c r="A43" s="284">
        <v>36</v>
      </c>
      <c r="B43" s="179"/>
      <c r="C43" s="285"/>
      <c r="D43" s="187" t="s">
        <v>595</v>
      </c>
      <c r="E43" s="91"/>
      <c r="F43" s="91"/>
      <c r="G43" s="91"/>
      <c r="H43" s="91"/>
      <c r="I43" s="91"/>
      <c r="J43" s="91"/>
      <c r="K43" s="91"/>
      <c r="L43" s="91">
        <v>267</v>
      </c>
      <c r="M43" s="91"/>
      <c r="N43" s="385">
        <f t="shared" si="1"/>
        <v>267</v>
      </c>
    </row>
    <row r="44" spans="1:14" s="177" customFormat="1" ht="15">
      <c r="A44" s="284">
        <v>37</v>
      </c>
      <c r="B44" s="179"/>
      <c r="C44" s="285"/>
      <c r="D44" s="187" t="s">
        <v>637</v>
      </c>
      <c r="E44" s="91"/>
      <c r="F44" s="91"/>
      <c r="G44" s="91"/>
      <c r="H44" s="91"/>
      <c r="I44" s="91"/>
      <c r="J44" s="91"/>
      <c r="K44" s="91"/>
      <c r="L44" s="91">
        <v>295</v>
      </c>
      <c r="M44" s="91"/>
      <c r="N44" s="385">
        <f t="shared" si="1"/>
        <v>295</v>
      </c>
    </row>
    <row r="45" spans="1:14" s="177" customFormat="1" ht="15">
      <c r="A45" s="284">
        <v>38</v>
      </c>
      <c r="B45" s="179"/>
      <c r="C45" s="285"/>
      <c r="D45" s="187" t="s">
        <v>638</v>
      </c>
      <c r="E45" s="91"/>
      <c r="F45" s="91"/>
      <c r="G45" s="91"/>
      <c r="H45" s="91"/>
      <c r="I45" s="91"/>
      <c r="J45" s="91"/>
      <c r="K45" s="91"/>
      <c r="L45" s="91">
        <v>200</v>
      </c>
      <c r="M45" s="91"/>
      <c r="N45" s="385">
        <f t="shared" si="1"/>
        <v>200</v>
      </c>
    </row>
    <row r="46" spans="1:14" s="7" customFormat="1" ht="15">
      <c r="A46" s="284">
        <v>39</v>
      </c>
      <c r="B46" s="383"/>
      <c r="C46" s="93"/>
      <c r="D46" s="185" t="s">
        <v>1169</v>
      </c>
      <c r="E46" s="94">
        <f>SUM(E41:E45)</f>
        <v>25643</v>
      </c>
      <c r="F46" s="94">
        <f aca="true" t="shared" si="7" ref="F46:M46">SUM(F41:F45)</f>
        <v>0</v>
      </c>
      <c r="G46" s="94">
        <f t="shared" si="7"/>
        <v>0</v>
      </c>
      <c r="H46" s="94">
        <f t="shared" si="7"/>
        <v>0</v>
      </c>
      <c r="I46" s="94">
        <f t="shared" si="7"/>
        <v>0</v>
      </c>
      <c r="J46" s="94">
        <f t="shared" si="7"/>
        <v>0</v>
      </c>
      <c r="K46" s="94">
        <f t="shared" si="7"/>
        <v>78</v>
      </c>
      <c r="L46" s="94">
        <f>SUM(L41:L45)</f>
        <v>215792</v>
      </c>
      <c r="M46" s="186">
        <f t="shared" si="7"/>
        <v>210953</v>
      </c>
      <c r="N46" s="155">
        <f t="shared" si="1"/>
        <v>241513</v>
      </c>
    </row>
    <row r="47" spans="1:14" s="180" customFormat="1" ht="18" customHeight="1">
      <c r="A47" s="284">
        <v>40</v>
      </c>
      <c r="B47" s="181"/>
      <c r="C47" s="182">
        <v>1</v>
      </c>
      <c r="D47" s="386" t="s">
        <v>464</v>
      </c>
      <c r="E47" s="183"/>
      <c r="F47" s="183"/>
      <c r="G47" s="183"/>
      <c r="H47" s="183"/>
      <c r="I47" s="183"/>
      <c r="J47" s="183"/>
      <c r="K47" s="183"/>
      <c r="L47" s="183"/>
      <c r="M47" s="184"/>
      <c r="N47" s="155"/>
    </row>
    <row r="48" spans="1:14" ht="15">
      <c r="A48" s="284">
        <v>41</v>
      </c>
      <c r="B48" s="92"/>
      <c r="C48" s="96"/>
      <c r="D48" s="97" t="s">
        <v>1168</v>
      </c>
      <c r="E48" s="183"/>
      <c r="F48" s="183">
        <v>1518</v>
      </c>
      <c r="G48" s="183"/>
      <c r="H48" s="183"/>
      <c r="I48" s="183"/>
      <c r="J48" s="183"/>
      <c r="K48" s="183"/>
      <c r="L48" s="183"/>
      <c r="M48" s="184"/>
      <c r="N48" s="384">
        <f t="shared" si="1"/>
        <v>1518</v>
      </c>
    </row>
    <row r="49" spans="1:14" s="177" customFormat="1" ht="15">
      <c r="A49" s="284">
        <v>42</v>
      </c>
      <c r="B49" s="179"/>
      <c r="C49" s="285"/>
      <c r="D49" s="187" t="s">
        <v>1170</v>
      </c>
      <c r="E49" s="91"/>
      <c r="F49" s="91"/>
      <c r="G49" s="91"/>
      <c r="H49" s="91"/>
      <c r="I49" s="91"/>
      <c r="J49" s="91"/>
      <c r="K49" s="91"/>
      <c r="L49" s="91"/>
      <c r="M49" s="91"/>
      <c r="N49" s="385">
        <f t="shared" si="1"/>
        <v>0</v>
      </c>
    </row>
    <row r="50" spans="1:14" s="7" customFormat="1" ht="15">
      <c r="A50" s="284">
        <v>43</v>
      </c>
      <c r="B50" s="383"/>
      <c r="C50" s="93"/>
      <c r="D50" s="185" t="s">
        <v>1169</v>
      </c>
      <c r="E50" s="94">
        <f>SUM(E48:E49)</f>
        <v>0</v>
      </c>
      <c r="F50" s="94">
        <f>SUM(F48:F49)</f>
        <v>1518</v>
      </c>
      <c r="G50" s="94">
        <f aca="true" t="shared" si="8" ref="G50:M50">SUM(G48:G49)</f>
        <v>0</v>
      </c>
      <c r="H50" s="94">
        <f t="shared" si="8"/>
        <v>0</v>
      </c>
      <c r="I50" s="94">
        <f t="shared" si="8"/>
        <v>0</v>
      </c>
      <c r="J50" s="94">
        <f t="shared" si="8"/>
        <v>0</v>
      </c>
      <c r="K50" s="94">
        <f t="shared" si="8"/>
        <v>0</v>
      </c>
      <c r="L50" s="94">
        <f t="shared" si="8"/>
        <v>0</v>
      </c>
      <c r="M50" s="186">
        <f t="shared" si="8"/>
        <v>0</v>
      </c>
      <c r="N50" s="155">
        <f t="shared" si="1"/>
        <v>1518</v>
      </c>
    </row>
    <row r="51" spans="1:15" s="180" customFormat="1" ht="19.5" customHeight="1">
      <c r="A51" s="284">
        <v>44</v>
      </c>
      <c r="B51" s="181">
        <v>5</v>
      </c>
      <c r="C51" s="182"/>
      <c r="D51" s="1349" t="s">
        <v>1174</v>
      </c>
      <c r="E51" s="1349"/>
      <c r="F51" s="1349"/>
      <c r="G51" s="1349"/>
      <c r="H51" s="183"/>
      <c r="I51" s="183"/>
      <c r="J51" s="183"/>
      <c r="K51" s="183"/>
      <c r="L51" s="183"/>
      <c r="M51" s="184"/>
      <c r="N51" s="155"/>
      <c r="O51" s="180">
        <f>(SUM(E52:L52))-N51</f>
        <v>294881</v>
      </c>
    </row>
    <row r="52" spans="1:14" ht="15">
      <c r="A52" s="284">
        <v>45</v>
      </c>
      <c r="B52" s="92"/>
      <c r="C52" s="96"/>
      <c r="D52" s="97" t="s">
        <v>1168</v>
      </c>
      <c r="E52" s="183">
        <v>32339</v>
      </c>
      <c r="F52" s="183"/>
      <c r="G52" s="183"/>
      <c r="H52" s="183"/>
      <c r="I52" s="183"/>
      <c r="J52" s="183"/>
      <c r="K52" s="183"/>
      <c r="L52" s="183">
        <v>262542</v>
      </c>
      <c r="M52" s="184">
        <v>200721</v>
      </c>
      <c r="N52" s="384">
        <f t="shared" si="1"/>
        <v>294881</v>
      </c>
    </row>
    <row r="53" spans="1:14" s="177" customFormat="1" ht="15">
      <c r="A53" s="284">
        <v>46</v>
      </c>
      <c r="B53" s="179"/>
      <c r="C53" s="285"/>
      <c r="D53" s="187" t="s">
        <v>588</v>
      </c>
      <c r="E53" s="91"/>
      <c r="F53" s="91"/>
      <c r="G53" s="91"/>
      <c r="H53" s="91"/>
      <c r="I53" s="91"/>
      <c r="J53" s="91"/>
      <c r="K53" s="91">
        <v>3695</v>
      </c>
      <c r="L53" s="91"/>
      <c r="M53" s="91"/>
      <c r="N53" s="385">
        <f t="shared" si="1"/>
        <v>3695</v>
      </c>
    </row>
    <row r="54" spans="1:14" s="177" customFormat="1" ht="15">
      <c r="A54" s="284">
        <v>47</v>
      </c>
      <c r="B54" s="179"/>
      <c r="C54" s="285"/>
      <c r="D54" s="187" t="s">
        <v>595</v>
      </c>
      <c r="E54" s="91"/>
      <c r="F54" s="91"/>
      <c r="G54" s="91"/>
      <c r="H54" s="91"/>
      <c r="I54" s="91"/>
      <c r="J54" s="91"/>
      <c r="K54" s="91"/>
      <c r="L54" s="91">
        <v>442</v>
      </c>
      <c r="M54" s="91"/>
      <c r="N54" s="385">
        <f t="shared" si="1"/>
        <v>442</v>
      </c>
    </row>
    <row r="55" spans="1:14" s="7" customFormat="1" ht="15">
      <c r="A55" s="284">
        <v>48</v>
      </c>
      <c r="B55" s="383"/>
      <c r="C55" s="93"/>
      <c r="D55" s="185" t="s">
        <v>1169</v>
      </c>
      <c r="E55" s="94">
        <f aca="true" t="shared" si="9" ref="E55:M55">SUM(E52:E54)</f>
        <v>32339</v>
      </c>
      <c r="F55" s="94">
        <f t="shared" si="9"/>
        <v>0</v>
      </c>
      <c r="G55" s="94">
        <f t="shared" si="9"/>
        <v>0</v>
      </c>
      <c r="H55" s="94">
        <f t="shared" si="9"/>
        <v>0</v>
      </c>
      <c r="I55" s="94">
        <f t="shared" si="9"/>
        <v>0</v>
      </c>
      <c r="J55" s="94">
        <f t="shared" si="9"/>
        <v>0</v>
      </c>
      <c r="K55" s="94">
        <f t="shared" si="9"/>
        <v>3695</v>
      </c>
      <c r="L55" s="94">
        <f t="shared" si="9"/>
        <v>262984</v>
      </c>
      <c r="M55" s="186">
        <f t="shared" si="9"/>
        <v>200721</v>
      </c>
      <c r="N55" s="155">
        <f t="shared" si="1"/>
        <v>299018</v>
      </c>
    </row>
    <row r="56" spans="1:14" s="180" customFormat="1" ht="18" customHeight="1">
      <c r="A56" s="284">
        <v>49</v>
      </c>
      <c r="B56" s="181"/>
      <c r="C56" s="182">
        <v>1</v>
      </c>
      <c r="D56" s="386" t="s">
        <v>464</v>
      </c>
      <c r="E56" s="183"/>
      <c r="F56" s="183"/>
      <c r="G56" s="183"/>
      <c r="H56" s="183"/>
      <c r="I56" s="183"/>
      <c r="J56" s="183"/>
      <c r="K56" s="183"/>
      <c r="L56" s="183"/>
      <c r="M56" s="184"/>
      <c r="N56" s="155"/>
    </row>
    <row r="57" spans="1:14" ht="15">
      <c r="A57" s="284">
        <v>50</v>
      </c>
      <c r="B57" s="92"/>
      <c r="C57" s="96"/>
      <c r="D57" s="97" t="s">
        <v>1168</v>
      </c>
      <c r="E57" s="183"/>
      <c r="F57" s="183">
        <v>887</v>
      </c>
      <c r="G57" s="183"/>
      <c r="H57" s="183"/>
      <c r="I57" s="183"/>
      <c r="J57" s="183"/>
      <c r="K57" s="183"/>
      <c r="L57" s="183"/>
      <c r="M57" s="184"/>
      <c r="N57" s="384">
        <f t="shared" si="1"/>
        <v>887</v>
      </c>
    </row>
    <row r="58" spans="1:14" s="177" customFormat="1" ht="15">
      <c r="A58" s="284">
        <v>51</v>
      </c>
      <c r="B58" s="179"/>
      <c r="C58" s="285"/>
      <c r="D58" s="187" t="s">
        <v>1170</v>
      </c>
      <c r="E58" s="91"/>
      <c r="F58" s="91"/>
      <c r="G58" s="91"/>
      <c r="H58" s="91"/>
      <c r="I58" s="91"/>
      <c r="J58" s="91"/>
      <c r="K58" s="91"/>
      <c r="L58" s="91"/>
      <c r="M58" s="91"/>
      <c r="N58" s="385">
        <f t="shared" si="1"/>
        <v>0</v>
      </c>
    </row>
    <row r="59" spans="1:14" s="7" customFormat="1" ht="15">
      <c r="A59" s="284">
        <v>52</v>
      </c>
      <c r="B59" s="383"/>
      <c r="C59" s="93"/>
      <c r="D59" s="185" t="s">
        <v>1169</v>
      </c>
      <c r="E59" s="94">
        <f>SUM(E57:E58)</f>
        <v>0</v>
      </c>
      <c r="F59" s="94">
        <f>SUM(F57:F58)</f>
        <v>887</v>
      </c>
      <c r="G59" s="94">
        <f aca="true" t="shared" si="10" ref="G59:M59">SUM(G57:G58)</f>
        <v>0</v>
      </c>
      <c r="H59" s="94">
        <f t="shared" si="10"/>
        <v>0</v>
      </c>
      <c r="I59" s="94">
        <f t="shared" si="10"/>
        <v>0</v>
      </c>
      <c r="J59" s="94">
        <f t="shared" si="10"/>
        <v>0</v>
      </c>
      <c r="K59" s="94">
        <f t="shared" si="10"/>
        <v>0</v>
      </c>
      <c r="L59" s="94">
        <f t="shared" si="10"/>
        <v>0</v>
      </c>
      <c r="M59" s="186">
        <f t="shared" si="10"/>
        <v>0</v>
      </c>
      <c r="N59" s="155">
        <f t="shared" si="1"/>
        <v>887</v>
      </c>
    </row>
    <row r="60" spans="1:15" s="180" customFormat="1" ht="19.5" customHeight="1">
      <c r="A60" s="284">
        <v>53</v>
      </c>
      <c r="B60" s="181">
        <v>6</v>
      </c>
      <c r="C60" s="182"/>
      <c r="D60" s="1349" t="s">
        <v>1175</v>
      </c>
      <c r="E60" s="1349"/>
      <c r="F60" s="1349"/>
      <c r="G60" s="1349"/>
      <c r="H60" s="183"/>
      <c r="I60" s="183"/>
      <c r="J60" s="183"/>
      <c r="K60" s="183"/>
      <c r="L60" s="183"/>
      <c r="M60" s="184"/>
      <c r="N60" s="155"/>
      <c r="O60" s="180">
        <f>(SUM(E61:L61))-N60</f>
        <v>111846</v>
      </c>
    </row>
    <row r="61" spans="1:14" ht="15">
      <c r="A61" s="284">
        <v>54</v>
      </c>
      <c r="B61" s="92"/>
      <c r="C61" s="96"/>
      <c r="D61" s="97" t="s">
        <v>1168</v>
      </c>
      <c r="E61" s="183">
        <v>11827</v>
      </c>
      <c r="F61" s="183"/>
      <c r="G61" s="183"/>
      <c r="H61" s="183"/>
      <c r="I61" s="183"/>
      <c r="J61" s="183"/>
      <c r="K61" s="183"/>
      <c r="L61" s="183">
        <v>100019</v>
      </c>
      <c r="M61" s="184">
        <v>84740</v>
      </c>
      <c r="N61" s="384">
        <f t="shared" si="1"/>
        <v>111846</v>
      </c>
    </row>
    <row r="62" spans="1:14" s="177" customFormat="1" ht="15">
      <c r="A62" s="284">
        <v>55</v>
      </c>
      <c r="B62" s="179"/>
      <c r="C62" s="285"/>
      <c r="D62" s="187" t="s">
        <v>588</v>
      </c>
      <c r="E62" s="91"/>
      <c r="F62" s="91"/>
      <c r="G62" s="91"/>
      <c r="H62" s="91"/>
      <c r="I62" s="91"/>
      <c r="J62" s="91"/>
      <c r="K62" s="91">
        <v>1647</v>
      </c>
      <c r="L62" s="91"/>
      <c r="M62" s="91"/>
      <c r="N62" s="385">
        <f t="shared" si="1"/>
        <v>1647</v>
      </c>
    </row>
    <row r="63" spans="1:14" s="177" customFormat="1" ht="15">
      <c r="A63" s="284">
        <v>56</v>
      </c>
      <c r="B63" s="179"/>
      <c r="C63" s="285"/>
      <c r="D63" s="187" t="s">
        <v>595</v>
      </c>
      <c r="E63" s="91"/>
      <c r="F63" s="91"/>
      <c r="G63" s="91"/>
      <c r="H63" s="91"/>
      <c r="I63" s="91"/>
      <c r="J63" s="91"/>
      <c r="K63" s="91"/>
      <c r="L63" s="91">
        <v>78</v>
      </c>
      <c r="M63" s="91"/>
      <c r="N63" s="385">
        <f t="shared" si="1"/>
        <v>78</v>
      </c>
    </row>
    <row r="64" spans="1:14" s="177" customFormat="1" ht="15">
      <c r="A64" s="284">
        <v>57</v>
      </c>
      <c r="B64" s="179"/>
      <c r="C64" s="285"/>
      <c r="D64" s="187" t="s">
        <v>639</v>
      </c>
      <c r="E64" s="91"/>
      <c r="F64" s="91"/>
      <c r="G64" s="91"/>
      <c r="H64" s="91"/>
      <c r="I64" s="91"/>
      <c r="J64" s="91"/>
      <c r="K64" s="91"/>
      <c r="L64" s="91">
        <v>150</v>
      </c>
      <c r="M64" s="91"/>
      <c r="N64" s="385">
        <f t="shared" si="1"/>
        <v>150</v>
      </c>
    </row>
    <row r="65" spans="1:14" s="7" customFormat="1" ht="15">
      <c r="A65" s="284">
        <v>58</v>
      </c>
      <c r="B65" s="383"/>
      <c r="C65" s="93"/>
      <c r="D65" s="185" t="s">
        <v>1169</v>
      </c>
      <c r="E65" s="94">
        <f aca="true" t="shared" si="11" ref="E65:M65">SUM(E61:E64)</f>
        <v>11827</v>
      </c>
      <c r="F65" s="94">
        <f t="shared" si="11"/>
        <v>0</v>
      </c>
      <c r="G65" s="94">
        <f t="shared" si="11"/>
        <v>0</v>
      </c>
      <c r="H65" s="94">
        <f t="shared" si="11"/>
        <v>0</v>
      </c>
      <c r="I65" s="94">
        <f t="shared" si="11"/>
        <v>0</v>
      </c>
      <c r="J65" s="94">
        <f t="shared" si="11"/>
        <v>0</v>
      </c>
      <c r="K65" s="94">
        <f t="shared" si="11"/>
        <v>1647</v>
      </c>
      <c r="L65" s="94">
        <f t="shared" si="11"/>
        <v>100247</v>
      </c>
      <c r="M65" s="186">
        <f t="shared" si="11"/>
        <v>84740</v>
      </c>
      <c r="N65" s="155">
        <f t="shared" si="1"/>
        <v>113721</v>
      </c>
    </row>
    <row r="66" spans="1:14" s="180" customFormat="1" ht="18" customHeight="1">
      <c r="A66" s="284">
        <v>59</v>
      </c>
      <c r="B66" s="181"/>
      <c r="C66" s="182">
        <v>1</v>
      </c>
      <c r="D66" s="386" t="s">
        <v>464</v>
      </c>
      <c r="E66" s="183"/>
      <c r="F66" s="183"/>
      <c r="G66" s="183"/>
      <c r="H66" s="183"/>
      <c r="I66" s="183"/>
      <c r="J66" s="183"/>
      <c r="K66" s="183"/>
      <c r="L66" s="183"/>
      <c r="M66" s="184"/>
      <c r="N66" s="155"/>
    </row>
    <row r="67" spans="1:14" ht="15">
      <c r="A67" s="284">
        <v>60</v>
      </c>
      <c r="B67" s="92"/>
      <c r="C67" s="96"/>
      <c r="D67" s="97" t="s">
        <v>1168</v>
      </c>
      <c r="E67" s="183"/>
      <c r="F67" s="183">
        <v>410</v>
      </c>
      <c r="G67" s="183"/>
      <c r="H67" s="183"/>
      <c r="I67" s="183"/>
      <c r="J67" s="183"/>
      <c r="K67" s="183"/>
      <c r="L67" s="183"/>
      <c r="M67" s="184"/>
      <c r="N67" s="384">
        <f t="shared" si="1"/>
        <v>410</v>
      </c>
    </row>
    <row r="68" spans="1:14" s="177" customFormat="1" ht="15">
      <c r="A68" s="284">
        <v>61</v>
      </c>
      <c r="B68" s="179"/>
      <c r="C68" s="285"/>
      <c r="D68" s="187" t="s">
        <v>1170</v>
      </c>
      <c r="E68" s="91"/>
      <c r="F68" s="91"/>
      <c r="G68" s="91"/>
      <c r="H68" s="91"/>
      <c r="I68" s="91"/>
      <c r="J68" s="91"/>
      <c r="K68" s="91"/>
      <c r="L68" s="91"/>
      <c r="M68" s="91"/>
      <c r="N68" s="385">
        <f t="shared" si="1"/>
        <v>0</v>
      </c>
    </row>
    <row r="69" spans="1:14" s="408" customFormat="1" ht="25.5" customHeight="1">
      <c r="A69" s="280">
        <v>62</v>
      </c>
      <c r="B69" s="403"/>
      <c r="C69" s="404"/>
      <c r="D69" s="405" t="s">
        <v>1169</v>
      </c>
      <c r="E69" s="406">
        <f>SUM(E67:E68)</f>
        <v>0</v>
      </c>
      <c r="F69" s="406">
        <f>SUM(F67:F68)</f>
        <v>410</v>
      </c>
      <c r="G69" s="406">
        <f aca="true" t="shared" si="12" ref="G69:M69">SUM(G67:G68)</f>
        <v>0</v>
      </c>
      <c r="H69" s="406">
        <f t="shared" si="12"/>
        <v>0</v>
      </c>
      <c r="I69" s="406">
        <f t="shared" si="12"/>
        <v>0</v>
      </c>
      <c r="J69" s="406">
        <f t="shared" si="12"/>
        <v>0</v>
      </c>
      <c r="K69" s="406">
        <f t="shared" si="12"/>
        <v>0</v>
      </c>
      <c r="L69" s="406">
        <f t="shared" si="12"/>
        <v>0</v>
      </c>
      <c r="M69" s="407">
        <f t="shared" si="12"/>
        <v>0</v>
      </c>
      <c r="N69" s="154">
        <f t="shared" si="1"/>
        <v>410</v>
      </c>
    </row>
    <row r="70" spans="1:15" s="177" customFormat="1" ht="21.75" customHeight="1">
      <c r="A70" s="495">
        <v>63</v>
      </c>
      <c r="B70" s="179"/>
      <c r="C70" s="387"/>
      <c r="D70" s="387" t="s">
        <v>423</v>
      </c>
      <c r="E70" s="387"/>
      <c r="F70" s="387"/>
      <c r="G70" s="387"/>
      <c r="H70" s="387"/>
      <c r="I70" s="387"/>
      <c r="J70" s="387"/>
      <c r="K70" s="387"/>
      <c r="L70" s="387"/>
      <c r="M70" s="387"/>
      <c r="N70" s="992">
        <f t="shared" si="1"/>
        <v>0</v>
      </c>
      <c r="O70" s="99">
        <f>(SUM(E71:L71))-N70</f>
        <v>1440666</v>
      </c>
    </row>
    <row r="71" spans="1:15" s="177" customFormat="1" ht="21.75" customHeight="1">
      <c r="A71" s="495">
        <v>64</v>
      </c>
      <c r="B71" s="179"/>
      <c r="C71" s="91"/>
      <c r="D71" s="97" t="s">
        <v>1168</v>
      </c>
      <c r="E71" s="90">
        <f aca="true" t="shared" si="13" ref="E71:M71">SUM(E67,E61,E57,E52,E48,E41,E37,E30,E26,E19,E15,E9)</f>
        <v>146468</v>
      </c>
      <c r="F71" s="90">
        <f t="shared" si="13"/>
        <v>6977</v>
      </c>
      <c r="G71" s="90">
        <f t="shared" si="13"/>
        <v>0</v>
      </c>
      <c r="H71" s="90">
        <f t="shared" si="13"/>
        <v>0</v>
      </c>
      <c r="I71" s="90">
        <f t="shared" si="13"/>
        <v>0</v>
      </c>
      <c r="J71" s="90">
        <f t="shared" si="13"/>
        <v>0</v>
      </c>
      <c r="K71" s="90">
        <f t="shared" si="13"/>
        <v>0</v>
      </c>
      <c r="L71" s="90">
        <f t="shared" si="13"/>
        <v>1287221</v>
      </c>
      <c r="M71" s="91">
        <f t="shared" si="13"/>
        <v>1115434</v>
      </c>
      <c r="N71" s="98">
        <f t="shared" si="1"/>
        <v>1440666</v>
      </c>
      <c r="O71" s="99"/>
    </row>
    <row r="72" spans="1:15" s="177" customFormat="1" ht="21.75" customHeight="1">
      <c r="A72" s="495">
        <v>65</v>
      </c>
      <c r="B72" s="179"/>
      <c r="C72" s="91"/>
      <c r="D72" s="187" t="s">
        <v>662</v>
      </c>
      <c r="E72" s="91">
        <f aca="true" t="shared" si="14" ref="E72:M72">SUM(E10:E12,E16,E20:E23,E27,E31:E34,E38,E42:E45,E49,E53:E54,E58,E62:E64,E68)</f>
        <v>0</v>
      </c>
      <c r="F72" s="91">
        <f t="shared" si="14"/>
        <v>0</v>
      </c>
      <c r="G72" s="91">
        <f t="shared" si="14"/>
        <v>0</v>
      </c>
      <c r="H72" s="91">
        <f t="shared" si="14"/>
        <v>0</v>
      </c>
      <c r="I72" s="91">
        <f t="shared" si="14"/>
        <v>0</v>
      </c>
      <c r="J72" s="91">
        <f t="shared" si="14"/>
        <v>0</v>
      </c>
      <c r="K72" s="91">
        <f t="shared" si="14"/>
        <v>9931</v>
      </c>
      <c r="L72" s="91">
        <f t="shared" si="14"/>
        <v>3943</v>
      </c>
      <c r="M72" s="91">
        <f t="shared" si="14"/>
        <v>0</v>
      </c>
      <c r="N72" s="98">
        <f t="shared" si="1"/>
        <v>13874</v>
      </c>
      <c r="O72" s="99"/>
    </row>
    <row r="73" spans="1:15" s="177" customFormat="1" ht="21.75" customHeight="1">
      <c r="A73" s="495">
        <v>66</v>
      </c>
      <c r="B73" s="179"/>
      <c r="C73" s="388"/>
      <c r="D73" s="389" t="s">
        <v>1169</v>
      </c>
      <c r="E73" s="390">
        <f>SUM(E71:E72)</f>
        <v>146468</v>
      </c>
      <c r="F73" s="390">
        <f aca="true" t="shared" si="15" ref="F73:M73">SUM(F71:F72)</f>
        <v>6977</v>
      </c>
      <c r="G73" s="390">
        <f t="shared" si="15"/>
        <v>0</v>
      </c>
      <c r="H73" s="390">
        <f t="shared" si="15"/>
        <v>0</v>
      </c>
      <c r="I73" s="390">
        <f t="shared" si="15"/>
        <v>0</v>
      </c>
      <c r="J73" s="390">
        <f t="shared" si="15"/>
        <v>0</v>
      </c>
      <c r="K73" s="390">
        <f t="shared" si="15"/>
        <v>9931</v>
      </c>
      <c r="L73" s="390">
        <f t="shared" si="15"/>
        <v>1291164</v>
      </c>
      <c r="M73" s="398">
        <f t="shared" si="15"/>
        <v>1115434</v>
      </c>
      <c r="N73" s="958">
        <f t="shared" si="1"/>
        <v>1454540</v>
      </c>
      <c r="O73" s="99"/>
    </row>
    <row r="74" spans="1:15" s="180" customFormat="1" ht="19.5" customHeight="1">
      <c r="A74" s="284">
        <v>67</v>
      </c>
      <c r="B74" s="181">
        <v>7</v>
      </c>
      <c r="C74" s="182"/>
      <c r="D74" s="1349" t="s">
        <v>438</v>
      </c>
      <c r="E74" s="1349">
        <v>9002</v>
      </c>
      <c r="F74" s="1349">
        <v>143683</v>
      </c>
      <c r="G74" s="1349"/>
      <c r="H74" s="183"/>
      <c r="I74" s="183"/>
      <c r="J74" s="183"/>
      <c r="K74" s="183"/>
      <c r="L74" s="183"/>
      <c r="M74" s="184"/>
      <c r="N74" s="155"/>
      <c r="O74" s="180">
        <f>(SUM(E74:L74))-N74</f>
        <v>152685</v>
      </c>
    </row>
    <row r="75" spans="1:14" ht="15">
      <c r="A75" s="284">
        <v>68</v>
      </c>
      <c r="B75" s="92"/>
      <c r="C75" s="96"/>
      <c r="D75" s="97" t="s">
        <v>1168</v>
      </c>
      <c r="E75" s="183">
        <v>9002</v>
      </c>
      <c r="F75" s="183">
        <v>143683</v>
      </c>
      <c r="G75" s="183"/>
      <c r="H75" s="183"/>
      <c r="I75" s="183"/>
      <c r="J75" s="183"/>
      <c r="K75" s="183"/>
      <c r="L75" s="183">
        <v>42618</v>
      </c>
      <c r="M75" s="184"/>
      <c r="N75" s="384">
        <f>SUM(E75:L75)</f>
        <v>195303</v>
      </c>
    </row>
    <row r="76" spans="1:14" s="177" customFormat="1" ht="15">
      <c r="A76" s="284">
        <v>69</v>
      </c>
      <c r="B76" s="179"/>
      <c r="C76" s="285"/>
      <c r="D76" s="187" t="s">
        <v>588</v>
      </c>
      <c r="E76" s="91"/>
      <c r="F76" s="91"/>
      <c r="G76" s="91"/>
      <c r="H76" s="91"/>
      <c r="I76" s="91"/>
      <c r="J76" s="91"/>
      <c r="K76" s="91">
        <v>8102</v>
      </c>
      <c r="L76" s="91"/>
      <c r="M76" s="91"/>
      <c r="N76" s="385">
        <f aca="true" t="shared" si="16" ref="N76:N88">SUM(E76:L76)</f>
        <v>8102</v>
      </c>
    </row>
    <row r="77" spans="1:14" s="177" customFormat="1" ht="15">
      <c r="A77" s="284">
        <v>70</v>
      </c>
      <c r="B77" s="179"/>
      <c r="C77" s="285"/>
      <c r="D77" s="187" t="s">
        <v>595</v>
      </c>
      <c r="E77" s="91"/>
      <c r="F77" s="91"/>
      <c r="G77" s="91"/>
      <c r="H77" s="91"/>
      <c r="I77" s="91"/>
      <c r="J77" s="91"/>
      <c r="K77" s="91"/>
      <c r="L77" s="91">
        <v>2080</v>
      </c>
      <c r="M77" s="91"/>
      <c r="N77" s="385">
        <f t="shared" si="16"/>
        <v>2080</v>
      </c>
    </row>
    <row r="78" spans="1:14" s="177" customFormat="1" ht="15">
      <c r="A78" s="284">
        <v>71</v>
      </c>
      <c r="B78" s="179"/>
      <c r="C78" s="285"/>
      <c r="D78" s="187" t="s">
        <v>629</v>
      </c>
      <c r="E78" s="91"/>
      <c r="F78" s="91"/>
      <c r="G78" s="91"/>
      <c r="H78" s="91"/>
      <c r="I78" s="91"/>
      <c r="J78" s="91"/>
      <c r="K78" s="91"/>
      <c r="L78" s="91">
        <v>21115</v>
      </c>
      <c r="M78" s="91"/>
      <c r="N78" s="385">
        <f t="shared" si="16"/>
        <v>21115</v>
      </c>
    </row>
    <row r="79" spans="1:14" s="7" customFormat="1" ht="15">
      <c r="A79" s="284">
        <v>72</v>
      </c>
      <c r="B79" s="383"/>
      <c r="C79" s="93"/>
      <c r="D79" s="185" t="s">
        <v>1169</v>
      </c>
      <c r="E79" s="94">
        <f aca="true" t="shared" si="17" ref="E79:M79">SUM(E75:E78)</f>
        <v>9002</v>
      </c>
      <c r="F79" s="94">
        <f t="shared" si="17"/>
        <v>143683</v>
      </c>
      <c r="G79" s="94">
        <f t="shared" si="17"/>
        <v>0</v>
      </c>
      <c r="H79" s="94">
        <f t="shared" si="17"/>
        <v>0</v>
      </c>
      <c r="I79" s="94">
        <f t="shared" si="17"/>
        <v>0</v>
      </c>
      <c r="J79" s="94">
        <f t="shared" si="17"/>
        <v>0</v>
      </c>
      <c r="K79" s="94">
        <f t="shared" si="17"/>
        <v>8102</v>
      </c>
      <c r="L79" s="94">
        <f t="shared" si="17"/>
        <v>65813</v>
      </c>
      <c r="M79" s="186">
        <f t="shared" si="17"/>
        <v>0</v>
      </c>
      <c r="N79" s="155">
        <f t="shared" si="16"/>
        <v>226600</v>
      </c>
    </row>
    <row r="80" spans="1:15" s="180" customFormat="1" ht="19.5" customHeight="1">
      <c r="A80" s="284">
        <v>73</v>
      </c>
      <c r="B80" s="181">
        <v>8</v>
      </c>
      <c r="C80" s="182"/>
      <c r="D80" s="1349" t="s">
        <v>443</v>
      </c>
      <c r="E80" s="1349">
        <v>62730</v>
      </c>
      <c r="F80" s="1349"/>
      <c r="G80" s="1349"/>
      <c r="H80" s="183"/>
      <c r="I80" s="183"/>
      <c r="J80" s="183"/>
      <c r="K80" s="183"/>
      <c r="L80" s="183"/>
      <c r="M80" s="184"/>
      <c r="N80" s="155"/>
      <c r="O80" s="180">
        <f>(SUM(E80:L80))-N80</f>
        <v>62730</v>
      </c>
    </row>
    <row r="81" spans="1:14" ht="15">
      <c r="A81" s="284">
        <v>74</v>
      </c>
      <c r="B81" s="92"/>
      <c r="C81" s="96"/>
      <c r="D81" s="97" t="s">
        <v>1168</v>
      </c>
      <c r="E81" s="183">
        <v>62730</v>
      </c>
      <c r="F81" s="183"/>
      <c r="G81" s="183"/>
      <c r="H81" s="183"/>
      <c r="I81" s="183"/>
      <c r="J81" s="183"/>
      <c r="K81" s="183"/>
      <c r="L81" s="183">
        <v>344137</v>
      </c>
      <c r="M81" s="184">
        <v>229231</v>
      </c>
      <c r="N81" s="384">
        <f t="shared" si="16"/>
        <v>406867</v>
      </c>
    </row>
    <row r="82" spans="1:14" s="177" customFormat="1" ht="15">
      <c r="A82" s="284">
        <v>75</v>
      </c>
      <c r="B82" s="179"/>
      <c r="C82" s="285"/>
      <c r="D82" s="187" t="s">
        <v>588</v>
      </c>
      <c r="E82" s="91"/>
      <c r="F82" s="91"/>
      <c r="G82" s="91"/>
      <c r="H82" s="91"/>
      <c r="I82" s="91"/>
      <c r="J82" s="91"/>
      <c r="K82" s="91">
        <v>2124</v>
      </c>
      <c r="L82" s="91"/>
      <c r="M82" s="91"/>
      <c r="N82" s="385">
        <f t="shared" si="16"/>
        <v>2124</v>
      </c>
    </row>
    <row r="83" spans="1:14" s="177" customFormat="1" ht="15">
      <c r="A83" s="284">
        <v>76</v>
      </c>
      <c r="B83" s="179"/>
      <c r="C83" s="285"/>
      <c r="D83" s="187" t="s">
        <v>595</v>
      </c>
      <c r="E83" s="91"/>
      <c r="F83" s="91"/>
      <c r="G83" s="91"/>
      <c r="H83" s="91"/>
      <c r="I83" s="91"/>
      <c r="J83" s="91"/>
      <c r="K83" s="91"/>
      <c r="L83" s="91">
        <v>4162</v>
      </c>
      <c r="M83" s="91"/>
      <c r="N83" s="385">
        <f t="shared" si="16"/>
        <v>4162</v>
      </c>
    </row>
    <row r="84" spans="1:14" s="177" customFormat="1" ht="15">
      <c r="A84" s="284">
        <v>77</v>
      </c>
      <c r="B84" s="179"/>
      <c r="C84" s="285"/>
      <c r="D84" s="187" t="s">
        <v>640</v>
      </c>
      <c r="E84" s="91"/>
      <c r="F84" s="91"/>
      <c r="G84" s="91"/>
      <c r="H84" s="91"/>
      <c r="I84" s="91"/>
      <c r="J84" s="91"/>
      <c r="K84" s="91"/>
      <c r="L84" s="91">
        <v>90</v>
      </c>
      <c r="M84" s="91"/>
      <c r="N84" s="385">
        <f t="shared" si="16"/>
        <v>90</v>
      </c>
    </row>
    <row r="85" spans="1:14" s="177" customFormat="1" ht="15">
      <c r="A85" s="284">
        <v>78</v>
      </c>
      <c r="B85" s="179"/>
      <c r="C85" s="285"/>
      <c r="D85" s="187" t="s">
        <v>641</v>
      </c>
      <c r="E85" s="91"/>
      <c r="F85" s="91"/>
      <c r="G85" s="91"/>
      <c r="H85" s="91"/>
      <c r="I85" s="91"/>
      <c r="J85" s="91"/>
      <c r="K85" s="91"/>
      <c r="L85" s="91">
        <v>200</v>
      </c>
      <c r="M85" s="91"/>
      <c r="N85" s="385">
        <f t="shared" si="16"/>
        <v>200</v>
      </c>
    </row>
    <row r="86" spans="1:14" s="177" customFormat="1" ht="15">
      <c r="A86" s="284">
        <v>79</v>
      </c>
      <c r="B86" s="179"/>
      <c r="C86" s="285"/>
      <c r="D86" s="187" t="s">
        <v>642</v>
      </c>
      <c r="E86" s="91"/>
      <c r="F86" s="91"/>
      <c r="G86" s="91"/>
      <c r="H86" s="91"/>
      <c r="I86" s="91"/>
      <c r="J86" s="91"/>
      <c r="K86" s="91"/>
      <c r="L86" s="91">
        <v>200</v>
      </c>
      <c r="M86" s="91"/>
      <c r="N86" s="385">
        <f t="shared" si="16"/>
        <v>200</v>
      </c>
    </row>
    <row r="87" spans="1:14" s="177" customFormat="1" ht="15">
      <c r="A87" s="284">
        <v>80</v>
      </c>
      <c r="B87" s="179"/>
      <c r="C87" s="285"/>
      <c r="D87" s="187" t="s">
        <v>643</v>
      </c>
      <c r="E87" s="91"/>
      <c r="F87" s="91"/>
      <c r="G87" s="91"/>
      <c r="H87" s="91"/>
      <c r="I87" s="91"/>
      <c r="J87" s="91"/>
      <c r="K87" s="91"/>
      <c r="L87" s="91">
        <v>100</v>
      </c>
      <c r="M87" s="91"/>
      <c r="N87" s="385">
        <f t="shared" si="16"/>
        <v>100</v>
      </c>
    </row>
    <row r="88" spans="1:14" s="177" customFormat="1" ht="15">
      <c r="A88" s="284">
        <v>81</v>
      </c>
      <c r="B88" s="179"/>
      <c r="C88" s="285"/>
      <c r="D88" s="571" t="s">
        <v>644</v>
      </c>
      <c r="E88" s="91"/>
      <c r="F88" s="91"/>
      <c r="G88" s="91"/>
      <c r="H88" s="91"/>
      <c r="I88" s="91"/>
      <c r="J88" s="91"/>
      <c r="K88" s="91"/>
      <c r="L88" s="91">
        <v>70</v>
      </c>
      <c r="M88" s="91"/>
      <c r="N88" s="385">
        <f t="shared" si="16"/>
        <v>70</v>
      </c>
    </row>
    <row r="89" spans="1:14" s="7" customFormat="1" ht="15">
      <c r="A89" s="284">
        <v>82</v>
      </c>
      <c r="B89" s="383"/>
      <c r="C89" s="93"/>
      <c r="D89" s="185" t="s">
        <v>1169</v>
      </c>
      <c r="E89" s="94">
        <f aca="true" t="shared" si="18" ref="E89:N89">SUM(E81:E88)</f>
        <v>62730</v>
      </c>
      <c r="F89" s="94">
        <f t="shared" si="18"/>
        <v>0</v>
      </c>
      <c r="G89" s="94">
        <f t="shared" si="18"/>
        <v>0</v>
      </c>
      <c r="H89" s="94">
        <f t="shared" si="18"/>
        <v>0</v>
      </c>
      <c r="I89" s="94">
        <f t="shared" si="18"/>
        <v>0</v>
      </c>
      <c r="J89" s="94">
        <f t="shared" si="18"/>
        <v>0</v>
      </c>
      <c r="K89" s="94">
        <f t="shared" si="18"/>
        <v>2124</v>
      </c>
      <c r="L89" s="94">
        <f t="shared" si="18"/>
        <v>348959</v>
      </c>
      <c r="M89" s="94">
        <f t="shared" si="18"/>
        <v>229231</v>
      </c>
      <c r="N89" s="95">
        <f t="shared" si="18"/>
        <v>413813</v>
      </c>
    </row>
    <row r="90" spans="1:14" s="180" customFormat="1" ht="18" customHeight="1">
      <c r="A90" s="284">
        <v>83</v>
      </c>
      <c r="B90" s="181"/>
      <c r="C90" s="182">
        <v>1</v>
      </c>
      <c r="D90" s="386" t="s">
        <v>464</v>
      </c>
      <c r="E90" s="183"/>
      <c r="F90" s="183"/>
      <c r="G90" s="183"/>
      <c r="H90" s="183"/>
      <c r="I90" s="183"/>
      <c r="J90" s="183"/>
      <c r="K90" s="183"/>
      <c r="L90" s="183"/>
      <c r="M90" s="184"/>
      <c r="N90" s="155"/>
    </row>
    <row r="91" spans="1:14" ht="15">
      <c r="A91" s="284">
        <v>84</v>
      </c>
      <c r="B91" s="92"/>
      <c r="C91" s="96"/>
      <c r="D91" s="97" t="s">
        <v>1168</v>
      </c>
      <c r="E91" s="183"/>
      <c r="F91" s="183">
        <v>1937</v>
      </c>
      <c r="G91" s="183"/>
      <c r="H91" s="183"/>
      <c r="I91" s="183"/>
      <c r="J91" s="183"/>
      <c r="K91" s="183"/>
      <c r="L91" s="183"/>
      <c r="M91" s="184"/>
      <c r="N91" s="384">
        <f aca="true" t="shared" si="19" ref="N91:N176">SUM(E91:L91)</f>
        <v>1937</v>
      </c>
    </row>
    <row r="92" spans="1:14" s="177" customFormat="1" ht="15">
      <c r="A92" s="284">
        <v>85</v>
      </c>
      <c r="B92" s="179"/>
      <c r="C92" s="285"/>
      <c r="D92" s="187" t="s">
        <v>1170</v>
      </c>
      <c r="E92" s="91"/>
      <c r="F92" s="91"/>
      <c r="G92" s="91"/>
      <c r="H92" s="91"/>
      <c r="I92" s="91"/>
      <c r="J92" s="91"/>
      <c r="K92" s="91"/>
      <c r="L92" s="91"/>
      <c r="M92" s="91"/>
      <c r="N92" s="385">
        <f t="shared" si="19"/>
        <v>0</v>
      </c>
    </row>
    <row r="93" spans="1:14" s="7" customFormat="1" ht="15">
      <c r="A93" s="284">
        <v>86</v>
      </c>
      <c r="B93" s="383"/>
      <c r="C93" s="93"/>
      <c r="D93" s="185" t="s">
        <v>1169</v>
      </c>
      <c r="E93" s="94">
        <f>SUM(E91:E92)</f>
        <v>0</v>
      </c>
      <c r="F93" s="94">
        <f>SUM(F91:F92)</f>
        <v>1937</v>
      </c>
      <c r="G93" s="94">
        <f aca="true" t="shared" si="20" ref="G93:M93">SUM(G91:G92)</f>
        <v>0</v>
      </c>
      <c r="H93" s="94">
        <f t="shared" si="20"/>
        <v>0</v>
      </c>
      <c r="I93" s="94">
        <f t="shared" si="20"/>
        <v>0</v>
      </c>
      <c r="J93" s="94">
        <f t="shared" si="20"/>
        <v>0</v>
      </c>
      <c r="K93" s="94">
        <f t="shared" si="20"/>
        <v>0</v>
      </c>
      <c r="L93" s="94">
        <f t="shared" si="20"/>
        <v>0</v>
      </c>
      <c r="M93" s="186">
        <f t="shared" si="20"/>
        <v>0</v>
      </c>
      <c r="N93" s="155">
        <f t="shared" si="19"/>
        <v>1937</v>
      </c>
    </row>
    <row r="94" spans="1:15" s="180" customFormat="1" ht="19.5" customHeight="1">
      <c r="A94" s="284">
        <v>87</v>
      </c>
      <c r="B94" s="181">
        <v>9</v>
      </c>
      <c r="C94" s="182"/>
      <c r="D94" s="1351" t="s">
        <v>461</v>
      </c>
      <c r="E94" s="1351"/>
      <c r="F94" s="1351"/>
      <c r="G94" s="1351"/>
      <c r="H94" s="183"/>
      <c r="I94" s="183"/>
      <c r="J94" s="183"/>
      <c r="K94" s="183"/>
      <c r="L94" s="183"/>
      <c r="M94" s="184"/>
      <c r="N94" s="155"/>
      <c r="O94" s="180">
        <f>(SUM(E95:L95))-N94</f>
        <v>51889</v>
      </c>
    </row>
    <row r="95" spans="1:14" ht="15">
      <c r="A95" s="284">
        <v>88</v>
      </c>
      <c r="B95" s="92"/>
      <c r="C95" s="96"/>
      <c r="D95" s="97" t="s">
        <v>1168</v>
      </c>
      <c r="E95" s="183">
        <v>9804</v>
      </c>
      <c r="F95" s="183"/>
      <c r="G95" s="183"/>
      <c r="H95" s="183"/>
      <c r="I95" s="183"/>
      <c r="J95" s="183"/>
      <c r="K95" s="183"/>
      <c r="L95" s="183">
        <v>42085</v>
      </c>
      <c r="M95" s="184">
        <v>19800</v>
      </c>
      <c r="N95" s="384">
        <f t="shared" si="19"/>
        <v>51889</v>
      </c>
    </row>
    <row r="96" spans="1:14" s="177" customFormat="1" ht="15">
      <c r="A96" s="284">
        <v>89</v>
      </c>
      <c r="B96" s="179"/>
      <c r="C96" s="285"/>
      <c r="D96" s="187" t="s">
        <v>588</v>
      </c>
      <c r="E96" s="91"/>
      <c r="F96" s="91"/>
      <c r="G96" s="91"/>
      <c r="H96" s="91"/>
      <c r="I96" s="91"/>
      <c r="J96" s="91"/>
      <c r="K96" s="91">
        <v>5831</v>
      </c>
      <c r="L96" s="91"/>
      <c r="M96" s="91"/>
      <c r="N96" s="385">
        <f t="shared" si="19"/>
        <v>5831</v>
      </c>
    </row>
    <row r="97" spans="1:14" s="177" customFormat="1" ht="15">
      <c r="A97" s="284">
        <v>90</v>
      </c>
      <c r="B97" s="179"/>
      <c r="C97" s="285"/>
      <c r="D97" s="187" t="s">
        <v>590</v>
      </c>
      <c r="E97" s="91"/>
      <c r="F97" s="91"/>
      <c r="G97" s="91"/>
      <c r="H97" s="91"/>
      <c r="I97" s="91"/>
      <c r="J97" s="91"/>
      <c r="K97" s="91"/>
      <c r="L97" s="91">
        <v>5827</v>
      </c>
      <c r="M97" s="91"/>
      <c r="N97" s="385">
        <f t="shared" si="19"/>
        <v>5827</v>
      </c>
    </row>
    <row r="98" spans="1:14" s="177" customFormat="1" ht="15">
      <c r="A98" s="284">
        <v>91</v>
      </c>
      <c r="B98" s="179"/>
      <c r="C98" s="285"/>
      <c r="D98" s="187" t="s">
        <v>595</v>
      </c>
      <c r="E98" s="91"/>
      <c r="F98" s="91"/>
      <c r="G98" s="91"/>
      <c r="H98" s="91"/>
      <c r="I98" s="91"/>
      <c r="J98" s="91"/>
      <c r="K98" s="91"/>
      <c r="L98" s="91">
        <v>371</v>
      </c>
      <c r="M98" s="91"/>
      <c r="N98" s="385">
        <f t="shared" si="19"/>
        <v>371</v>
      </c>
    </row>
    <row r="99" spans="1:14" s="408" customFormat="1" ht="19.5" customHeight="1">
      <c r="A99" s="280">
        <v>92</v>
      </c>
      <c r="B99" s="403"/>
      <c r="C99" s="404"/>
      <c r="D99" s="405" t="s">
        <v>1169</v>
      </c>
      <c r="E99" s="406">
        <f aca="true" t="shared" si="21" ref="E99:M99">SUM(E95:E98)</f>
        <v>9804</v>
      </c>
      <c r="F99" s="406">
        <f t="shared" si="21"/>
        <v>0</v>
      </c>
      <c r="G99" s="406">
        <f t="shared" si="21"/>
        <v>0</v>
      </c>
      <c r="H99" s="406">
        <f t="shared" si="21"/>
        <v>0</v>
      </c>
      <c r="I99" s="406">
        <f t="shared" si="21"/>
        <v>0</v>
      </c>
      <c r="J99" s="406">
        <f t="shared" si="21"/>
        <v>0</v>
      </c>
      <c r="K99" s="406">
        <f t="shared" si="21"/>
        <v>5831</v>
      </c>
      <c r="L99" s="406">
        <f t="shared" si="21"/>
        <v>48283</v>
      </c>
      <c r="M99" s="407">
        <f t="shared" si="21"/>
        <v>19800</v>
      </c>
      <c r="N99" s="154">
        <f t="shared" si="19"/>
        <v>63918</v>
      </c>
    </row>
    <row r="100" spans="1:15" s="177" customFormat="1" ht="15">
      <c r="A100" s="495">
        <v>93</v>
      </c>
      <c r="B100" s="179"/>
      <c r="C100" s="387"/>
      <c r="D100" s="387" t="s">
        <v>444</v>
      </c>
      <c r="E100" s="387"/>
      <c r="F100" s="387"/>
      <c r="G100" s="387"/>
      <c r="H100" s="387"/>
      <c r="I100" s="387"/>
      <c r="J100" s="387"/>
      <c r="K100" s="387"/>
      <c r="L100" s="387"/>
      <c r="M100" s="387"/>
      <c r="N100" s="399"/>
      <c r="O100" s="99">
        <f>(SUM(E101:L101))-N100</f>
        <v>655996</v>
      </c>
    </row>
    <row r="101" spans="1:15" s="177" customFormat="1" ht="15">
      <c r="A101" s="495">
        <v>94</v>
      </c>
      <c r="B101" s="179"/>
      <c r="C101" s="91"/>
      <c r="D101" s="97" t="s">
        <v>1168</v>
      </c>
      <c r="E101" s="90">
        <f aca="true" t="shared" si="22" ref="E101:M101">SUM(E95,E91,E81,E75)</f>
        <v>81536</v>
      </c>
      <c r="F101" s="90">
        <f t="shared" si="22"/>
        <v>145620</v>
      </c>
      <c r="G101" s="90">
        <f t="shared" si="22"/>
        <v>0</v>
      </c>
      <c r="H101" s="90">
        <f t="shared" si="22"/>
        <v>0</v>
      </c>
      <c r="I101" s="90">
        <f t="shared" si="22"/>
        <v>0</v>
      </c>
      <c r="J101" s="90">
        <f t="shared" si="22"/>
        <v>0</v>
      </c>
      <c r="K101" s="90">
        <f t="shared" si="22"/>
        <v>0</v>
      </c>
      <c r="L101" s="90">
        <f t="shared" si="22"/>
        <v>428840</v>
      </c>
      <c r="M101" s="91">
        <f t="shared" si="22"/>
        <v>249031</v>
      </c>
      <c r="N101" s="98">
        <f t="shared" si="19"/>
        <v>655996</v>
      </c>
      <c r="O101" s="99"/>
    </row>
    <row r="102" spans="1:15" s="177" customFormat="1" ht="15">
      <c r="A102" s="495">
        <v>95</v>
      </c>
      <c r="B102" s="179"/>
      <c r="C102" s="91"/>
      <c r="D102" s="187" t="s">
        <v>662</v>
      </c>
      <c r="E102" s="91">
        <f aca="true" t="shared" si="23" ref="E102:N102">SUM(E96:E98,E92,E82:E85,E76:E78)+E87+E86+E88</f>
        <v>0</v>
      </c>
      <c r="F102" s="91">
        <f t="shared" si="23"/>
        <v>0</v>
      </c>
      <c r="G102" s="91">
        <f t="shared" si="23"/>
        <v>0</v>
      </c>
      <c r="H102" s="91">
        <f t="shared" si="23"/>
        <v>0</v>
      </c>
      <c r="I102" s="91">
        <f t="shared" si="23"/>
        <v>0</v>
      </c>
      <c r="J102" s="91">
        <f t="shared" si="23"/>
        <v>0</v>
      </c>
      <c r="K102" s="91">
        <f t="shared" si="23"/>
        <v>16057</v>
      </c>
      <c r="L102" s="91">
        <f t="shared" si="23"/>
        <v>34215</v>
      </c>
      <c r="M102" s="91">
        <f t="shared" si="23"/>
        <v>0</v>
      </c>
      <c r="N102" s="157">
        <f t="shared" si="23"/>
        <v>50272</v>
      </c>
      <c r="O102" s="99"/>
    </row>
    <row r="103" spans="1:15" s="177" customFormat="1" ht="15">
      <c r="A103" s="495">
        <v>96</v>
      </c>
      <c r="B103" s="179"/>
      <c r="C103" s="388"/>
      <c r="D103" s="389" t="s">
        <v>1169</v>
      </c>
      <c r="E103" s="390">
        <f>SUM(E101:E102)</f>
        <v>81536</v>
      </c>
      <c r="F103" s="390">
        <f aca="true" t="shared" si="24" ref="F103:M103">SUM(F101:F102)</f>
        <v>145620</v>
      </c>
      <c r="G103" s="390">
        <f t="shared" si="24"/>
        <v>0</v>
      </c>
      <c r="H103" s="390">
        <f t="shared" si="24"/>
        <v>0</v>
      </c>
      <c r="I103" s="390">
        <f t="shared" si="24"/>
        <v>0</v>
      </c>
      <c r="J103" s="390">
        <f t="shared" si="24"/>
        <v>0</v>
      </c>
      <c r="K103" s="390">
        <f t="shared" si="24"/>
        <v>16057</v>
      </c>
      <c r="L103" s="390">
        <f t="shared" si="24"/>
        <v>463055</v>
      </c>
      <c r="M103" s="398">
        <f t="shared" si="24"/>
        <v>249031</v>
      </c>
      <c r="N103" s="958">
        <f t="shared" si="19"/>
        <v>706268</v>
      </c>
      <c r="O103" s="99"/>
    </row>
    <row r="104" spans="1:15" s="180" customFormat="1" ht="21.75" customHeight="1">
      <c r="A104" s="284">
        <v>97</v>
      </c>
      <c r="B104" s="181">
        <v>10</v>
      </c>
      <c r="C104" s="182"/>
      <c r="D104" s="176" t="s">
        <v>912</v>
      </c>
      <c r="E104" s="183"/>
      <c r="F104" s="183"/>
      <c r="G104" s="183"/>
      <c r="H104" s="183"/>
      <c r="I104" s="183"/>
      <c r="J104" s="183"/>
      <c r="K104" s="183"/>
      <c r="L104" s="183"/>
      <c r="M104" s="184"/>
      <c r="N104" s="95"/>
      <c r="O104" s="180">
        <f>(SUM(E105:L105))-N104</f>
        <v>162519</v>
      </c>
    </row>
    <row r="105" spans="1:14" ht="15">
      <c r="A105" s="284">
        <v>98</v>
      </c>
      <c r="B105" s="92"/>
      <c r="C105" s="96"/>
      <c r="D105" s="97" t="s">
        <v>1168</v>
      </c>
      <c r="E105" s="183">
        <v>36750</v>
      </c>
      <c r="F105" s="183"/>
      <c r="G105" s="183"/>
      <c r="H105" s="183"/>
      <c r="I105" s="183"/>
      <c r="J105" s="183"/>
      <c r="K105" s="183"/>
      <c r="L105" s="183">
        <v>125769</v>
      </c>
      <c r="M105" s="184"/>
      <c r="N105" s="384">
        <f t="shared" si="19"/>
        <v>162519</v>
      </c>
    </row>
    <row r="106" spans="1:14" s="177" customFormat="1" ht="15">
      <c r="A106" s="284">
        <v>99</v>
      </c>
      <c r="B106" s="179"/>
      <c r="C106" s="285"/>
      <c r="D106" s="187" t="s">
        <v>588</v>
      </c>
      <c r="E106" s="91"/>
      <c r="F106" s="91"/>
      <c r="G106" s="91"/>
      <c r="H106" s="91"/>
      <c r="I106" s="91"/>
      <c r="J106" s="91"/>
      <c r="K106" s="91">
        <v>51866</v>
      </c>
      <c r="L106" s="91"/>
      <c r="M106" s="91"/>
      <c r="N106" s="385">
        <f t="shared" si="19"/>
        <v>51866</v>
      </c>
    </row>
    <row r="107" spans="1:14" s="177" customFormat="1" ht="15">
      <c r="A107" s="284">
        <v>100</v>
      </c>
      <c r="B107" s="179"/>
      <c r="C107" s="285"/>
      <c r="D107" s="187" t="s">
        <v>595</v>
      </c>
      <c r="E107" s="91"/>
      <c r="F107" s="91"/>
      <c r="G107" s="91"/>
      <c r="H107" s="91"/>
      <c r="I107" s="91"/>
      <c r="J107" s="91"/>
      <c r="K107" s="91"/>
      <c r="L107" s="91">
        <v>532</v>
      </c>
      <c r="M107" s="91"/>
      <c r="N107" s="385">
        <f t="shared" si="19"/>
        <v>532</v>
      </c>
    </row>
    <row r="108" spans="1:14" s="177" customFormat="1" ht="15">
      <c r="A108" s="284">
        <v>101</v>
      </c>
      <c r="B108" s="179"/>
      <c r="C108" s="285"/>
      <c r="D108" s="187" t="s">
        <v>604</v>
      </c>
      <c r="E108" s="91"/>
      <c r="F108" s="91"/>
      <c r="G108" s="91"/>
      <c r="H108" s="91"/>
      <c r="I108" s="91"/>
      <c r="J108" s="91"/>
      <c r="K108" s="91"/>
      <c r="L108" s="91">
        <v>1357</v>
      </c>
      <c r="M108" s="91"/>
      <c r="N108" s="385">
        <f t="shared" si="19"/>
        <v>1357</v>
      </c>
    </row>
    <row r="109" spans="1:14" s="177" customFormat="1" ht="15">
      <c r="A109" s="284">
        <v>102</v>
      </c>
      <c r="B109" s="179"/>
      <c r="C109" s="285"/>
      <c r="D109" s="187" t="s">
        <v>769</v>
      </c>
      <c r="E109" s="91"/>
      <c r="F109" s="91"/>
      <c r="G109" s="91"/>
      <c r="H109" s="91"/>
      <c r="I109" s="91"/>
      <c r="J109" s="91"/>
      <c r="K109" s="91"/>
      <c r="L109" s="91">
        <v>2500</v>
      </c>
      <c r="M109" s="91"/>
      <c r="N109" s="385">
        <f t="shared" si="19"/>
        <v>2500</v>
      </c>
    </row>
    <row r="110" spans="1:14" s="177" customFormat="1" ht="15">
      <c r="A110" s="284">
        <v>103</v>
      </c>
      <c r="B110" s="179"/>
      <c r="C110" s="285"/>
      <c r="D110" s="187" t="s">
        <v>770</v>
      </c>
      <c r="E110" s="91"/>
      <c r="F110" s="91"/>
      <c r="G110" s="91"/>
      <c r="H110" s="91"/>
      <c r="I110" s="91"/>
      <c r="J110" s="91"/>
      <c r="K110" s="91"/>
      <c r="L110" s="91">
        <v>50</v>
      </c>
      <c r="M110" s="91"/>
      <c r="N110" s="385">
        <f t="shared" si="19"/>
        <v>50</v>
      </c>
    </row>
    <row r="111" spans="1:14" s="177" customFormat="1" ht="15">
      <c r="A111" s="284">
        <v>104</v>
      </c>
      <c r="B111" s="179"/>
      <c r="C111" s="285"/>
      <c r="D111" s="187" t="s">
        <v>771</v>
      </c>
      <c r="E111" s="91"/>
      <c r="F111" s="91"/>
      <c r="G111" s="91"/>
      <c r="H111" s="91"/>
      <c r="I111" s="91"/>
      <c r="J111" s="91"/>
      <c r="K111" s="91"/>
      <c r="L111" s="91">
        <v>100</v>
      </c>
      <c r="M111" s="91"/>
      <c r="N111" s="385">
        <f t="shared" si="19"/>
        <v>100</v>
      </c>
    </row>
    <row r="112" spans="1:14" s="177" customFormat="1" ht="15">
      <c r="A112" s="284">
        <v>105</v>
      </c>
      <c r="B112" s="179"/>
      <c r="C112" s="285"/>
      <c r="D112" s="187" t="s">
        <v>772</v>
      </c>
      <c r="E112" s="91"/>
      <c r="F112" s="91"/>
      <c r="G112" s="91"/>
      <c r="H112" s="91"/>
      <c r="I112" s="91"/>
      <c r="J112" s="91"/>
      <c r="K112" s="91"/>
      <c r="L112" s="91">
        <v>50</v>
      </c>
      <c r="M112" s="91"/>
      <c r="N112" s="385">
        <f t="shared" si="19"/>
        <v>50</v>
      </c>
    </row>
    <row r="113" spans="1:14" s="177" customFormat="1" ht="15">
      <c r="A113" s="284">
        <v>106</v>
      </c>
      <c r="B113" s="179"/>
      <c r="C113" s="285"/>
      <c r="D113" s="187" t="s">
        <v>308</v>
      </c>
      <c r="E113" s="91"/>
      <c r="F113" s="91"/>
      <c r="G113" s="91"/>
      <c r="H113" s="91"/>
      <c r="I113" s="91"/>
      <c r="J113" s="91"/>
      <c r="K113" s="91"/>
      <c r="L113" s="91">
        <v>820</v>
      </c>
      <c r="M113" s="91"/>
      <c r="N113" s="385">
        <f t="shared" si="19"/>
        <v>820</v>
      </c>
    </row>
    <row r="114" spans="1:14" s="177" customFormat="1" ht="15">
      <c r="A114" s="284">
        <v>107</v>
      </c>
      <c r="B114" s="179"/>
      <c r="C114" s="285"/>
      <c r="D114" s="187" t="s">
        <v>309</v>
      </c>
      <c r="E114" s="91"/>
      <c r="F114" s="91"/>
      <c r="G114" s="91"/>
      <c r="H114" s="91"/>
      <c r="I114" s="91"/>
      <c r="J114" s="91"/>
      <c r="K114" s="91"/>
      <c r="L114" s="91">
        <v>250</v>
      </c>
      <c r="M114" s="91"/>
      <c r="N114" s="385">
        <f t="shared" si="19"/>
        <v>250</v>
      </c>
    </row>
    <row r="115" spans="1:14" s="177" customFormat="1" ht="15">
      <c r="A115" s="284">
        <v>108</v>
      </c>
      <c r="B115" s="179"/>
      <c r="C115" s="285"/>
      <c r="D115" s="187" t="s">
        <v>310</v>
      </c>
      <c r="E115" s="91"/>
      <c r="F115" s="91"/>
      <c r="G115" s="91"/>
      <c r="H115" s="91"/>
      <c r="I115" s="91"/>
      <c r="J115" s="91"/>
      <c r="K115" s="91"/>
      <c r="L115" s="91">
        <v>150</v>
      </c>
      <c r="M115" s="91"/>
      <c r="N115" s="385">
        <f t="shared" si="19"/>
        <v>150</v>
      </c>
    </row>
    <row r="116" spans="1:14" s="177" customFormat="1" ht="15">
      <c r="A116" s="284">
        <v>109</v>
      </c>
      <c r="B116" s="179"/>
      <c r="C116" s="285"/>
      <c r="D116" s="187" t="s">
        <v>311</v>
      </c>
      <c r="E116" s="91"/>
      <c r="F116" s="91"/>
      <c r="G116" s="91"/>
      <c r="H116" s="91"/>
      <c r="I116" s="91"/>
      <c r="J116" s="91"/>
      <c r="K116" s="91"/>
      <c r="L116" s="91">
        <v>120</v>
      </c>
      <c r="M116" s="91"/>
      <c r="N116" s="385">
        <f t="shared" si="19"/>
        <v>120</v>
      </c>
    </row>
    <row r="117" spans="1:14" s="177" customFormat="1" ht="15">
      <c r="A117" s="284">
        <v>110</v>
      </c>
      <c r="B117" s="179"/>
      <c r="C117" s="285"/>
      <c r="D117" s="187" t="s">
        <v>312</v>
      </c>
      <c r="E117" s="91"/>
      <c r="F117" s="91"/>
      <c r="G117" s="91"/>
      <c r="H117" s="91"/>
      <c r="I117" s="91"/>
      <c r="J117" s="91"/>
      <c r="K117" s="91"/>
      <c r="L117" s="91">
        <v>250</v>
      </c>
      <c r="M117" s="91"/>
      <c r="N117" s="385">
        <f t="shared" si="19"/>
        <v>250</v>
      </c>
    </row>
    <row r="118" spans="1:14" s="177" customFormat="1" ht="15">
      <c r="A118" s="284">
        <v>111</v>
      </c>
      <c r="B118" s="179"/>
      <c r="C118" s="285"/>
      <c r="D118" s="187" t="s">
        <v>313</v>
      </c>
      <c r="E118" s="91"/>
      <c r="F118" s="91"/>
      <c r="G118" s="91"/>
      <c r="H118" s="91"/>
      <c r="I118" s="91"/>
      <c r="J118" s="91"/>
      <c r="K118" s="91"/>
      <c r="L118" s="91">
        <v>130</v>
      </c>
      <c r="M118" s="91"/>
      <c r="N118" s="385">
        <f t="shared" si="19"/>
        <v>130</v>
      </c>
    </row>
    <row r="119" spans="1:14" s="177" customFormat="1" ht="15">
      <c r="A119" s="284">
        <v>112</v>
      </c>
      <c r="B119" s="179"/>
      <c r="C119" s="285"/>
      <c r="D119" s="187" t="s">
        <v>314</v>
      </c>
      <c r="E119" s="91"/>
      <c r="F119" s="91"/>
      <c r="G119" s="91"/>
      <c r="H119" s="91"/>
      <c r="I119" s="91"/>
      <c r="J119" s="91"/>
      <c r="K119" s="91"/>
      <c r="L119" s="91">
        <v>50</v>
      </c>
      <c r="M119" s="91"/>
      <c r="N119" s="385">
        <f t="shared" si="19"/>
        <v>50</v>
      </c>
    </row>
    <row r="120" spans="1:14" s="177" customFormat="1" ht="15">
      <c r="A120" s="284">
        <v>113</v>
      </c>
      <c r="B120" s="179"/>
      <c r="C120" s="285"/>
      <c r="D120" s="187" t="s">
        <v>315</v>
      </c>
      <c r="E120" s="91"/>
      <c r="F120" s="91"/>
      <c r="G120" s="91"/>
      <c r="H120" s="91"/>
      <c r="I120" s="91"/>
      <c r="J120" s="91"/>
      <c r="K120" s="91"/>
      <c r="L120" s="91">
        <v>60</v>
      </c>
      <c r="M120" s="91"/>
      <c r="N120" s="385">
        <f t="shared" si="19"/>
        <v>60</v>
      </c>
    </row>
    <row r="121" spans="1:14" s="177" customFormat="1" ht="15">
      <c r="A121" s="284">
        <v>114</v>
      </c>
      <c r="B121" s="179"/>
      <c r="C121" s="285"/>
      <c r="D121" s="187" t="s">
        <v>645</v>
      </c>
      <c r="E121" s="91"/>
      <c r="F121" s="91"/>
      <c r="G121" s="91"/>
      <c r="H121" s="91"/>
      <c r="I121" s="91"/>
      <c r="J121" s="91"/>
      <c r="K121" s="91"/>
      <c r="L121" s="91">
        <v>150</v>
      </c>
      <c r="M121" s="91"/>
      <c r="N121" s="385">
        <f t="shared" si="19"/>
        <v>150</v>
      </c>
    </row>
    <row r="122" spans="1:14" s="177" customFormat="1" ht="15">
      <c r="A122" s="284">
        <v>115</v>
      </c>
      <c r="B122" s="179"/>
      <c r="C122" s="285"/>
      <c r="D122" s="187" t="s">
        <v>317</v>
      </c>
      <c r="E122" s="91"/>
      <c r="F122" s="91"/>
      <c r="G122" s="91"/>
      <c r="H122" s="91"/>
      <c r="I122" s="91"/>
      <c r="J122" s="91"/>
      <c r="K122" s="91"/>
      <c r="L122" s="91">
        <v>300</v>
      </c>
      <c r="M122" s="91"/>
      <c r="N122" s="385">
        <f t="shared" si="19"/>
        <v>300</v>
      </c>
    </row>
    <row r="123" spans="1:14" s="7" customFormat="1" ht="15">
      <c r="A123" s="284">
        <v>116</v>
      </c>
      <c r="B123" s="383"/>
      <c r="C123" s="93"/>
      <c r="D123" s="185" t="s">
        <v>1169</v>
      </c>
      <c r="E123" s="94">
        <f>SUM(E105:E112)</f>
        <v>36750</v>
      </c>
      <c r="F123" s="94">
        <f aca="true" t="shared" si="25" ref="F123:M123">SUM(F105:F112)</f>
        <v>0</v>
      </c>
      <c r="G123" s="94">
        <f t="shared" si="25"/>
        <v>0</v>
      </c>
      <c r="H123" s="94">
        <f t="shared" si="25"/>
        <v>0</v>
      </c>
      <c r="I123" s="94">
        <f t="shared" si="25"/>
        <v>0</v>
      </c>
      <c r="J123" s="94">
        <f t="shared" si="25"/>
        <v>0</v>
      </c>
      <c r="K123" s="94">
        <f t="shared" si="25"/>
        <v>51866</v>
      </c>
      <c r="L123" s="94">
        <f>SUM(L105:L122)</f>
        <v>132638</v>
      </c>
      <c r="M123" s="94">
        <f t="shared" si="25"/>
        <v>0</v>
      </c>
      <c r="N123" s="95">
        <f>SUM(N105:N122)</f>
        <v>221254</v>
      </c>
    </row>
    <row r="124" spans="1:14" s="180" customFormat="1" ht="15">
      <c r="A124" s="284">
        <v>117</v>
      </c>
      <c r="B124" s="181"/>
      <c r="C124" s="182">
        <v>1</v>
      </c>
      <c r="D124" s="1351" t="s">
        <v>387</v>
      </c>
      <c r="E124" s="1351"/>
      <c r="F124" s="1351"/>
      <c r="G124" s="1351"/>
      <c r="H124" s="1351"/>
      <c r="I124" s="183"/>
      <c r="J124" s="183"/>
      <c r="K124" s="183"/>
      <c r="L124" s="183"/>
      <c r="M124" s="184"/>
      <c r="N124" s="155"/>
    </row>
    <row r="125" spans="1:14" ht="15">
      <c r="A125" s="284">
        <v>118</v>
      </c>
      <c r="B125" s="92"/>
      <c r="C125" s="96"/>
      <c r="D125" s="97" t="s">
        <v>1168</v>
      </c>
      <c r="E125" s="183"/>
      <c r="F125" s="183">
        <v>17664</v>
      </c>
      <c r="G125" s="183"/>
      <c r="H125" s="183"/>
      <c r="I125" s="183"/>
      <c r="J125" s="183"/>
      <c r="K125" s="183"/>
      <c r="L125" s="183"/>
      <c r="M125" s="184"/>
      <c r="N125" s="384">
        <f t="shared" si="19"/>
        <v>17664</v>
      </c>
    </row>
    <row r="126" spans="1:14" s="177" customFormat="1" ht="15">
      <c r="A126" s="284">
        <v>119</v>
      </c>
      <c r="B126" s="179"/>
      <c r="C126" s="285"/>
      <c r="D126" s="187" t="s">
        <v>1170</v>
      </c>
      <c r="E126" s="91"/>
      <c r="F126" s="91">
        <v>2500</v>
      </c>
      <c r="G126" s="91"/>
      <c r="H126" s="91"/>
      <c r="I126" s="91"/>
      <c r="J126" s="91"/>
      <c r="K126" s="91"/>
      <c r="L126" s="91"/>
      <c r="M126" s="91"/>
      <c r="N126" s="385">
        <f t="shared" si="19"/>
        <v>2500</v>
      </c>
    </row>
    <row r="127" spans="1:14" s="7" customFormat="1" ht="15">
      <c r="A127" s="284">
        <v>120</v>
      </c>
      <c r="B127" s="383"/>
      <c r="C127" s="93"/>
      <c r="D127" s="185" t="s">
        <v>1169</v>
      </c>
      <c r="E127" s="94">
        <f>SUM(E125:E126)</f>
        <v>0</v>
      </c>
      <c r="F127" s="94">
        <f>SUM(F125:F126)</f>
        <v>20164</v>
      </c>
      <c r="G127" s="94">
        <f aca="true" t="shared" si="26" ref="G127:M127">SUM(G125:G126)</f>
        <v>0</v>
      </c>
      <c r="H127" s="94">
        <f t="shared" si="26"/>
        <v>0</v>
      </c>
      <c r="I127" s="94">
        <f t="shared" si="26"/>
        <v>0</v>
      </c>
      <c r="J127" s="94">
        <f t="shared" si="26"/>
        <v>0</v>
      </c>
      <c r="K127" s="94">
        <f t="shared" si="26"/>
        <v>0</v>
      </c>
      <c r="L127" s="94">
        <f t="shared" si="26"/>
        <v>0</v>
      </c>
      <c r="M127" s="186">
        <f t="shared" si="26"/>
        <v>0</v>
      </c>
      <c r="N127" s="155">
        <f t="shared" si="19"/>
        <v>20164</v>
      </c>
    </row>
    <row r="128" spans="1:15" s="180" customFormat="1" ht="21.75" customHeight="1">
      <c r="A128" s="284">
        <v>121</v>
      </c>
      <c r="B128" s="181">
        <v>11</v>
      </c>
      <c r="C128" s="182"/>
      <c r="D128" s="176" t="s">
        <v>913</v>
      </c>
      <c r="E128" s="183"/>
      <c r="F128" s="183"/>
      <c r="G128" s="183"/>
      <c r="H128" s="183"/>
      <c r="I128" s="183"/>
      <c r="J128" s="183"/>
      <c r="K128" s="183"/>
      <c r="L128" s="183"/>
      <c r="M128" s="184"/>
      <c r="N128" s="95"/>
      <c r="O128" s="180">
        <f>(SUM(E129:L129))-N128</f>
        <v>75506</v>
      </c>
    </row>
    <row r="129" spans="1:14" ht="15">
      <c r="A129" s="284">
        <v>122</v>
      </c>
      <c r="B129" s="92"/>
      <c r="C129" s="96"/>
      <c r="D129" s="97" t="s">
        <v>1168</v>
      </c>
      <c r="E129" s="183">
        <v>9790</v>
      </c>
      <c r="F129" s="183">
        <v>1500</v>
      </c>
      <c r="G129" s="183"/>
      <c r="H129" s="183"/>
      <c r="I129" s="183"/>
      <c r="J129" s="183"/>
      <c r="K129" s="183"/>
      <c r="L129" s="183">
        <v>64216</v>
      </c>
      <c r="M129" s="184"/>
      <c r="N129" s="384">
        <f t="shared" si="19"/>
        <v>75506</v>
      </c>
    </row>
    <row r="130" spans="1:14" s="177" customFormat="1" ht="15">
      <c r="A130" s="284">
        <v>123</v>
      </c>
      <c r="B130" s="179"/>
      <c r="C130" s="285"/>
      <c r="D130" s="187" t="s">
        <v>588</v>
      </c>
      <c r="E130" s="91"/>
      <c r="F130" s="91"/>
      <c r="G130" s="91"/>
      <c r="H130" s="91"/>
      <c r="I130" s="91"/>
      <c r="J130" s="91"/>
      <c r="K130" s="91">
        <v>386</v>
      </c>
      <c r="L130" s="91"/>
      <c r="M130" s="91"/>
      <c r="N130" s="385">
        <f t="shared" si="19"/>
        <v>386</v>
      </c>
    </row>
    <row r="131" spans="1:14" s="177" customFormat="1" ht="15">
      <c r="A131" s="284">
        <v>124</v>
      </c>
      <c r="B131" s="179"/>
      <c r="C131" s="285"/>
      <c r="D131" s="187" t="s">
        <v>595</v>
      </c>
      <c r="E131" s="91"/>
      <c r="F131" s="91"/>
      <c r="G131" s="91"/>
      <c r="H131" s="91"/>
      <c r="I131" s="91"/>
      <c r="J131" s="91"/>
      <c r="K131" s="91"/>
      <c r="L131" s="91">
        <v>420</v>
      </c>
      <c r="M131" s="91"/>
      <c r="N131" s="385">
        <f t="shared" si="19"/>
        <v>420</v>
      </c>
    </row>
    <row r="132" spans="1:14" s="177" customFormat="1" ht="15">
      <c r="A132" s="284">
        <v>125</v>
      </c>
      <c r="B132" s="179"/>
      <c r="C132" s="285"/>
      <c r="D132" s="187" t="s">
        <v>183</v>
      </c>
      <c r="E132" s="91"/>
      <c r="F132" s="91"/>
      <c r="G132" s="91"/>
      <c r="H132" s="91"/>
      <c r="I132" s="91"/>
      <c r="J132" s="91"/>
      <c r="K132" s="91"/>
      <c r="L132" s="91">
        <v>1500</v>
      </c>
      <c r="M132" s="91"/>
      <c r="N132" s="385">
        <f t="shared" si="19"/>
        <v>1500</v>
      </c>
    </row>
    <row r="133" spans="1:14" s="177" customFormat="1" ht="15">
      <c r="A133" s="284">
        <v>126</v>
      </c>
      <c r="B133" s="179"/>
      <c r="C133" s="285"/>
      <c r="D133" s="187" t="s">
        <v>775</v>
      </c>
      <c r="E133" s="91"/>
      <c r="F133" s="91"/>
      <c r="G133" s="91"/>
      <c r="H133" s="91"/>
      <c r="I133" s="91"/>
      <c r="J133" s="91"/>
      <c r="K133" s="91"/>
      <c r="L133" s="91">
        <v>40</v>
      </c>
      <c r="M133" s="91"/>
      <c r="N133" s="385">
        <f t="shared" si="19"/>
        <v>40</v>
      </c>
    </row>
    <row r="134" spans="1:14" s="7" customFormat="1" ht="15">
      <c r="A134" s="284">
        <v>127</v>
      </c>
      <c r="B134" s="383"/>
      <c r="C134" s="93"/>
      <c r="D134" s="185" t="s">
        <v>1169</v>
      </c>
      <c r="E134" s="94">
        <f>SUM(E129:E132)</f>
        <v>9790</v>
      </c>
      <c r="F134" s="94">
        <f aca="true" t="shared" si="27" ref="F134:M134">SUM(F129:F132)</f>
        <v>1500</v>
      </c>
      <c r="G134" s="94">
        <f t="shared" si="27"/>
        <v>0</v>
      </c>
      <c r="H134" s="94">
        <f t="shared" si="27"/>
        <v>0</v>
      </c>
      <c r="I134" s="94">
        <f t="shared" si="27"/>
        <v>0</v>
      </c>
      <c r="J134" s="94">
        <f t="shared" si="27"/>
        <v>0</v>
      </c>
      <c r="K134" s="94">
        <f t="shared" si="27"/>
        <v>386</v>
      </c>
      <c r="L134" s="94">
        <f>SUM(L129:L133)</f>
        <v>66176</v>
      </c>
      <c r="M134" s="186">
        <f t="shared" si="27"/>
        <v>0</v>
      </c>
      <c r="N134" s="155">
        <f t="shared" si="19"/>
        <v>77852</v>
      </c>
    </row>
    <row r="135" spans="1:14" s="180" customFormat="1" ht="15">
      <c r="A135" s="284">
        <v>128</v>
      </c>
      <c r="B135" s="181"/>
      <c r="C135" s="182">
        <v>1</v>
      </c>
      <c r="D135" s="1351" t="s">
        <v>387</v>
      </c>
      <c r="E135" s="1351"/>
      <c r="F135" s="1351"/>
      <c r="G135" s="1351"/>
      <c r="H135" s="1351"/>
      <c r="I135" s="183"/>
      <c r="J135" s="183"/>
      <c r="K135" s="183"/>
      <c r="L135" s="183"/>
      <c r="M135" s="184"/>
      <c r="N135" s="155"/>
    </row>
    <row r="136" spans="1:14" ht="15">
      <c r="A136" s="284">
        <v>129</v>
      </c>
      <c r="B136" s="92"/>
      <c r="C136" s="96"/>
      <c r="D136" s="97" t="s">
        <v>1168</v>
      </c>
      <c r="E136" s="183"/>
      <c r="F136" s="183">
        <v>9667</v>
      </c>
      <c r="G136" s="183"/>
      <c r="H136" s="183"/>
      <c r="I136" s="183"/>
      <c r="J136" s="183"/>
      <c r="K136" s="183"/>
      <c r="L136" s="183"/>
      <c r="M136" s="184"/>
      <c r="N136" s="384">
        <f t="shared" si="19"/>
        <v>9667</v>
      </c>
    </row>
    <row r="137" spans="1:14" s="177" customFormat="1" ht="15">
      <c r="A137" s="284">
        <v>130</v>
      </c>
      <c r="B137" s="179"/>
      <c r="C137" s="285"/>
      <c r="D137" s="187" t="s">
        <v>1170</v>
      </c>
      <c r="E137" s="91"/>
      <c r="F137" s="91"/>
      <c r="G137" s="91"/>
      <c r="H137" s="91"/>
      <c r="I137" s="91"/>
      <c r="J137" s="91"/>
      <c r="K137" s="91"/>
      <c r="L137" s="91"/>
      <c r="M137" s="91"/>
      <c r="N137" s="385">
        <f t="shared" si="19"/>
        <v>0</v>
      </c>
    </row>
    <row r="138" spans="1:14" s="7" customFormat="1" ht="15">
      <c r="A138" s="284">
        <v>131</v>
      </c>
      <c r="B138" s="383"/>
      <c r="C138" s="93"/>
      <c r="D138" s="185" t="s">
        <v>1169</v>
      </c>
      <c r="E138" s="94">
        <f>SUM(E136:E137)</f>
        <v>0</v>
      </c>
      <c r="F138" s="94">
        <f>SUM(F136:F137)</f>
        <v>9667</v>
      </c>
      <c r="G138" s="94">
        <f aca="true" t="shared" si="28" ref="G138:M138">SUM(G136:G137)</f>
        <v>0</v>
      </c>
      <c r="H138" s="94">
        <f t="shared" si="28"/>
        <v>0</v>
      </c>
      <c r="I138" s="94">
        <f t="shared" si="28"/>
        <v>0</v>
      </c>
      <c r="J138" s="94">
        <f t="shared" si="28"/>
        <v>0</v>
      </c>
      <c r="K138" s="94">
        <f t="shared" si="28"/>
        <v>0</v>
      </c>
      <c r="L138" s="94">
        <f t="shared" si="28"/>
        <v>0</v>
      </c>
      <c r="M138" s="186">
        <f t="shared" si="28"/>
        <v>0</v>
      </c>
      <c r="N138" s="155">
        <f t="shared" si="19"/>
        <v>9667</v>
      </c>
    </row>
    <row r="139" spans="1:15" s="180" customFormat="1" ht="21.75" customHeight="1">
      <c r="A139" s="284">
        <v>132</v>
      </c>
      <c r="B139" s="181">
        <v>12</v>
      </c>
      <c r="C139" s="182"/>
      <c r="D139" s="176" t="s">
        <v>459</v>
      </c>
      <c r="E139" s="183"/>
      <c r="F139" s="183"/>
      <c r="G139" s="183"/>
      <c r="H139" s="183"/>
      <c r="I139" s="183"/>
      <c r="J139" s="183"/>
      <c r="K139" s="183"/>
      <c r="L139" s="183"/>
      <c r="M139" s="184"/>
      <c r="N139" s="95"/>
      <c r="O139" s="180">
        <f>(SUM(E140:L140))-N139</f>
        <v>356202</v>
      </c>
    </row>
    <row r="140" spans="1:14" ht="15">
      <c r="A140" s="284">
        <v>133</v>
      </c>
      <c r="B140" s="92"/>
      <c r="C140" s="96"/>
      <c r="D140" s="97" t="s">
        <v>1168</v>
      </c>
      <c r="E140" s="183">
        <v>20200</v>
      </c>
      <c r="F140" s="183"/>
      <c r="G140" s="183"/>
      <c r="H140" s="183"/>
      <c r="I140" s="183"/>
      <c r="J140" s="183"/>
      <c r="K140" s="183"/>
      <c r="L140" s="183">
        <v>336002</v>
      </c>
      <c r="M140" s="184">
        <v>298838</v>
      </c>
      <c r="N140" s="384">
        <f t="shared" si="19"/>
        <v>356202</v>
      </c>
    </row>
    <row r="141" spans="1:14" s="177" customFormat="1" ht="15">
      <c r="A141" s="284">
        <v>134</v>
      </c>
      <c r="B141" s="179"/>
      <c r="C141" s="285"/>
      <c r="D141" s="187" t="s">
        <v>597</v>
      </c>
      <c r="E141" s="91"/>
      <c r="F141" s="91"/>
      <c r="G141" s="91"/>
      <c r="H141" s="91"/>
      <c r="I141" s="91"/>
      <c r="J141" s="91"/>
      <c r="K141" s="91">
        <v>7660</v>
      </c>
      <c r="L141" s="91">
        <v>1385</v>
      </c>
      <c r="M141" s="91"/>
      <c r="N141" s="385">
        <f t="shared" si="19"/>
        <v>9045</v>
      </c>
    </row>
    <row r="142" spans="1:14" s="177" customFormat="1" ht="15">
      <c r="A142" s="284">
        <v>135</v>
      </c>
      <c r="B142" s="179"/>
      <c r="C142" s="285"/>
      <c r="D142" s="571" t="s">
        <v>646</v>
      </c>
      <c r="E142" s="498"/>
      <c r="F142" s="486"/>
      <c r="G142" s="91"/>
      <c r="H142" s="91"/>
      <c r="I142" s="91"/>
      <c r="J142" s="91"/>
      <c r="K142" s="91"/>
      <c r="L142" s="91">
        <v>200</v>
      </c>
      <c r="M142" s="91"/>
      <c r="N142" s="385">
        <f t="shared" si="19"/>
        <v>200</v>
      </c>
    </row>
    <row r="143" spans="1:14" s="177" customFormat="1" ht="15">
      <c r="A143" s="284">
        <v>136</v>
      </c>
      <c r="B143" s="179"/>
      <c r="C143" s="285"/>
      <c r="D143" s="571" t="s">
        <v>318</v>
      </c>
      <c r="E143" s="498"/>
      <c r="F143" s="486"/>
      <c r="G143" s="91"/>
      <c r="H143" s="91"/>
      <c r="I143" s="91"/>
      <c r="J143" s="91"/>
      <c r="K143" s="91"/>
      <c r="L143" s="91">
        <v>70</v>
      </c>
      <c r="M143" s="91"/>
      <c r="N143" s="385">
        <f t="shared" si="19"/>
        <v>70</v>
      </c>
    </row>
    <row r="144" spans="1:14" s="177" customFormat="1" ht="15">
      <c r="A144" s="284">
        <v>137</v>
      </c>
      <c r="B144" s="179"/>
      <c r="C144" s="285"/>
      <c r="D144" s="571" t="s">
        <v>647</v>
      </c>
      <c r="E144" s="498"/>
      <c r="F144" s="486"/>
      <c r="G144" s="91"/>
      <c r="H144" s="91"/>
      <c r="I144" s="91"/>
      <c r="J144" s="91"/>
      <c r="K144" s="91"/>
      <c r="L144" s="91">
        <v>160</v>
      </c>
      <c r="M144" s="91"/>
      <c r="N144" s="385">
        <f t="shared" si="19"/>
        <v>160</v>
      </c>
    </row>
    <row r="145" spans="1:14" s="177" customFormat="1" ht="15">
      <c r="A145" s="284">
        <v>138</v>
      </c>
      <c r="B145" s="179"/>
      <c r="C145" s="285"/>
      <c r="D145" s="571" t="s">
        <v>659</v>
      </c>
      <c r="E145" s="498"/>
      <c r="F145" s="486"/>
      <c r="G145" s="91"/>
      <c r="H145" s="91"/>
      <c r="I145" s="91"/>
      <c r="J145" s="91"/>
      <c r="K145" s="91"/>
      <c r="L145" s="91">
        <v>100</v>
      </c>
      <c r="M145" s="91"/>
      <c r="N145" s="385">
        <f t="shared" si="19"/>
        <v>100</v>
      </c>
    </row>
    <row r="146" spans="1:14" s="7" customFormat="1" ht="15">
      <c r="A146" s="284">
        <v>139</v>
      </c>
      <c r="B146" s="383"/>
      <c r="C146" s="93"/>
      <c r="D146" s="185" t="s">
        <v>1169</v>
      </c>
      <c r="E146" s="94">
        <f aca="true" t="shared" si="29" ref="E146:M146">SUM(E140:E145)</f>
        <v>20200</v>
      </c>
      <c r="F146" s="94">
        <f t="shared" si="29"/>
        <v>0</v>
      </c>
      <c r="G146" s="94">
        <f t="shared" si="29"/>
        <v>0</v>
      </c>
      <c r="H146" s="94">
        <f t="shared" si="29"/>
        <v>0</v>
      </c>
      <c r="I146" s="94">
        <f t="shared" si="29"/>
        <v>0</v>
      </c>
      <c r="J146" s="94">
        <f t="shared" si="29"/>
        <v>0</v>
      </c>
      <c r="K146" s="94">
        <f t="shared" si="29"/>
        <v>7660</v>
      </c>
      <c r="L146" s="94">
        <f t="shared" si="29"/>
        <v>337917</v>
      </c>
      <c r="M146" s="186">
        <f t="shared" si="29"/>
        <v>298838</v>
      </c>
      <c r="N146" s="155">
        <f t="shared" si="19"/>
        <v>365777</v>
      </c>
    </row>
    <row r="147" spans="1:14" s="180" customFormat="1" ht="15">
      <c r="A147" s="284">
        <v>140</v>
      </c>
      <c r="B147" s="181"/>
      <c r="C147" s="182">
        <v>1</v>
      </c>
      <c r="D147" s="1351" t="s">
        <v>889</v>
      </c>
      <c r="E147" s="1351"/>
      <c r="F147" s="1351"/>
      <c r="G147" s="1351"/>
      <c r="H147" s="1351"/>
      <c r="I147" s="183"/>
      <c r="J147" s="183"/>
      <c r="K147" s="183"/>
      <c r="L147" s="183"/>
      <c r="M147" s="184"/>
      <c r="N147" s="155"/>
    </row>
    <row r="148" spans="1:14" ht="15">
      <c r="A148" s="284">
        <v>141</v>
      </c>
      <c r="B148" s="92"/>
      <c r="C148" s="96"/>
      <c r="D148" s="97" t="s">
        <v>1168</v>
      </c>
      <c r="E148" s="183"/>
      <c r="F148" s="183">
        <v>2683</v>
      </c>
      <c r="G148" s="183"/>
      <c r="H148" s="183"/>
      <c r="I148" s="183"/>
      <c r="J148" s="183"/>
      <c r="K148" s="183"/>
      <c r="L148" s="183"/>
      <c r="M148" s="184"/>
      <c r="N148" s="384">
        <f t="shared" si="19"/>
        <v>2683</v>
      </c>
    </row>
    <row r="149" spans="1:14" s="177" customFormat="1" ht="15">
      <c r="A149" s="284">
        <v>142</v>
      </c>
      <c r="B149" s="179"/>
      <c r="C149" s="285"/>
      <c r="D149" s="187" t="s">
        <v>588</v>
      </c>
      <c r="E149" s="91"/>
      <c r="F149" s="91"/>
      <c r="G149" s="91"/>
      <c r="H149" s="91"/>
      <c r="I149" s="91"/>
      <c r="J149" s="91"/>
      <c r="K149" s="91">
        <v>1015</v>
      </c>
      <c r="L149" s="91"/>
      <c r="M149" s="91"/>
      <c r="N149" s="385">
        <f t="shared" si="19"/>
        <v>1015</v>
      </c>
    </row>
    <row r="150" spans="1:14" s="7" customFormat="1" ht="15">
      <c r="A150" s="284">
        <v>143</v>
      </c>
      <c r="B150" s="383"/>
      <c r="C150" s="93"/>
      <c r="D150" s="185" t="s">
        <v>1169</v>
      </c>
      <c r="E150" s="94">
        <f>SUM(E148:E149)</f>
        <v>0</v>
      </c>
      <c r="F150" s="94">
        <f>SUM(F148:F149)</f>
        <v>2683</v>
      </c>
      <c r="G150" s="94">
        <f aca="true" t="shared" si="30" ref="G150:M150">SUM(G148:G149)</f>
        <v>0</v>
      </c>
      <c r="H150" s="94">
        <f t="shared" si="30"/>
        <v>0</v>
      </c>
      <c r="I150" s="94">
        <f t="shared" si="30"/>
        <v>0</v>
      </c>
      <c r="J150" s="94">
        <f t="shared" si="30"/>
        <v>0</v>
      </c>
      <c r="K150" s="94">
        <f t="shared" si="30"/>
        <v>1015</v>
      </c>
      <c r="L150" s="94">
        <f t="shared" si="30"/>
        <v>0</v>
      </c>
      <c r="M150" s="186">
        <f t="shared" si="30"/>
        <v>0</v>
      </c>
      <c r="N150" s="155">
        <f t="shared" si="19"/>
        <v>3698</v>
      </c>
    </row>
    <row r="151" spans="1:14" s="180" customFormat="1" ht="15">
      <c r="A151" s="284">
        <v>144</v>
      </c>
      <c r="B151" s="181"/>
      <c r="C151" s="182">
        <v>2</v>
      </c>
      <c r="D151" s="1351" t="s">
        <v>464</v>
      </c>
      <c r="E151" s="1351"/>
      <c r="F151" s="1351"/>
      <c r="G151" s="1351"/>
      <c r="H151" s="1351"/>
      <c r="I151" s="183"/>
      <c r="J151" s="183"/>
      <c r="K151" s="183"/>
      <c r="L151" s="183"/>
      <c r="M151" s="184"/>
      <c r="N151" s="155"/>
    </row>
    <row r="152" spans="1:14" ht="15">
      <c r="A152" s="284">
        <v>145</v>
      </c>
      <c r="B152" s="92"/>
      <c r="C152" s="96"/>
      <c r="D152" s="97" t="s">
        <v>1168</v>
      </c>
      <c r="E152" s="183"/>
      <c r="F152" s="183">
        <v>4054</v>
      </c>
      <c r="G152" s="183"/>
      <c r="H152" s="183"/>
      <c r="I152" s="183"/>
      <c r="J152" s="183"/>
      <c r="K152" s="183"/>
      <c r="L152" s="183"/>
      <c r="M152" s="184"/>
      <c r="N152" s="384">
        <f t="shared" si="19"/>
        <v>4054</v>
      </c>
    </row>
    <row r="153" spans="1:14" s="177" customFormat="1" ht="15">
      <c r="A153" s="284">
        <v>146</v>
      </c>
      <c r="B153" s="179"/>
      <c r="C153" s="285"/>
      <c r="D153" s="187" t="s">
        <v>1170</v>
      </c>
      <c r="E153" s="91"/>
      <c r="F153" s="91"/>
      <c r="G153" s="91"/>
      <c r="H153" s="91"/>
      <c r="I153" s="91"/>
      <c r="J153" s="91"/>
      <c r="K153" s="91"/>
      <c r="L153" s="91"/>
      <c r="M153" s="91"/>
      <c r="N153" s="385">
        <f t="shared" si="19"/>
        <v>0</v>
      </c>
    </row>
    <row r="154" spans="1:14" s="7" customFormat="1" ht="15">
      <c r="A154" s="284">
        <v>147</v>
      </c>
      <c r="B154" s="383"/>
      <c r="C154" s="93"/>
      <c r="D154" s="185" t="s">
        <v>1169</v>
      </c>
      <c r="E154" s="94">
        <f>SUM(E152:E153)</f>
        <v>0</v>
      </c>
      <c r="F154" s="94">
        <f>SUM(F152:F153)</f>
        <v>4054</v>
      </c>
      <c r="G154" s="94">
        <f aca="true" t="shared" si="31" ref="G154:M154">SUM(G152:G153)</f>
        <v>0</v>
      </c>
      <c r="H154" s="94">
        <f t="shared" si="31"/>
        <v>0</v>
      </c>
      <c r="I154" s="94">
        <f t="shared" si="31"/>
        <v>0</v>
      </c>
      <c r="J154" s="94">
        <f t="shared" si="31"/>
        <v>0</v>
      </c>
      <c r="K154" s="94">
        <f t="shared" si="31"/>
        <v>0</v>
      </c>
      <c r="L154" s="94">
        <f t="shared" si="31"/>
        <v>0</v>
      </c>
      <c r="M154" s="186">
        <f t="shared" si="31"/>
        <v>0</v>
      </c>
      <c r="N154" s="155">
        <f t="shared" si="19"/>
        <v>4054</v>
      </c>
    </row>
    <row r="155" spans="1:15" s="180" customFormat="1" ht="15.75" customHeight="1">
      <c r="A155" s="284">
        <v>148</v>
      </c>
      <c r="B155" s="181">
        <v>13</v>
      </c>
      <c r="C155" s="182"/>
      <c r="D155" s="176" t="s">
        <v>460</v>
      </c>
      <c r="E155" s="183"/>
      <c r="F155" s="183"/>
      <c r="G155" s="183"/>
      <c r="H155" s="183"/>
      <c r="I155" s="183"/>
      <c r="J155" s="183"/>
      <c r="K155" s="183"/>
      <c r="L155" s="183"/>
      <c r="M155" s="184"/>
      <c r="N155" s="95"/>
      <c r="O155" s="180">
        <f>(SUM(E156:L156))-N155</f>
        <v>237697</v>
      </c>
    </row>
    <row r="156" spans="1:14" ht="15">
      <c r="A156" s="284">
        <v>149</v>
      </c>
      <c r="B156" s="92"/>
      <c r="C156" s="96"/>
      <c r="D156" s="97" t="s">
        <v>1168</v>
      </c>
      <c r="E156" s="183">
        <v>99300</v>
      </c>
      <c r="F156" s="183">
        <v>12850</v>
      </c>
      <c r="G156" s="183"/>
      <c r="H156" s="183"/>
      <c r="I156" s="183"/>
      <c r="J156" s="183"/>
      <c r="K156" s="183"/>
      <c r="L156" s="183">
        <v>125547</v>
      </c>
      <c r="M156" s="184">
        <v>111500</v>
      </c>
      <c r="N156" s="384">
        <f t="shared" si="19"/>
        <v>237697</v>
      </c>
    </row>
    <row r="157" spans="1:14" s="177" customFormat="1" ht="15">
      <c r="A157" s="284">
        <v>150</v>
      </c>
      <c r="B157" s="179"/>
      <c r="C157" s="285"/>
      <c r="D157" s="187" t="s">
        <v>588</v>
      </c>
      <c r="E157" s="91"/>
      <c r="F157" s="91"/>
      <c r="G157" s="91"/>
      <c r="H157" s="91"/>
      <c r="I157" s="91"/>
      <c r="J157" s="91"/>
      <c r="K157" s="91">
        <v>34548</v>
      </c>
      <c r="L157" s="91"/>
      <c r="M157" s="91"/>
      <c r="N157" s="385">
        <f t="shared" si="19"/>
        <v>34548</v>
      </c>
    </row>
    <row r="158" spans="1:14" s="177" customFormat="1" ht="15">
      <c r="A158" s="284">
        <v>151</v>
      </c>
      <c r="B158" s="179"/>
      <c r="C158" s="285"/>
      <c r="D158" s="187" t="s">
        <v>595</v>
      </c>
      <c r="E158" s="91"/>
      <c r="F158" s="91"/>
      <c r="G158" s="91"/>
      <c r="H158" s="91"/>
      <c r="I158" s="91"/>
      <c r="J158" s="91"/>
      <c r="K158" s="91"/>
      <c r="L158" s="91">
        <v>982</v>
      </c>
      <c r="M158" s="91"/>
      <c r="N158" s="385">
        <f t="shared" si="19"/>
        <v>982</v>
      </c>
    </row>
    <row r="159" spans="1:14" s="177" customFormat="1" ht="15">
      <c r="A159" s="284">
        <v>152</v>
      </c>
      <c r="B159" s="179"/>
      <c r="C159" s="285"/>
      <c r="D159" s="187" t="s">
        <v>297</v>
      </c>
      <c r="E159" s="91"/>
      <c r="F159" s="91"/>
      <c r="G159" s="91"/>
      <c r="H159" s="91"/>
      <c r="I159" s="91"/>
      <c r="J159" s="91"/>
      <c r="K159" s="91"/>
      <c r="L159" s="91">
        <v>300</v>
      </c>
      <c r="M159" s="91"/>
      <c r="N159" s="385">
        <f t="shared" si="19"/>
        <v>300</v>
      </c>
    </row>
    <row r="160" spans="1:14" s="177" customFormat="1" ht="15">
      <c r="A160" s="284">
        <v>153</v>
      </c>
      <c r="B160" s="179"/>
      <c r="C160" s="285"/>
      <c r="D160" s="187" t="s">
        <v>672</v>
      </c>
      <c r="E160" s="91">
        <v>11175</v>
      </c>
      <c r="F160" s="91"/>
      <c r="G160" s="91"/>
      <c r="H160" s="91"/>
      <c r="I160" s="91"/>
      <c r="J160" s="91"/>
      <c r="K160" s="91"/>
      <c r="L160" s="91"/>
      <c r="M160" s="91"/>
      <c r="N160" s="385">
        <f t="shared" si="19"/>
        <v>11175</v>
      </c>
    </row>
    <row r="161" spans="1:14" s="7" customFormat="1" ht="15">
      <c r="A161" s="284">
        <v>154</v>
      </c>
      <c r="B161" s="383"/>
      <c r="C161" s="93"/>
      <c r="D161" s="185" t="s">
        <v>1169</v>
      </c>
      <c r="E161" s="94">
        <f>SUM(E156:E160)</f>
        <v>110475</v>
      </c>
      <c r="F161" s="94">
        <f aca="true" t="shared" si="32" ref="F161:L161">SUM(F156:F160)</f>
        <v>12850</v>
      </c>
      <c r="G161" s="94">
        <f t="shared" si="32"/>
        <v>0</v>
      </c>
      <c r="H161" s="94">
        <f t="shared" si="32"/>
        <v>0</v>
      </c>
      <c r="I161" s="94">
        <f t="shared" si="32"/>
        <v>0</v>
      </c>
      <c r="J161" s="94">
        <f t="shared" si="32"/>
        <v>0</v>
      </c>
      <c r="K161" s="94">
        <f t="shared" si="32"/>
        <v>34548</v>
      </c>
      <c r="L161" s="94">
        <f t="shared" si="32"/>
        <v>126829</v>
      </c>
      <c r="M161" s="186">
        <f>SUM(M156:M159)</f>
        <v>111500</v>
      </c>
      <c r="N161" s="155">
        <f t="shared" si="19"/>
        <v>284702</v>
      </c>
    </row>
    <row r="162" spans="1:14" s="180" customFormat="1" ht="15">
      <c r="A162" s="284">
        <v>155</v>
      </c>
      <c r="B162" s="181"/>
      <c r="C162" s="182">
        <v>1</v>
      </c>
      <c r="D162" s="1351" t="s">
        <v>890</v>
      </c>
      <c r="E162" s="1351"/>
      <c r="F162" s="1351"/>
      <c r="G162" s="1351"/>
      <c r="H162" s="1351"/>
      <c r="I162" s="183"/>
      <c r="J162" s="183"/>
      <c r="K162" s="183"/>
      <c r="L162" s="183"/>
      <c r="M162" s="184"/>
      <c r="N162" s="155"/>
    </row>
    <row r="163" spans="1:14" ht="15">
      <c r="A163" s="284">
        <v>156</v>
      </c>
      <c r="B163" s="92"/>
      <c r="C163" s="96"/>
      <c r="D163" s="97" t="s">
        <v>1168</v>
      </c>
      <c r="E163" s="183"/>
      <c r="F163" s="183">
        <v>10500</v>
      </c>
      <c r="G163" s="183"/>
      <c r="H163" s="183"/>
      <c r="I163" s="183"/>
      <c r="J163" s="183"/>
      <c r="K163" s="183"/>
      <c r="L163" s="183"/>
      <c r="M163" s="184"/>
      <c r="N163" s="384">
        <f t="shared" si="19"/>
        <v>10500</v>
      </c>
    </row>
    <row r="164" spans="1:14" s="177" customFormat="1" ht="15">
      <c r="A164" s="284">
        <v>157</v>
      </c>
      <c r="B164" s="179"/>
      <c r="C164" s="285"/>
      <c r="D164" s="187" t="s">
        <v>588</v>
      </c>
      <c r="E164" s="91"/>
      <c r="F164" s="91">
        <v>1632</v>
      </c>
      <c r="G164" s="91"/>
      <c r="H164" s="91"/>
      <c r="I164" s="91"/>
      <c r="J164" s="91"/>
      <c r="K164" s="91">
        <v>1438</v>
      </c>
      <c r="L164" s="91"/>
      <c r="M164" s="91"/>
      <c r="N164" s="385">
        <f t="shared" si="19"/>
        <v>3070</v>
      </c>
    </row>
    <row r="165" spans="1:14" s="7" customFormat="1" ht="15">
      <c r="A165" s="284">
        <v>158</v>
      </c>
      <c r="B165" s="383"/>
      <c r="C165" s="93"/>
      <c r="D165" s="185" t="s">
        <v>1169</v>
      </c>
      <c r="E165" s="94">
        <f>SUM(E163:E164)</f>
        <v>0</v>
      </c>
      <c r="F165" s="94">
        <f>SUM(F163:F164)</f>
        <v>12132</v>
      </c>
      <c r="G165" s="94">
        <f aca="true" t="shared" si="33" ref="G165:M165">SUM(G163:G164)</f>
        <v>0</v>
      </c>
      <c r="H165" s="94">
        <f t="shared" si="33"/>
        <v>0</v>
      </c>
      <c r="I165" s="94">
        <f t="shared" si="33"/>
        <v>0</v>
      </c>
      <c r="J165" s="94">
        <f t="shared" si="33"/>
        <v>0</v>
      </c>
      <c r="K165" s="94">
        <f t="shared" si="33"/>
        <v>1438</v>
      </c>
      <c r="L165" s="94">
        <f t="shared" si="33"/>
        <v>0</v>
      </c>
      <c r="M165" s="186">
        <f t="shared" si="33"/>
        <v>0</v>
      </c>
      <c r="N165" s="155">
        <f t="shared" si="19"/>
        <v>13570</v>
      </c>
    </row>
    <row r="166" spans="1:14" s="180" customFormat="1" ht="15">
      <c r="A166" s="284">
        <v>159</v>
      </c>
      <c r="B166" s="181"/>
      <c r="C166" s="182">
        <v>2</v>
      </c>
      <c r="D166" s="1351" t="s">
        <v>464</v>
      </c>
      <c r="E166" s="1351"/>
      <c r="F166" s="1351"/>
      <c r="G166" s="1351"/>
      <c r="H166" s="1351"/>
      <c r="I166" s="183"/>
      <c r="J166" s="183"/>
      <c r="K166" s="183"/>
      <c r="L166" s="183"/>
      <c r="M166" s="184"/>
      <c r="N166" s="155"/>
    </row>
    <row r="167" spans="1:14" ht="15">
      <c r="A167" s="284">
        <v>160</v>
      </c>
      <c r="B167" s="92"/>
      <c r="C167" s="96"/>
      <c r="D167" s="97" t="s">
        <v>1168</v>
      </c>
      <c r="E167" s="183"/>
      <c r="F167" s="183">
        <v>23403</v>
      </c>
      <c r="G167" s="183"/>
      <c r="H167" s="183"/>
      <c r="I167" s="183"/>
      <c r="J167" s="183"/>
      <c r="K167" s="183"/>
      <c r="L167" s="183"/>
      <c r="M167" s="184"/>
      <c r="N167" s="384">
        <f t="shared" si="19"/>
        <v>23403</v>
      </c>
    </row>
    <row r="168" spans="1:14" s="177" customFormat="1" ht="15">
      <c r="A168" s="284">
        <v>161</v>
      </c>
      <c r="B168" s="179"/>
      <c r="C168" s="285"/>
      <c r="D168" s="187" t="s">
        <v>1170</v>
      </c>
      <c r="E168" s="91"/>
      <c r="F168" s="91"/>
      <c r="G168" s="91"/>
      <c r="H168" s="91"/>
      <c r="I168" s="91"/>
      <c r="J168" s="91"/>
      <c r="K168" s="91"/>
      <c r="L168" s="91"/>
      <c r="M168" s="91"/>
      <c r="N168" s="385">
        <f t="shared" si="19"/>
        <v>0</v>
      </c>
    </row>
    <row r="169" spans="1:14" s="7" customFormat="1" ht="15">
      <c r="A169" s="284">
        <v>162</v>
      </c>
      <c r="B169" s="383"/>
      <c r="C169" s="93"/>
      <c r="D169" s="185" t="s">
        <v>1169</v>
      </c>
      <c r="E169" s="94">
        <f>SUM(E167:E168)</f>
        <v>0</v>
      </c>
      <c r="F169" s="94">
        <f>SUM(F167:F168)</f>
        <v>23403</v>
      </c>
      <c r="G169" s="94">
        <f aca="true" t="shared" si="34" ref="G169:M169">SUM(G167:G168)</f>
        <v>0</v>
      </c>
      <c r="H169" s="94">
        <f t="shared" si="34"/>
        <v>0</v>
      </c>
      <c r="I169" s="94">
        <f t="shared" si="34"/>
        <v>0</v>
      </c>
      <c r="J169" s="94">
        <f t="shared" si="34"/>
        <v>0</v>
      </c>
      <c r="K169" s="94">
        <f t="shared" si="34"/>
        <v>0</v>
      </c>
      <c r="L169" s="94">
        <f t="shared" si="34"/>
        <v>0</v>
      </c>
      <c r="M169" s="186">
        <f t="shared" si="34"/>
        <v>0</v>
      </c>
      <c r="N169" s="155">
        <f t="shared" si="19"/>
        <v>23403</v>
      </c>
    </row>
    <row r="170" spans="1:15" s="180" customFormat="1" ht="15.75" customHeight="1">
      <c r="A170" s="284">
        <v>163</v>
      </c>
      <c r="B170" s="181">
        <v>14</v>
      </c>
      <c r="C170" s="182"/>
      <c r="D170" s="1351" t="s">
        <v>914</v>
      </c>
      <c r="E170" s="1351"/>
      <c r="F170" s="1351"/>
      <c r="G170" s="183"/>
      <c r="H170" s="183"/>
      <c r="I170" s="183"/>
      <c r="J170" s="183"/>
      <c r="K170" s="183"/>
      <c r="L170" s="183"/>
      <c r="M170" s="184"/>
      <c r="N170" s="95"/>
      <c r="O170" s="180">
        <f>(SUM(E171:L171))-N170</f>
        <v>80499</v>
      </c>
    </row>
    <row r="171" spans="1:14" ht="15">
      <c r="A171" s="284">
        <v>164</v>
      </c>
      <c r="B171" s="92"/>
      <c r="C171" s="96"/>
      <c r="D171" s="97" t="s">
        <v>1168</v>
      </c>
      <c r="E171" s="183">
        <v>24551</v>
      </c>
      <c r="F171" s="183"/>
      <c r="G171" s="183"/>
      <c r="H171" s="183"/>
      <c r="I171" s="183"/>
      <c r="J171" s="183"/>
      <c r="K171" s="183"/>
      <c r="L171" s="183">
        <v>55948</v>
      </c>
      <c r="M171" s="184">
        <v>43505</v>
      </c>
      <c r="N171" s="384">
        <f t="shared" si="19"/>
        <v>80499</v>
      </c>
    </row>
    <row r="172" spans="1:14" s="177" customFormat="1" ht="15">
      <c r="A172" s="284">
        <v>165</v>
      </c>
      <c r="B172" s="179"/>
      <c r="C172" s="285"/>
      <c r="D172" s="187" t="s">
        <v>588</v>
      </c>
      <c r="E172" s="91"/>
      <c r="F172" s="91"/>
      <c r="G172" s="91"/>
      <c r="H172" s="91"/>
      <c r="I172" s="91"/>
      <c r="J172" s="91"/>
      <c r="K172" s="91">
        <v>6419</v>
      </c>
      <c r="L172" s="91"/>
      <c r="M172" s="91"/>
      <c r="N172" s="385">
        <f t="shared" si="19"/>
        <v>6419</v>
      </c>
    </row>
    <row r="173" spans="1:14" s="177" customFormat="1" ht="15">
      <c r="A173" s="284">
        <v>166</v>
      </c>
      <c r="B173" s="179"/>
      <c r="C173" s="285"/>
      <c r="D173" s="187" t="s">
        <v>595</v>
      </c>
      <c r="E173" s="91"/>
      <c r="F173" s="91"/>
      <c r="G173" s="91"/>
      <c r="H173" s="91"/>
      <c r="I173" s="91"/>
      <c r="J173" s="91"/>
      <c r="K173" s="91"/>
      <c r="L173" s="91">
        <v>389</v>
      </c>
      <c r="M173" s="91"/>
      <c r="N173" s="385">
        <f t="shared" si="19"/>
        <v>389</v>
      </c>
    </row>
    <row r="174" spans="1:14" s="7" customFormat="1" ht="15">
      <c r="A174" s="284">
        <v>167</v>
      </c>
      <c r="B174" s="383"/>
      <c r="C174" s="93"/>
      <c r="D174" s="185" t="s">
        <v>1169</v>
      </c>
      <c r="E174" s="94">
        <f aca="true" t="shared" si="35" ref="E174:M174">SUM(E171:E173)</f>
        <v>24551</v>
      </c>
      <c r="F174" s="94">
        <f t="shared" si="35"/>
        <v>0</v>
      </c>
      <c r="G174" s="94">
        <f t="shared" si="35"/>
        <v>0</v>
      </c>
      <c r="H174" s="94">
        <f t="shared" si="35"/>
        <v>0</v>
      </c>
      <c r="I174" s="94">
        <f t="shared" si="35"/>
        <v>0</v>
      </c>
      <c r="J174" s="94">
        <f t="shared" si="35"/>
        <v>0</v>
      </c>
      <c r="K174" s="94">
        <f t="shared" si="35"/>
        <v>6419</v>
      </c>
      <c r="L174" s="94">
        <f t="shared" si="35"/>
        <v>56337</v>
      </c>
      <c r="M174" s="186">
        <f t="shared" si="35"/>
        <v>43505</v>
      </c>
      <c r="N174" s="155">
        <f t="shared" si="19"/>
        <v>87307</v>
      </c>
    </row>
    <row r="175" spans="1:14" s="180" customFormat="1" ht="15">
      <c r="A175" s="284">
        <v>168</v>
      </c>
      <c r="B175" s="181"/>
      <c r="C175" s="182">
        <v>1</v>
      </c>
      <c r="D175" s="1351" t="s">
        <v>464</v>
      </c>
      <c r="E175" s="1351"/>
      <c r="F175" s="1351"/>
      <c r="G175" s="1351"/>
      <c r="H175" s="1351"/>
      <c r="I175" s="183"/>
      <c r="J175" s="183"/>
      <c r="K175" s="183"/>
      <c r="L175" s="183"/>
      <c r="M175" s="184"/>
      <c r="N175" s="155"/>
    </row>
    <row r="176" spans="1:14" ht="15">
      <c r="A176" s="284">
        <v>169</v>
      </c>
      <c r="B176" s="92"/>
      <c r="C176" s="96"/>
      <c r="D176" s="97" t="s">
        <v>1168</v>
      </c>
      <c r="E176" s="183"/>
      <c r="F176" s="183">
        <v>1350</v>
      </c>
      <c r="G176" s="183"/>
      <c r="H176" s="183"/>
      <c r="I176" s="183"/>
      <c r="J176" s="183"/>
      <c r="K176" s="183"/>
      <c r="L176" s="183"/>
      <c r="M176" s="184"/>
      <c r="N176" s="384">
        <f t="shared" si="19"/>
        <v>1350</v>
      </c>
    </row>
    <row r="177" spans="1:14" s="177" customFormat="1" ht="15">
      <c r="A177" s="284">
        <v>170</v>
      </c>
      <c r="B177" s="179"/>
      <c r="C177" s="285"/>
      <c r="D177" s="187" t="s">
        <v>1170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385">
        <f aca="true" t="shared" si="36" ref="N177:N225">SUM(E177:L177)</f>
        <v>0</v>
      </c>
    </row>
    <row r="178" spans="1:14" s="7" customFormat="1" ht="15">
      <c r="A178" s="284">
        <v>171</v>
      </c>
      <c r="B178" s="383"/>
      <c r="C178" s="93"/>
      <c r="D178" s="185" t="s">
        <v>1169</v>
      </c>
      <c r="E178" s="94">
        <f>SUM(E176:E177)</f>
        <v>0</v>
      </c>
      <c r="F178" s="94">
        <f>SUM(F176:F177)</f>
        <v>1350</v>
      </c>
      <c r="G178" s="94">
        <f aca="true" t="shared" si="37" ref="G178:M178">SUM(G176:G177)</f>
        <v>0</v>
      </c>
      <c r="H178" s="94">
        <f t="shared" si="37"/>
        <v>0</v>
      </c>
      <c r="I178" s="94">
        <f t="shared" si="37"/>
        <v>0</v>
      </c>
      <c r="J178" s="94">
        <f t="shared" si="37"/>
        <v>0</v>
      </c>
      <c r="K178" s="94">
        <f t="shared" si="37"/>
        <v>0</v>
      </c>
      <c r="L178" s="94">
        <f t="shared" si="37"/>
        <v>0</v>
      </c>
      <c r="M178" s="94">
        <f t="shared" si="37"/>
        <v>0</v>
      </c>
      <c r="N178" s="155">
        <f t="shared" si="36"/>
        <v>1350</v>
      </c>
    </row>
    <row r="179" spans="1:15" s="180" customFormat="1" ht="15.75" customHeight="1">
      <c r="A179" s="284">
        <v>172</v>
      </c>
      <c r="B179" s="181">
        <v>15</v>
      </c>
      <c r="C179" s="182"/>
      <c r="D179" s="176" t="s">
        <v>1104</v>
      </c>
      <c r="E179" s="183"/>
      <c r="F179" s="183"/>
      <c r="G179" s="183"/>
      <c r="H179" s="183"/>
      <c r="I179" s="183"/>
      <c r="J179" s="183"/>
      <c r="K179" s="183"/>
      <c r="L179" s="183"/>
      <c r="M179" s="184"/>
      <c r="N179" s="95"/>
      <c r="O179" s="180">
        <f>(SUM(E180:L180))-N179</f>
        <v>697889</v>
      </c>
    </row>
    <row r="180" spans="1:14" ht="15">
      <c r="A180" s="284">
        <v>173</v>
      </c>
      <c r="B180" s="92"/>
      <c r="C180" s="96"/>
      <c r="D180" s="97" t="s">
        <v>1168</v>
      </c>
      <c r="E180" s="183">
        <v>231000</v>
      </c>
      <c r="F180" s="183">
        <v>12000</v>
      </c>
      <c r="G180" s="183">
        <v>80000</v>
      </c>
      <c r="H180" s="183"/>
      <c r="I180" s="183"/>
      <c r="J180" s="183"/>
      <c r="K180" s="183"/>
      <c r="L180" s="183">
        <v>374889</v>
      </c>
      <c r="M180" s="184">
        <v>248695</v>
      </c>
      <c r="N180" s="384">
        <f t="shared" si="36"/>
        <v>697889</v>
      </c>
    </row>
    <row r="181" spans="1:14" s="177" customFormat="1" ht="15">
      <c r="A181" s="284">
        <v>174</v>
      </c>
      <c r="B181" s="179"/>
      <c r="C181" s="285"/>
      <c r="D181" s="187" t="s">
        <v>588</v>
      </c>
      <c r="E181" s="91"/>
      <c r="F181" s="91"/>
      <c r="G181" s="91"/>
      <c r="H181" s="91"/>
      <c r="I181" s="91"/>
      <c r="J181" s="91"/>
      <c r="K181" s="91">
        <v>11033</v>
      </c>
      <c r="L181" s="91"/>
      <c r="M181" s="91"/>
      <c r="N181" s="385">
        <f t="shared" si="36"/>
        <v>11033</v>
      </c>
    </row>
    <row r="182" spans="1:14" s="177" customFormat="1" ht="15">
      <c r="A182" s="284">
        <v>175</v>
      </c>
      <c r="B182" s="179"/>
      <c r="C182" s="285"/>
      <c r="D182" s="187" t="s">
        <v>595</v>
      </c>
      <c r="E182" s="91"/>
      <c r="F182" s="91"/>
      <c r="G182" s="91"/>
      <c r="H182" s="91"/>
      <c r="I182" s="91"/>
      <c r="J182" s="91"/>
      <c r="K182" s="91"/>
      <c r="L182" s="91">
        <v>1028</v>
      </c>
      <c r="M182" s="91"/>
      <c r="N182" s="385">
        <f t="shared" si="36"/>
        <v>1028</v>
      </c>
    </row>
    <row r="183" spans="1:14" s="177" customFormat="1" ht="15">
      <c r="A183" s="284">
        <v>176</v>
      </c>
      <c r="B183" s="179"/>
      <c r="C183" s="285"/>
      <c r="D183" s="187" t="s">
        <v>774</v>
      </c>
      <c r="E183" s="91"/>
      <c r="F183" s="91"/>
      <c r="G183" s="91"/>
      <c r="H183" s="91"/>
      <c r="I183" s="91"/>
      <c r="J183" s="91"/>
      <c r="K183" s="91"/>
      <c r="L183" s="91">
        <v>50</v>
      </c>
      <c r="M183" s="91"/>
      <c r="N183" s="385">
        <f t="shared" si="36"/>
        <v>50</v>
      </c>
    </row>
    <row r="184" spans="1:14" s="7" customFormat="1" ht="15">
      <c r="A184" s="284">
        <v>177</v>
      </c>
      <c r="B184" s="383"/>
      <c r="C184" s="93"/>
      <c r="D184" s="185" t="s">
        <v>1169</v>
      </c>
      <c r="E184" s="94">
        <f aca="true" t="shared" si="38" ref="E184:M184">SUM(E180:E183)</f>
        <v>231000</v>
      </c>
      <c r="F184" s="94">
        <f t="shared" si="38"/>
        <v>12000</v>
      </c>
      <c r="G184" s="94">
        <f t="shared" si="38"/>
        <v>80000</v>
      </c>
      <c r="H184" s="94">
        <f t="shared" si="38"/>
        <v>0</v>
      </c>
      <c r="I184" s="94">
        <f t="shared" si="38"/>
        <v>0</v>
      </c>
      <c r="J184" s="94">
        <f t="shared" si="38"/>
        <v>0</v>
      </c>
      <c r="K184" s="94">
        <f t="shared" si="38"/>
        <v>11033</v>
      </c>
      <c r="L184" s="94">
        <f t="shared" si="38"/>
        <v>375967</v>
      </c>
      <c r="M184" s="186">
        <f t="shared" si="38"/>
        <v>248695</v>
      </c>
      <c r="N184" s="155">
        <f t="shared" si="36"/>
        <v>710000</v>
      </c>
    </row>
    <row r="185" spans="1:14" s="180" customFormat="1" ht="15">
      <c r="A185" s="284">
        <v>178</v>
      </c>
      <c r="B185" s="181"/>
      <c r="C185" s="182">
        <v>1</v>
      </c>
      <c r="D185" s="1351" t="s">
        <v>464</v>
      </c>
      <c r="E185" s="1351"/>
      <c r="F185" s="1351"/>
      <c r="G185" s="1351"/>
      <c r="H185" s="1351"/>
      <c r="I185" s="183"/>
      <c r="J185" s="183"/>
      <c r="K185" s="183"/>
      <c r="L185" s="183"/>
      <c r="M185" s="184"/>
      <c r="N185" s="155"/>
    </row>
    <row r="186" spans="1:14" ht="15">
      <c r="A186" s="284">
        <v>179</v>
      </c>
      <c r="B186" s="92"/>
      <c r="C186" s="96"/>
      <c r="D186" s="97" t="s">
        <v>1168</v>
      </c>
      <c r="E186" s="183"/>
      <c r="F186" s="183">
        <v>1251</v>
      </c>
      <c r="G186" s="183"/>
      <c r="H186" s="183"/>
      <c r="I186" s="183"/>
      <c r="J186" s="183"/>
      <c r="K186" s="183"/>
      <c r="L186" s="183"/>
      <c r="M186" s="184"/>
      <c r="N186" s="384">
        <f t="shared" si="36"/>
        <v>1251</v>
      </c>
    </row>
    <row r="187" spans="1:14" s="177" customFormat="1" ht="15">
      <c r="A187" s="284">
        <v>180</v>
      </c>
      <c r="B187" s="179"/>
      <c r="C187" s="285"/>
      <c r="D187" s="187" t="s">
        <v>1170</v>
      </c>
      <c r="E187" s="91"/>
      <c r="F187" s="91"/>
      <c r="G187" s="91"/>
      <c r="H187" s="91"/>
      <c r="I187" s="91"/>
      <c r="J187" s="91"/>
      <c r="K187" s="91"/>
      <c r="L187" s="91"/>
      <c r="M187" s="91"/>
      <c r="N187" s="385">
        <f t="shared" si="36"/>
        <v>0</v>
      </c>
    </row>
    <row r="188" spans="1:14" s="408" customFormat="1" ht="21.75" customHeight="1">
      <c r="A188" s="280">
        <v>181</v>
      </c>
      <c r="B188" s="403"/>
      <c r="C188" s="404"/>
      <c r="D188" s="405" t="s">
        <v>1169</v>
      </c>
      <c r="E188" s="406">
        <f>SUM(E186:E187)</f>
        <v>0</v>
      </c>
      <c r="F188" s="406">
        <f>SUM(F186:F187)</f>
        <v>1251</v>
      </c>
      <c r="G188" s="406">
        <f aca="true" t="shared" si="39" ref="G188:M188">SUM(G186:G187)</f>
        <v>0</v>
      </c>
      <c r="H188" s="406">
        <f t="shared" si="39"/>
        <v>0</v>
      </c>
      <c r="I188" s="406">
        <f t="shared" si="39"/>
        <v>0</v>
      </c>
      <c r="J188" s="406">
        <f t="shared" si="39"/>
        <v>0</v>
      </c>
      <c r="K188" s="406">
        <f t="shared" si="39"/>
        <v>0</v>
      </c>
      <c r="L188" s="406">
        <f t="shared" si="39"/>
        <v>0</v>
      </c>
      <c r="M188" s="407">
        <f t="shared" si="39"/>
        <v>0</v>
      </c>
      <c r="N188" s="154">
        <f t="shared" si="36"/>
        <v>1251</v>
      </c>
    </row>
    <row r="189" spans="1:15" s="177" customFormat="1" ht="18" customHeight="1">
      <c r="A189" s="284">
        <v>182</v>
      </c>
      <c r="B189" s="179"/>
      <c r="C189" s="387"/>
      <c r="D189" s="387" t="s">
        <v>845</v>
      </c>
      <c r="E189" s="395"/>
      <c r="F189" s="395"/>
      <c r="G189" s="395"/>
      <c r="H189" s="395"/>
      <c r="I189" s="395"/>
      <c r="J189" s="395"/>
      <c r="K189" s="395"/>
      <c r="L189" s="395"/>
      <c r="M189" s="397"/>
      <c r="N189" s="399"/>
      <c r="O189" s="99">
        <f>(SUM(E190:L190))-N189</f>
        <v>1680884</v>
      </c>
    </row>
    <row r="190" spans="1:15" s="177" customFormat="1" ht="18" customHeight="1">
      <c r="A190" s="284">
        <v>183</v>
      </c>
      <c r="B190" s="179"/>
      <c r="C190" s="91"/>
      <c r="D190" s="97" t="s">
        <v>1168</v>
      </c>
      <c r="E190" s="90">
        <f aca="true" t="shared" si="40" ref="E190:M190">SUM(E186,E180,E176,E171,E167,E163,E156,E152,E148,E140,E136,E129,E125,E105)</f>
        <v>421591</v>
      </c>
      <c r="F190" s="90">
        <f t="shared" si="40"/>
        <v>96922</v>
      </c>
      <c r="G190" s="90">
        <f t="shared" si="40"/>
        <v>80000</v>
      </c>
      <c r="H190" s="90">
        <f t="shared" si="40"/>
        <v>0</v>
      </c>
      <c r="I190" s="90">
        <f t="shared" si="40"/>
        <v>0</v>
      </c>
      <c r="J190" s="90">
        <f t="shared" si="40"/>
        <v>0</v>
      </c>
      <c r="K190" s="90">
        <f t="shared" si="40"/>
        <v>0</v>
      </c>
      <c r="L190" s="90">
        <f t="shared" si="40"/>
        <v>1082371</v>
      </c>
      <c r="M190" s="91">
        <f t="shared" si="40"/>
        <v>702538</v>
      </c>
      <c r="N190" s="98">
        <f t="shared" si="36"/>
        <v>1680884</v>
      </c>
      <c r="O190" s="99"/>
    </row>
    <row r="191" spans="1:15" s="177" customFormat="1" ht="18" customHeight="1">
      <c r="A191" s="284">
        <v>184</v>
      </c>
      <c r="B191" s="179"/>
      <c r="C191" s="91"/>
      <c r="D191" s="187" t="s">
        <v>662</v>
      </c>
      <c r="E191" s="91">
        <f>SUM(E187,E181:E183,E177,E172:E173,E168,E164,E157:E159,E153,E149,E141:E145,E137,E130:E132,E126,E106:E109)+E112+E111+E110+E133+E122+E121+E120+E119+E118+E117+E116+E115+E114+E113+E160</f>
        <v>11175</v>
      </c>
      <c r="F191" s="91">
        <f aca="true" t="shared" si="41" ref="F191:N191">SUM(F187,F181:F183,F177,F172:F173,F168,F164,F157:F159,F153,F149,F141:F145,F137,F130:F132,F126,F106:F109)+F112+F111+F110+F133+F122+F121+F120+F119+F118+F117+F116+F115+F114+F113+F160</f>
        <v>4132</v>
      </c>
      <c r="G191" s="91">
        <f t="shared" si="41"/>
        <v>0</v>
      </c>
      <c r="H191" s="91">
        <f t="shared" si="41"/>
        <v>0</v>
      </c>
      <c r="I191" s="91">
        <f t="shared" si="41"/>
        <v>0</v>
      </c>
      <c r="J191" s="91">
        <f t="shared" si="41"/>
        <v>0</v>
      </c>
      <c r="K191" s="91">
        <f t="shared" si="41"/>
        <v>114365</v>
      </c>
      <c r="L191" s="91">
        <f t="shared" si="41"/>
        <v>13493</v>
      </c>
      <c r="M191" s="91">
        <f t="shared" si="41"/>
        <v>0</v>
      </c>
      <c r="N191" s="157">
        <f t="shared" si="41"/>
        <v>143165</v>
      </c>
      <c r="O191" s="99"/>
    </row>
    <row r="192" spans="1:15" s="177" customFormat="1" ht="18" customHeight="1">
      <c r="A192" s="284">
        <v>185</v>
      </c>
      <c r="B192" s="179"/>
      <c r="C192" s="388"/>
      <c r="D192" s="389" t="s">
        <v>1169</v>
      </c>
      <c r="E192" s="390">
        <f>SUM(E190:E191)</f>
        <v>432766</v>
      </c>
      <c r="F192" s="390">
        <f aca="true" t="shared" si="42" ref="F192:M192">SUM(F190:F191)</f>
        <v>101054</v>
      </c>
      <c r="G192" s="390">
        <f t="shared" si="42"/>
        <v>80000</v>
      </c>
      <c r="H192" s="390">
        <f t="shared" si="42"/>
        <v>0</v>
      </c>
      <c r="I192" s="390">
        <f t="shared" si="42"/>
        <v>0</v>
      </c>
      <c r="J192" s="390">
        <f t="shared" si="42"/>
        <v>0</v>
      </c>
      <c r="K192" s="390">
        <f t="shared" si="42"/>
        <v>114365</v>
      </c>
      <c r="L192" s="390">
        <f t="shared" si="42"/>
        <v>1095864</v>
      </c>
      <c r="M192" s="398">
        <f t="shared" si="42"/>
        <v>702538</v>
      </c>
      <c r="N192" s="400">
        <f t="shared" si="36"/>
        <v>1824049</v>
      </c>
      <c r="O192" s="99"/>
    </row>
    <row r="193" spans="1:15" s="411" customFormat="1" ht="21.75" customHeight="1">
      <c r="A193" s="284">
        <v>186</v>
      </c>
      <c r="B193" s="181">
        <v>16</v>
      </c>
      <c r="C193" s="182"/>
      <c r="D193" s="993" t="s">
        <v>458</v>
      </c>
      <c r="E193" s="184"/>
      <c r="F193" s="184"/>
      <c r="G193" s="184"/>
      <c r="H193" s="184"/>
      <c r="I193" s="184"/>
      <c r="J193" s="184"/>
      <c r="K193" s="184"/>
      <c r="L193" s="184"/>
      <c r="M193" s="184"/>
      <c r="N193" s="155"/>
      <c r="O193" s="411">
        <f>(SUM(E194:L194))-N193</f>
        <v>1021405</v>
      </c>
    </row>
    <row r="194" spans="1:14" ht="15">
      <c r="A194" s="284">
        <v>187</v>
      </c>
      <c r="B194" s="92"/>
      <c r="C194" s="96"/>
      <c r="D194" s="97" t="s">
        <v>1168</v>
      </c>
      <c r="E194" s="183">
        <v>250000</v>
      </c>
      <c r="F194" s="183"/>
      <c r="G194" s="183"/>
      <c r="H194" s="183"/>
      <c r="I194" s="183"/>
      <c r="J194" s="183"/>
      <c r="K194" s="183"/>
      <c r="L194" s="183">
        <v>771405</v>
      </c>
      <c r="M194" s="184">
        <v>184277</v>
      </c>
      <c r="N194" s="384">
        <f t="shared" si="36"/>
        <v>1021405</v>
      </c>
    </row>
    <row r="195" spans="1:14" s="177" customFormat="1" ht="15">
      <c r="A195" s="284">
        <v>188</v>
      </c>
      <c r="B195" s="179"/>
      <c r="C195" s="285"/>
      <c r="D195" s="187" t="s">
        <v>588</v>
      </c>
      <c r="E195" s="91"/>
      <c r="F195" s="91"/>
      <c r="G195" s="91"/>
      <c r="H195" s="91"/>
      <c r="I195" s="91"/>
      <c r="J195" s="91"/>
      <c r="K195" s="91">
        <v>2348</v>
      </c>
      <c r="L195" s="91"/>
      <c r="M195" s="91"/>
      <c r="N195" s="385">
        <f t="shared" si="36"/>
        <v>2348</v>
      </c>
    </row>
    <row r="196" spans="1:14" s="177" customFormat="1" ht="15">
      <c r="A196" s="284">
        <v>189</v>
      </c>
      <c r="B196" s="179"/>
      <c r="C196" s="285"/>
      <c r="D196" s="187" t="s">
        <v>595</v>
      </c>
      <c r="E196" s="91"/>
      <c r="F196" s="91"/>
      <c r="G196" s="91"/>
      <c r="H196" s="91"/>
      <c r="I196" s="91"/>
      <c r="J196" s="91"/>
      <c r="K196" s="91"/>
      <c r="L196" s="91">
        <v>2410</v>
      </c>
      <c r="M196" s="91"/>
      <c r="N196" s="385">
        <f t="shared" si="36"/>
        <v>2410</v>
      </c>
    </row>
    <row r="197" spans="1:14" s="408" customFormat="1" ht="21.75" customHeight="1" thickBot="1">
      <c r="A197" s="280">
        <v>190</v>
      </c>
      <c r="B197" s="403"/>
      <c r="C197" s="404"/>
      <c r="D197" s="405" t="s">
        <v>1169</v>
      </c>
      <c r="E197" s="406">
        <f aca="true" t="shared" si="43" ref="E197:M197">SUM(E194:E196)</f>
        <v>250000</v>
      </c>
      <c r="F197" s="406">
        <f t="shared" si="43"/>
        <v>0</v>
      </c>
      <c r="G197" s="406">
        <f t="shared" si="43"/>
        <v>0</v>
      </c>
      <c r="H197" s="406">
        <f t="shared" si="43"/>
        <v>0</v>
      </c>
      <c r="I197" s="406">
        <f t="shared" si="43"/>
        <v>0</v>
      </c>
      <c r="J197" s="406">
        <f t="shared" si="43"/>
        <v>0</v>
      </c>
      <c r="K197" s="406">
        <f t="shared" si="43"/>
        <v>2348</v>
      </c>
      <c r="L197" s="406">
        <f t="shared" si="43"/>
        <v>773815</v>
      </c>
      <c r="M197" s="407">
        <f t="shared" si="43"/>
        <v>184277</v>
      </c>
      <c r="N197" s="154">
        <f t="shared" si="36"/>
        <v>1026163</v>
      </c>
    </row>
    <row r="198" spans="1:15" ht="15">
      <c r="A198" s="284">
        <v>191</v>
      </c>
      <c r="B198" s="257"/>
      <c r="C198" s="1343" t="s">
        <v>915</v>
      </c>
      <c r="D198" s="1343"/>
      <c r="E198" s="287"/>
      <c r="F198" s="287"/>
      <c r="G198" s="287"/>
      <c r="H198" s="287"/>
      <c r="I198" s="287"/>
      <c r="J198" s="287"/>
      <c r="K198" s="287"/>
      <c r="L198" s="287"/>
      <c r="M198" s="394"/>
      <c r="N198" s="391"/>
      <c r="O198" s="99">
        <f>(SUM(E199:L199))-N198</f>
        <v>4798951</v>
      </c>
    </row>
    <row r="199" spans="1:14" ht="15">
      <c r="A199" s="284">
        <v>192</v>
      </c>
      <c r="B199" s="92"/>
      <c r="C199" s="298"/>
      <c r="D199" s="97" t="s">
        <v>1168</v>
      </c>
      <c r="E199" s="90">
        <f aca="true" t="shared" si="44" ref="E199:M199">SUM(E71,E101,E190,E194)</f>
        <v>899595</v>
      </c>
      <c r="F199" s="90">
        <f t="shared" si="44"/>
        <v>249519</v>
      </c>
      <c r="G199" s="90">
        <f t="shared" si="44"/>
        <v>80000</v>
      </c>
      <c r="H199" s="90">
        <f t="shared" si="44"/>
        <v>0</v>
      </c>
      <c r="I199" s="90">
        <f t="shared" si="44"/>
        <v>0</v>
      </c>
      <c r="J199" s="90">
        <f t="shared" si="44"/>
        <v>0</v>
      </c>
      <c r="K199" s="90">
        <f t="shared" si="44"/>
        <v>0</v>
      </c>
      <c r="L199" s="90">
        <f t="shared" si="44"/>
        <v>3569837</v>
      </c>
      <c r="M199" s="91">
        <f t="shared" si="44"/>
        <v>2251280</v>
      </c>
      <c r="N199" s="98">
        <f t="shared" si="36"/>
        <v>4798951</v>
      </c>
    </row>
    <row r="200" spans="1:14" ht="15">
      <c r="A200" s="284">
        <v>193</v>
      </c>
      <c r="B200" s="92"/>
      <c r="C200" s="298"/>
      <c r="D200" s="187" t="s">
        <v>662</v>
      </c>
      <c r="E200" s="91">
        <f aca="true" t="shared" si="45" ref="E200:M200">SUM(E195:E196,E191,E102,E72)</f>
        <v>11175</v>
      </c>
      <c r="F200" s="91">
        <f t="shared" si="45"/>
        <v>4132</v>
      </c>
      <c r="G200" s="91">
        <f t="shared" si="45"/>
        <v>0</v>
      </c>
      <c r="H200" s="91">
        <f t="shared" si="45"/>
        <v>0</v>
      </c>
      <c r="I200" s="91">
        <f t="shared" si="45"/>
        <v>0</v>
      </c>
      <c r="J200" s="91">
        <f t="shared" si="45"/>
        <v>0</v>
      </c>
      <c r="K200" s="91">
        <f t="shared" si="45"/>
        <v>142701</v>
      </c>
      <c r="L200" s="91">
        <f t="shared" si="45"/>
        <v>54061</v>
      </c>
      <c r="M200" s="91">
        <f t="shared" si="45"/>
        <v>0</v>
      </c>
      <c r="N200" s="157">
        <f>SUM(E200:L200)</f>
        <v>212069</v>
      </c>
    </row>
    <row r="201" spans="1:14" ht="15.75" thickBot="1">
      <c r="A201" s="284">
        <v>194</v>
      </c>
      <c r="B201" s="84"/>
      <c r="C201" s="299"/>
      <c r="D201" s="392" t="s">
        <v>1169</v>
      </c>
      <c r="E201" s="6">
        <f>SUM(E199:E200)</f>
        <v>910770</v>
      </c>
      <c r="F201" s="6">
        <f aca="true" t="shared" si="46" ref="F201:L201">SUM(F199:F200)</f>
        <v>253651</v>
      </c>
      <c r="G201" s="6">
        <f t="shared" si="46"/>
        <v>80000</v>
      </c>
      <c r="H201" s="6">
        <f t="shared" si="46"/>
        <v>0</v>
      </c>
      <c r="I201" s="6">
        <f t="shared" si="46"/>
        <v>0</v>
      </c>
      <c r="J201" s="6">
        <f t="shared" si="46"/>
        <v>0</v>
      </c>
      <c r="K201" s="6">
        <f t="shared" si="46"/>
        <v>142701</v>
      </c>
      <c r="L201" s="6">
        <f t="shared" si="46"/>
        <v>3623898</v>
      </c>
      <c r="M201" s="393">
        <f>SUM(M199:M200)</f>
        <v>2251280</v>
      </c>
      <c r="N201" s="20">
        <f t="shared" si="36"/>
        <v>5011020</v>
      </c>
    </row>
    <row r="202" spans="1:15" s="180" customFormat="1" ht="21.75" customHeight="1">
      <c r="A202" s="284">
        <v>195</v>
      </c>
      <c r="B202" s="181">
        <v>17</v>
      </c>
      <c r="C202" s="183"/>
      <c r="D202" s="1352" t="s">
        <v>462</v>
      </c>
      <c r="E202" s="1352"/>
      <c r="F202" s="1352"/>
      <c r="G202" s="183"/>
      <c r="H202" s="183"/>
      <c r="I202" s="183"/>
      <c r="J202" s="183"/>
      <c r="K202" s="183"/>
      <c r="L202" s="183"/>
      <c r="M202" s="184"/>
      <c r="N202" s="155"/>
      <c r="O202" s="180">
        <f>(SUM(E202:L202))-N202</f>
        <v>0</v>
      </c>
    </row>
    <row r="203" spans="1:14" ht="15">
      <c r="A203" s="284">
        <v>196</v>
      </c>
      <c r="B203" s="92"/>
      <c r="C203" s="96"/>
      <c r="D203" s="97" t="s">
        <v>1168</v>
      </c>
      <c r="E203" s="183"/>
      <c r="F203" s="183"/>
      <c r="G203" s="183"/>
      <c r="H203" s="183"/>
      <c r="I203" s="183"/>
      <c r="J203" s="183"/>
      <c r="K203" s="183"/>
      <c r="L203" s="183">
        <v>1319397</v>
      </c>
      <c r="M203" s="184"/>
      <c r="N203" s="384">
        <f t="shared" si="36"/>
        <v>1319397</v>
      </c>
    </row>
    <row r="204" spans="1:14" s="177" customFormat="1" ht="15">
      <c r="A204" s="284">
        <v>197</v>
      </c>
      <c r="B204" s="179"/>
      <c r="C204" s="285"/>
      <c r="D204" s="187" t="s">
        <v>597</v>
      </c>
      <c r="E204" s="91"/>
      <c r="F204" s="91"/>
      <c r="G204" s="91"/>
      <c r="H204" s="91"/>
      <c r="I204" s="91"/>
      <c r="J204" s="91"/>
      <c r="K204" s="91"/>
      <c r="L204" s="91">
        <v>2467</v>
      </c>
      <c r="M204" s="91"/>
      <c r="N204" s="385">
        <f t="shared" si="36"/>
        <v>2467</v>
      </c>
    </row>
    <row r="205" spans="1:14" s="177" customFormat="1" ht="15">
      <c r="A205" s="284">
        <v>198</v>
      </c>
      <c r="B205" s="179"/>
      <c r="C205" s="285"/>
      <c r="D205" s="187" t="s">
        <v>751</v>
      </c>
      <c r="E205" s="91"/>
      <c r="F205" s="91"/>
      <c r="G205" s="91"/>
      <c r="H205" s="91"/>
      <c r="I205" s="91"/>
      <c r="J205" s="91"/>
      <c r="K205" s="91"/>
      <c r="L205" s="91">
        <v>5262</v>
      </c>
      <c r="M205" s="91"/>
      <c r="N205" s="385">
        <f t="shared" si="36"/>
        <v>5262</v>
      </c>
    </row>
    <row r="206" spans="1:14" s="177" customFormat="1" ht="15">
      <c r="A206" s="284">
        <v>199</v>
      </c>
      <c r="B206" s="179"/>
      <c r="C206" s="285"/>
      <c r="D206" s="187" t="s">
        <v>1124</v>
      </c>
      <c r="E206" s="91"/>
      <c r="F206" s="91"/>
      <c r="G206" s="91"/>
      <c r="H206" s="91"/>
      <c r="I206" s="91"/>
      <c r="J206" s="91"/>
      <c r="K206" s="91">
        <v>170702</v>
      </c>
      <c r="L206" s="1027">
        <v>-75581</v>
      </c>
      <c r="M206" s="91"/>
      <c r="N206" s="385">
        <f t="shared" si="36"/>
        <v>95121</v>
      </c>
    </row>
    <row r="207" spans="1:14" s="7" customFormat="1" ht="15">
      <c r="A207" s="284">
        <v>200</v>
      </c>
      <c r="B207" s="383"/>
      <c r="C207" s="93"/>
      <c r="D207" s="185" t="s">
        <v>1169</v>
      </c>
      <c r="E207" s="94">
        <f aca="true" t="shared" si="47" ref="E207:M207">SUM(E203:E206)</f>
        <v>0</v>
      </c>
      <c r="F207" s="94">
        <f t="shared" si="47"/>
        <v>0</v>
      </c>
      <c r="G207" s="94">
        <f t="shared" si="47"/>
        <v>0</v>
      </c>
      <c r="H207" s="94">
        <f t="shared" si="47"/>
        <v>0</v>
      </c>
      <c r="I207" s="94">
        <f t="shared" si="47"/>
        <v>0</v>
      </c>
      <c r="J207" s="94">
        <f t="shared" si="47"/>
        <v>0</v>
      </c>
      <c r="K207" s="94">
        <f t="shared" si="47"/>
        <v>170702</v>
      </c>
      <c r="L207" s="94">
        <f t="shared" si="47"/>
        <v>1251545</v>
      </c>
      <c r="M207" s="186">
        <f t="shared" si="47"/>
        <v>0</v>
      </c>
      <c r="N207" s="155">
        <f t="shared" si="36"/>
        <v>1422247</v>
      </c>
    </row>
    <row r="208" spans="1:14" s="180" customFormat="1" ht="21.75" customHeight="1">
      <c r="A208" s="284">
        <v>201</v>
      </c>
      <c r="B208" s="181"/>
      <c r="C208" s="182"/>
      <c r="D208" s="1351" t="s">
        <v>969</v>
      </c>
      <c r="E208" s="1351"/>
      <c r="F208" s="1351"/>
      <c r="G208" s="1351"/>
      <c r="H208" s="1351"/>
      <c r="I208" s="1351"/>
      <c r="J208" s="1351"/>
      <c r="K208" s="1351"/>
      <c r="L208" s="1351"/>
      <c r="M208" s="1351"/>
      <c r="N208" s="1328"/>
    </row>
    <row r="209" spans="1:14" s="177" customFormat="1" ht="15">
      <c r="A209" s="284">
        <v>202</v>
      </c>
      <c r="B209" s="179"/>
      <c r="C209" s="285"/>
      <c r="D209" s="187" t="s">
        <v>42</v>
      </c>
      <c r="E209" s="91"/>
      <c r="F209" s="91">
        <v>11250</v>
      </c>
      <c r="G209" s="91"/>
      <c r="H209" s="91"/>
      <c r="I209" s="91"/>
      <c r="J209" s="91"/>
      <c r="K209" s="91">
        <v>881</v>
      </c>
      <c r="L209" s="91"/>
      <c r="M209" s="91"/>
      <c r="N209" s="385">
        <f>SUM(E209:M209)</f>
        <v>12131</v>
      </c>
    </row>
    <row r="210" spans="1:14" s="408" customFormat="1" ht="15">
      <c r="A210" s="284">
        <v>203</v>
      </c>
      <c r="B210" s="403"/>
      <c r="C210" s="404"/>
      <c r="D210" s="405" t="s">
        <v>1169</v>
      </c>
      <c r="E210" s="406"/>
      <c r="F210" s="406">
        <f>SUM(F209)</f>
        <v>11250</v>
      </c>
      <c r="G210" s="406">
        <f aca="true" t="shared" si="48" ref="G210:N210">SUM(G209)</f>
        <v>0</v>
      </c>
      <c r="H210" s="406">
        <f t="shared" si="48"/>
        <v>0</v>
      </c>
      <c r="I210" s="406">
        <f t="shared" si="48"/>
        <v>0</v>
      </c>
      <c r="J210" s="406">
        <f t="shared" si="48"/>
        <v>0</v>
      </c>
      <c r="K210" s="406">
        <f t="shared" si="48"/>
        <v>881</v>
      </c>
      <c r="L210" s="406">
        <f t="shared" si="48"/>
        <v>0</v>
      </c>
      <c r="M210" s="407">
        <f t="shared" si="48"/>
        <v>0</v>
      </c>
      <c r="N210" s="154">
        <f t="shared" si="48"/>
        <v>12131</v>
      </c>
    </row>
    <row r="211" spans="1:14" s="180" customFormat="1" ht="21.75" customHeight="1">
      <c r="A211" s="284">
        <v>204</v>
      </c>
      <c r="B211" s="181"/>
      <c r="C211" s="182"/>
      <c r="D211" s="396" t="s">
        <v>385</v>
      </c>
      <c r="E211" s="183"/>
      <c r="F211" s="183"/>
      <c r="G211" s="183"/>
      <c r="H211" s="183"/>
      <c r="I211" s="183"/>
      <c r="J211" s="183"/>
      <c r="K211" s="183"/>
      <c r="L211" s="183"/>
      <c r="M211" s="184"/>
      <c r="N211" s="155"/>
    </row>
    <row r="212" spans="1:14" ht="15">
      <c r="A212" s="284">
        <v>205</v>
      </c>
      <c r="B212" s="92"/>
      <c r="C212" s="96"/>
      <c r="D212" s="97" t="s">
        <v>1168</v>
      </c>
      <c r="E212" s="183"/>
      <c r="F212" s="183">
        <v>9173</v>
      </c>
      <c r="G212" s="183"/>
      <c r="H212" s="183"/>
      <c r="I212" s="183"/>
      <c r="J212" s="183"/>
      <c r="K212" s="183"/>
      <c r="L212" s="183"/>
      <c r="M212" s="184"/>
      <c r="N212" s="384">
        <f t="shared" si="36"/>
        <v>9173</v>
      </c>
    </row>
    <row r="213" spans="1:14" s="177" customFormat="1" ht="15">
      <c r="A213" s="284">
        <v>206</v>
      </c>
      <c r="B213" s="179"/>
      <c r="C213" s="285"/>
      <c r="D213" s="187" t="s">
        <v>1170</v>
      </c>
      <c r="E213" s="91"/>
      <c r="F213" s="91">
        <v>405</v>
      </c>
      <c r="G213" s="91"/>
      <c r="H213" s="91"/>
      <c r="I213" s="91"/>
      <c r="J213" s="91"/>
      <c r="K213" s="91"/>
      <c r="L213" s="91"/>
      <c r="M213" s="91"/>
      <c r="N213" s="385">
        <f t="shared" si="36"/>
        <v>405</v>
      </c>
    </row>
    <row r="214" spans="1:14" s="408" customFormat="1" ht="15">
      <c r="A214" s="284">
        <v>207</v>
      </c>
      <c r="B214" s="403"/>
      <c r="C214" s="404"/>
      <c r="D214" s="405" t="s">
        <v>1169</v>
      </c>
      <c r="E214" s="406">
        <f>SUM(E212:E213)</f>
        <v>0</v>
      </c>
      <c r="F214" s="406">
        <f aca="true" t="shared" si="49" ref="F214:M214">SUM(F212:F213)</f>
        <v>9578</v>
      </c>
      <c r="G214" s="406">
        <f t="shared" si="49"/>
        <v>0</v>
      </c>
      <c r="H214" s="406">
        <f t="shared" si="49"/>
        <v>0</v>
      </c>
      <c r="I214" s="406">
        <f t="shared" si="49"/>
        <v>0</v>
      </c>
      <c r="J214" s="406">
        <f t="shared" si="49"/>
        <v>0</v>
      </c>
      <c r="K214" s="406">
        <f t="shared" si="49"/>
        <v>0</v>
      </c>
      <c r="L214" s="406">
        <f t="shared" si="49"/>
        <v>0</v>
      </c>
      <c r="M214" s="407">
        <f t="shared" si="49"/>
        <v>0</v>
      </c>
      <c r="N214" s="154">
        <f t="shared" si="36"/>
        <v>9578</v>
      </c>
    </row>
    <row r="215" spans="1:14" s="180" customFormat="1" ht="21.75" customHeight="1">
      <c r="A215" s="284">
        <v>208</v>
      </c>
      <c r="B215" s="181"/>
      <c r="C215" s="182"/>
      <c r="D215" s="396" t="s">
        <v>556</v>
      </c>
      <c r="E215" s="183"/>
      <c r="F215" s="183"/>
      <c r="G215" s="183"/>
      <c r="H215" s="183"/>
      <c r="I215" s="183"/>
      <c r="J215" s="183"/>
      <c r="K215" s="183"/>
      <c r="L215" s="183"/>
      <c r="M215" s="184"/>
      <c r="N215" s="155"/>
    </row>
    <row r="216" spans="1:14" s="177" customFormat="1" ht="15">
      <c r="A216" s="284">
        <v>209</v>
      </c>
      <c r="B216" s="179"/>
      <c r="C216" s="285"/>
      <c r="D216" s="187" t="s">
        <v>1170</v>
      </c>
      <c r="E216" s="91"/>
      <c r="F216" s="91">
        <v>9207</v>
      </c>
      <c r="G216" s="91"/>
      <c r="H216" s="91"/>
      <c r="I216" s="91"/>
      <c r="J216" s="91"/>
      <c r="K216" s="91"/>
      <c r="L216" s="91"/>
      <c r="M216" s="91"/>
      <c r="N216" s="385">
        <f>SUM(E216:M216)</f>
        <v>9207</v>
      </c>
    </row>
    <row r="217" spans="1:14" s="408" customFormat="1" ht="24" customHeight="1">
      <c r="A217" s="280">
        <v>210</v>
      </c>
      <c r="B217" s="403"/>
      <c r="C217" s="404"/>
      <c r="D217" s="405" t="s">
        <v>1169</v>
      </c>
      <c r="E217" s="406"/>
      <c r="F217" s="406">
        <f>SUM(F216)</f>
        <v>9207</v>
      </c>
      <c r="G217" s="406"/>
      <c r="H217" s="406"/>
      <c r="I217" s="406"/>
      <c r="J217" s="406"/>
      <c r="K217" s="406"/>
      <c r="L217" s="406"/>
      <c r="M217" s="407"/>
      <c r="N217" s="154">
        <f>SUM(N216)</f>
        <v>9207</v>
      </c>
    </row>
    <row r="218" spans="1:15" s="177" customFormat="1" ht="21.75" customHeight="1">
      <c r="A218" s="495">
        <v>211</v>
      </c>
      <c r="B218" s="401"/>
      <c r="C218" s="387"/>
      <c r="D218" s="387" t="s">
        <v>386</v>
      </c>
      <c r="E218" s="387"/>
      <c r="F218" s="387"/>
      <c r="G218" s="387"/>
      <c r="H218" s="387"/>
      <c r="I218" s="387"/>
      <c r="J218" s="387"/>
      <c r="K218" s="387"/>
      <c r="L218" s="387"/>
      <c r="M218" s="387"/>
      <c r="N218" s="399"/>
      <c r="O218" s="99"/>
    </row>
    <row r="219" spans="1:15" s="177" customFormat="1" ht="21.75" customHeight="1">
      <c r="A219" s="495">
        <v>212</v>
      </c>
      <c r="B219" s="179"/>
      <c r="C219" s="91"/>
      <c r="D219" s="97" t="s">
        <v>1168</v>
      </c>
      <c r="E219" s="90">
        <f aca="true" t="shared" si="50" ref="E219:M219">SUM(E212,E203)</f>
        <v>0</v>
      </c>
      <c r="F219" s="90">
        <f t="shared" si="50"/>
        <v>9173</v>
      </c>
      <c r="G219" s="90">
        <f t="shared" si="50"/>
        <v>0</v>
      </c>
      <c r="H219" s="90">
        <f t="shared" si="50"/>
        <v>0</v>
      </c>
      <c r="I219" s="90">
        <f t="shared" si="50"/>
        <v>0</v>
      </c>
      <c r="J219" s="90">
        <f t="shared" si="50"/>
        <v>0</v>
      </c>
      <c r="K219" s="90">
        <f t="shared" si="50"/>
        <v>0</v>
      </c>
      <c r="L219" s="90">
        <f t="shared" si="50"/>
        <v>1319397</v>
      </c>
      <c r="M219" s="91">
        <f t="shared" si="50"/>
        <v>0</v>
      </c>
      <c r="N219" s="98">
        <f t="shared" si="36"/>
        <v>1328570</v>
      </c>
      <c r="O219" s="99"/>
    </row>
    <row r="220" spans="1:15" s="177" customFormat="1" ht="21.75" customHeight="1">
      <c r="A220" s="495">
        <v>213</v>
      </c>
      <c r="B220" s="179"/>
      <c r="C220" s="91"/>
      <c r="D220" s="187" t="s">
        <v>663</v>
      </c>
      <c r="E220" s="91">
        <f aca="true" t="shared" si="51" ref="E220:N220">SUM(E213,E204:E206)+E209+E216</f>
        <v>0</v>
      </c>
      <c r="F220" s="91">
        <f t="shared" si="51"/>
        <v>20862</v>
      </c>
      <c r="G220" s="91">
        <f t="shared" si="51"/>
        <v>0</v>
      </c>
      <c r="H220" s="91">
        <f t="shared" si="51"/>
        <v>0</v>
      </c>
      <c r="I220" s="91">
        <f t="shared" si="51"/>
        <v>0</v>
      </c>
      <c r="J220" s="91">
        <f t="shared" si="51"/>
        <v>0</v>
      </c>
      <c r="K220" s="91">
        <f t="shared" si="51"/>
        <v>171583</v>
      </c>
      <c r="L220" s="91">
        <f t="shared" si="51"/>
        <v>-67852</v>
      </c>
      <c r="M220" s="91">
        <f t="shared" si="51"/>
        <v>0</v>
      </c>
      <c r="N220" s="157">
        <f t="shared" si="51"/>
        <v>124593</v>
      </c>
      <c r="O220" s="99"/>
    </row>
    <row r="221" spans="1:15" s="177" customFormat="1" ht="21.75" customHeight="1">
      <c r="A221" s="495">
        <v>214</v>
      </c>
      <c r="B221" s="402"/>
      <c r="C221" s="388"/>
      <c r="D221" s="389" t="s">
        <v>1169</v>
      </c>
      <c r="E221" s="390">
        <f>SUM(E219:E220)</f>
        <v>0</v>
      </c>
      <c r="F221" s="390">
        <f aca="true" t="shared" si="52" ref="F221:M221">SUM(F219:F220)</f>
        <v>30035</v>
      </c>
      <c r="G221" s="390">
        <f t="shared" si="52"/>
        <v>0</v>
      </c>
      <c r="H221" s="390">
        <f t="shared" si="52"/>
        <v>0</v>
      </c>
      <c r="I221" s="390">
        <f t="shared" si="52"/>
        <v>0</v>
      </c>
      <c r="J221" s="390">
        <f t="shared" si="52"/>
        <v>0</v>
      </c>
      <c r="K221" s="390">
        <f t="shared" si="52"/>
        <v>171583</v>
      </c>
      <c r="L221" s="390">
        <f t="shared" si="52"/>
        <v>1251545</v>
      </c>
      <c r="M221" s="390">
        <f t="shared" si="52"/>
        <v>0</v>
      </c>
      <c r="N221" s="400">
        <f t="shared" si="36"/>
        <v>1453163</v>
      </c>
      <c r="O221" s="99"/>
    </row>
    <row r="222" spans="1:15" ht="21.75" customHeight="1">
      <c r="A222" s="495">
        <v>215</v>
      </c>
      <c r="B222" s="92"/>
      <c r="C222" s="1350" t="s">
        <v>3</v>
      </c>
      <c r="D222" s="1350"/>
      <c r="E222" s="91"/>
      <c r="F222" s="91"/>
      <c r="G222" s="91"/>
      <c r="H222" s="91"/>
      <c r="I222" s="91"/>
      <c r="J222" s="91"/>
      <c r="K222" s="91"/>
      <c r="L222" s="91"/>
      <c r="M222" s="91"/>
      <c r="N222" s="95">
        <f t="shared" si="36"/>
        <v>0</v>
      </c>
      <c r="O222" s="99">
        <f>(SUM(E223:L223))-N222</f>
        <v>6127521</v>
      </c>
    </row>
    <row r="223" spans="1:14" ht="21.75" customHeight="1">
      <c r="A223" s="495">
        <v>216</v>
      </c>
      <c r="B223" s="92"/>
      <c r="C223" s="298"/>
      <c r="D223" s="97" t="s">
        <v>1168</v>
      </c>
      <c r="E223" s="90">
        <f aca="true" t="shared" si="53" ref="E223:M223">SUM(E199,E219)</f>
        <v>899595</v>
      </c>
      <c r="F223" s="90">
        <f t="shared" si="53"/>
        <v>258692</v>
      </c>
      <c r="G223" s="90">
        <f t="shared" si="53"/>
        <v>80000</v>
      </c>
      <c r="H223" s="90">
        <f t="shared" si="53"/>
        <v>0</v>
      </c>
      <c r="I223" s="90">
        <f t="shared" si="53"/>
        <v>0</v>
      </c>
      <c r="J223" s="90">
        <f t="shared" si="53"/>
        <v>0</v>
      </c>
      <c r="K223" s="90">
        <f t="shared" si="53"/>
        <v>0</v>
      </c>
      <c r="L223" s="90">
        <f t="shared" si="53"/>
        <v>4889234</v>
      </c>
      <c r="M223" s="91">
        <f t="shared" si="53"/>
        <v>2251280</v>
      </c>
      <c r="N223" s="98">
        <f t="shared" si="36"/>
        <v>6127521</v>
      </c>
    </row>
    <row r="224" spans="1:14" ht="30">
      <c r="A224" s="495">
        <v>217</v>
      </c>
      <c r="B224" s="92"/>
      <c r="C224" s="298"/>
      <c r="D224" s="1022" t="s">
        <v>664</v>
      </c>
      <c r="E224" s="91">
        <f aca="true" t="shared" si="54" ref="E224:M224">SUM(E220,E200)</f>
        <v>11175</v>
      </c>
      <c r="F224" s="91">
        <f t="shared" si="54"/>
        <v>24994</v>
      </c>
      <c r="G224" s="91">
        <f t="shared" si="54"/>
        <v>0</v>
      </c>
      <c r="H224" s="91">
        <f t="shared" si="54"/>
        <v>0</v>
      </c>
      <c r="I224" s="91">
        <f t="shared" si="54"/>
        <v>0</v>
      </c>
      <c r="J224" s="91">
        <f t="shared" si="54"/>
        <v>0</v>
      </c>
      <c r="K224" s="91">
        <f t="shared" si="54"/>
        <v>314284</v>
      </c>
      <c r="L224" s="91">
        <f t="shared" si="54"/>
        <v>-13791</v>
      </c>
      <c r="M224" s="91">
        <f t="shared" si="54"/>
        <v>0</v>
      </c>
      <c r="N224" s="157">
        <f t="shared" si="36"/>
        <v>336662</v>
      </c>
    </row>
    <row r="225" spans="1:14" ht="21.75" customHeight="1" thickBot="1">
      <c r="A225" s="495">
        <v>218</v>
      </c>
      <c r="B225" s="84"/>
      <c r="C225" s="299"/>
      <c r="D225" s="392" t="s">
        <v>1169</v>
      </c>
      <c r="E225" s="6">
        <f>SUM(E223:E224)</f>
        <v>910770</v>
      </c>
      <c r="F225" s="6">
        <f aca="true" t="shared" si="55" ref="F225:M225">SUM(F223:F224)</f>
        <v>283686</v>
      </c>
      <c r="G225" s="6">
        <f t="shared" si="55"/>
        <v>80000</v>
      </c>
      <c r="H225" s="6">
        <f t="shared" si="55"/>
        <v>0</v>
      </c>
      <c r="I225" s="6">
        <f t="shared" si="55"/>
        <v>0</v>
      </c>
      <c r="J225" s="6">
        <f t="shared" si="55"/>
        <v>0</v>
      </c>
      <c r="K225" s="6">
        <f t="shared" si="55"/>
        <v>314284</v>
      </c>
      <c r="L225" s="6">
        <f t="shared" si="55"/>
        <v>4875443</v>
      </c>
      <c r="M225" s="393">
        <f t="shared" si="55"/>
        <v>2251280</v>
      </c>
      <c r="N225" s="20">
        <f t="shared" si="36"/>
        <v>6464183</v>
      </c>
    </row>
    <row r="389" spans="9:17" ht="15">
      <c r="I389" s="99">
        <f>SUM(I387:I388)</f>
        <v>0</v>
      </c>
      <c r="J389" s="99">
        <f aca="true" t="shared" si="56" ref="J389:Q389">SUM(J387:J388)</f>
        <v>0</v>
      </c>
      <c r="K389" s="99">
        <f t="shared" si="56"/>
        <v>0</v>
      </c>
      <c r="L389" s="99">
        <f t="shared" si="56"/>
        <v>0</v>
      </c>
      <c r="M389" s="99">
        <f t="shared" si="56"/>
        <v>0</v>
      </c>
      <c r="N389" s="99">
        <f t="shared" si="56"/>
        <v>0</v>
      </c>
      <c r="O389" s="99">
        <f t="shared" si="56"/>
        <v>0</v>
      </c>
      <c r="P389" s="99">
        <f t="shared" si="56"/>
        <v>0</v>
      </c>
      <c r="Q389" s="99">
        <f t="shared" si="56"/>
        <v>0</v>
      </c>
    </row>
    <row r="394" spans="9:17" ht="15">
      <c r="I394" s="99">
        <f>SUM(I392:I393)</f>
        <v>0</v>
      </c>
      <c r="J394" s="99">
        <f aca="true" t="shared" si="57" ref="J394:Q394">SUM(J392:J393)</f>
        <v>0</v>
      </c>
      <c r="K394" s="99">
        <f t="shared" si="57"/>
        <v>0</v>
      </c>
      <c r="L394" s="99">
        <f t="shared" si="57"/>
        <v>0</v>
      </c>
      <c r="M394" s="99">
        <f t="shared" si="57"/>
        <v>0</v>
      </c>
      <c r="N394" s="99">
        <f t="shared" si="57"/>
        <v>0</v>
      </c>
      <c r="O394" s="99">
        <f t="shared" si="57"/>
        <v>0</v>
      </c>
      <c r="P394" s="99">
        <f t="shared" si="57"/>
        <v>0</v>
      </c>
      <c r="Q394" s="99">
        <f t="shared" si="57"/>
        <v>0</v>
      </c>
    </row>
    <row r="399" spans="9:17" ht="15">
      <c r="I399" s="99">
        <f>SUM(I397:I398)</f>
        <v>0</v>
      </c>
      <c r="J399" s="99">
        <f aca="true" t="shared" si="58" ref="J399:Q399">SUM(J397:J398)</f>
        <v>0</v>
      </c>
      <c r="K399" s="99">
        <f t="shared" si="58"/>
        <v>0</v>
      </c>
      <c r="L399" s="99">
        <f t="shared" si="58"/>
        <v>0</v>
      </c>
      <c r="M399" s="99">
        <f t="shared" si="58"/>
        <v>0</v>
      </c>
      <c r="N399" s="99">
        <f t="shared" si="58"/>
        <v>0</v>
      </c>
      <c r="O399" s="99">
        <f t="shared" si="58"/>
        <v>0</v>
      </c>
      <c r="P399" s="99">
        <f t="shared" si="58"/>
        <v>0</v>
      </c>
      <c r="Q399" s="99">
        <f t="shared" si="58"/>
        <v>0</v>
      </c>
    </row>
  </sheetData>
  <sheetProtection/>
  <mergeCells count="34">
    <mergeCell ref="D208:N208"/>
    <mergeCell ref="D124:H124"/>
    <mergeCell ref="D51:G51"/>
    <mergeCell ref="D74:G74"/>
    <mergeCell ref="D80:G80"/>
    <mergeCell ref="D94:G94"/>
    <mergeCell ref="D8:G8"/>
    <mergeCell ref="D18:G18"/>
    <mergeCell ref="D29:G29"/>
    <mergeCell ref="D40:G40"/>
    <mergeCell ref="D6:D7"/>
    <mergeCell ref="C6:C7"/>
    <mergeCell ref="B1:D1"/>
    <mergeCell ref="B6:B7"/>
    <mergeCell ref="C222:D222"/>
    <mergeCell ref="D135:H135"/>
    <mergeCell ref="D147:H147"/>
    <mergeCell ref="D151:H151"/>
    <mergeCell ref="D162:H162"/>
    <mergeCell ref="D166:H166"/>
    <mergeCell ref="D175:H175"/>
    <mergeCell ref="D185:H185"/>
    <mergeCell ref="D170:F170"/>
    <mergeCell ref="D202:F202"/>
    <mergeCell ref="N6:N7"/>
    <mergeCell ref="C198:D198"/>
    <mergeCell ref="M4:N4"/>
    <mergeCell ref="B2:N2"/>
    <mergeCell ref="B3:N3"/>
    <mergeCell ref="E6:G6"/>
    <mergeCell ref="H6:J6"/>
    <mergeCell ref="L6:M6"/>
    <mergeCell ref="K6:K7"/>
    <mergeCell ref="D60:G60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67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3.00390625" style="921" bestFit="1" customWidth="1"/>
    <col min="2" max="2" width="4.125" style="921" customWidth="1"/>
    <col min="3" max="3" width="5.75390625" style="3" bestFit="1" customWidth="1"/>
    <col min="4" max="4" width="50.75390625" style="3" customWidth="1"/>
    <col min="5" max="6" width="10.75390625" style="930" customWidth="1"/>
    <col min="7" max="7" width="10.75390625" style="478" customWidth="1"/>
    <col min="8" max="8" width="15.75390625" style="99" customWidth="1"/>
    <col min="9" max="9" width="11.75390625" style="3" customWidth="1"/>
    <col min="10" max="16384" width="9.125" style="3" customWidth="1"/>
  </cols>
  <sheetData>
    <row r="1" spans="1:8" ht="15" customHeight="1">
      <c r="A1" s="920"/>
      <c r="B1" s="1357" t="s">
        <v>800</v>
      </c>
      <c r="C1" s="1357"/>
      <c r="D1" s="1357"/>
      <c r="H1" s="931"/>
    </row>
    <row r="2" spans="2:8" ht="24.75" customHeight="1">
      <c r="B2" s="1320" t="s">
        <v>1183</v>
      </c>
      <c r="C2" s="1320"/>
      <c r="D2" s="1320"/>
      <c r="E2" s="1320"/>
      <c r="F2" s="1320"/>
      <c r="G2" s="1320"/>
      <c r="H2" s="1320"/>
    </row>
    <row r="3" spans="2:8" ht="24.75" customHeight="1">
      <c r="B3" s="1320" t="s">
        <v>215</v>
      </c>
      <c r="C3" s="1320"/>
      <c r="D3" s="1320"/>
      <c r="E3" s="1320"/>
      <c r="F3" s="1320"/>
      <c r="G3" s="1320"/>
      <c r="H3" s="1320"/>
    </row>
    <row r="4" ht="15">
      <c r="H4" s="931" t="s">
        <v>861</v>
      </c>
    </row>
    <row r="5" spans="2:8" s="921" customFormat="1" ht="15.75" thickBot="1">
      <c r="B5" s="921" t="s">
        <v>873</v>
      </c>
      <c r="C5" s="921" t="s">
        <v>874</v>
      </c>
      <c r="D5" s="921" t="s">
        <v>875</v>
      </c>
      <c r="E5" s="932" t="s">
        <v>876</v>
      </c>
      <c r="F5" s="932" t="s">
        <v>877</v>
      </c>
      <c r="G5" s="933" t="s">
        <v>878</v>
      </c>
      <c r="H5" s="156" t="s">
        <v>879</v>
      </c>
    </row>
    <row r="6" spans="2:9" s="921" customFormat="1" ht="30" customHeight="1">
      <c r="B6" s="1321" t="s">
        <v>391</v>
      </c>
      <c r="C6" s="1312" t="s">
        <v>1184</v>
      </c>
      <c r="D6" s="1310" t="s">
        <v>862</v>
      </c>
      <c r="E6" s="1318" t="s">
        <v>930</v>
      </c>
      <c r="F6" s="1323" t="s">
        <v>929</v>
      </c>
      <c r="G6" s="1308" t="s">
        <v>585</v>
      </c>
      <c r="H6" s="1329" t="s">
        <v>216</v>
      </c>
      <c r="I6" s="1341" t="s">
        <v>1130</v>
      </c>
    </row>
    <row r="7" spans="2:9" ht="45" customHeight="1" thickBot="1">
      <c r="B7" s="1322"/>
      <c r="C7" s="1313"/>
      <c r="D7" s="1311"/>
      <c r="E7" s="1319"/>
      <c r="F7" s="1324"/>
      <c r="G7" s="1309"/>
      <c r="H7" s="1325"/>
      <c r="I7" s="1342"/>
    </row>
    <row r="8" spans="1:9" ht="15">
      <c r="A8" s="921">
        <v>1</v>
      </c>
      <c r="B8" s="934">
        <v>1</v>
      </c>
      <c r="C8" s="5"/>
      <c r="D8" s="935" t="s">
        <v>1185</v>
      </c>
      <c r="E8" s="479">
        <v>12466</v>
      </c>
      <c r="F8" s="479">
        <v>15761</v>
      </c>
      <c r="G8" s="480">
        <v>16017</v>
      </c>
      <c r="H8" s="90">
        <v>16015</v>
      </c>
      <c r="I8" s="1298">
        <v>16015</v>
      </c>
    </row>
    <row r="9" spans="1:9" ht="15">
      <c r="A9" s="921">
        <v>2</v>
      </c>
      <c r="B9" s="934"/>
      <c r="C9" s="5"/>
      <c r="D9" s="935" t="s">
        <v>931</v>
      </c>
      <c r="E9" s="479"/>
      <c r="F9" s="479"/>
      <c r="G9" s="480"/>
      <c r="H9" s="90"/>
      <c r="I9" s="1298"/>
    </row>
    <row r="10" spans="1:9" ht="15">
      <c r="A10" s="921">
        <v>3</v>
      </c>
      <c r="B10" s="934">
        <v>2</v>
      </c>
      <c r="C10" s="5"/>
      <c r="D10" s="935" t="s">
        <v>1186</v>
      </c>
      <c r="E10" s="479">
        <v>24598</v>
      </c>
      <c r="F10" s="479">
        <v>28180</v>
      </c>
      <c r="G10" s="480">
        <v>26363</v>
      </c>
      <c r="H10" s="90">
        <v>28300</v>
      </c>
      <c r="I10" s="1298">
        <v>28300</v>
      </c>
    </row>
    <row r="11" spans="1:9" ht="15">
      <c r="A11" s="921">
        <v>4</v>
      </c>
      <c r="B11" s="934"/>
      <c r="C11" s="5"/>
      <c r="D11" s="935" t="s">
        <v>932</v>
      </c>
      <c r="E11" s="479"/>
      <c r="F11" s="479"/>
      <c r="G11" s="480"/>
      <c r="H11" s="90"/>
      <c r="I11" s="1298"/>
    </row>
    <row r="12" spans="1:9" ht="15">
      <c r="A12" s="921">
        <v>5</v>
      </c>
      <c r="B12" s="934">
        <v>3</v>
      </c>
      <c r="C12" s="5"/>
      <c r="D12" s="935" t="s">
        <v>1187</v>
      </c>
      <c r="E12" s="479">
        <v>29179</v>
      </c>
      <c r="F12" s="479">
        <v>31467</v>
      </c>
      <c r="G12" s="480">
        <v>28658</v>
      </c>
      <c r="H12" s="90">
        <v>32344</v>
      </c>
      <c r="I12" s="1298">
        <v>32344</v>
      </c>
    </row>
    <row r="13" spans="1:9" ht="15">
      <c r="A13" s="921">
        <v>6</v>
      </c>
      <c r="B13" s="934"/>
      <c r="C13" s="5"/>
      <c r="D13" s="935" t="s">
        <v>933</v>
      </c>
      <c r="E13" s="479"/>
      <c r="F13" s="479"/>
      <c r="G13" s="480"/>
      <c r="H13" s="90"/>
      <c r="I13" s="1298"/>
    </row>
    <row r="14" spans="1:9" ht="15">
      <c r="A14" s="921">
        <v>7</v>
      </c>
      <c r="B14" s="934">
        <v>4</v>
      </c>
      <c r="C14" s="5"/>
      <c r="D14" s="935" t="s">
        <v>1188</v>
      </c>
      <c r="E14" s="479">
        <v>24430</v>
      </c>
      <c r="F14" s="479">
        <v>24581</v>
      </c>
      <c r="G14" s="480">
        <v>25488</v>
      </c>
      <c r="H14" s="90">
        <v>25643</v>
      </c>
      <c r="I14" s="1298">
        <v>25643</v>
      </c>
    </row>
    <row r="15" spans="1:9" ht="15">
      <c r="A15" s="921">
        <v>8</v>
      </c>
      <c r="B15" s="934"/>
      <c r="C15" s="5"/>
      <c r="D15" s="935" t="s">
        <v>934</v>
      </c>
      <c r="E15" s="479"/>
      <c r="F15" s="479"/>
      <c r="G15" s="480"/>
      <c r="H15" s="90"/>
      <c r="I15" s="1298"/>
    </row>
    <row r="16" spans="1:9" ht="15">
      <c r="A16" s="921">
        <v>9</v>
      </c>
      <c r="B16" s="934">
        <v>5</v>
      </c>
      <c r="C16" s="5"/>
      <c r="D16" s="935" t="s">
        <v>1189</v>
      </c>
      <c r="E16" s="479">
        <v>29853</v>
      </c>
      <c r="F16" s="479">
        <v>31251</v>
      </c>
      <c r="G16" s="480">
        <v>32366</v>
      </c>
      <c r="H16" s="90">
        <v>32339</v>
      </c>
      <c r="I16" s="1298">
        <v>32339</v>
      </c>
    </row>
    <row r="17" spans="1:9" ht="15">
      <c r="A17" s="921">
        <v>10</v>
      </c>
      <c r="B17" s="934"/>
      <c r="C17" s="5"/>
      <c r="D17" s="935" t="s">
        <v>935</v>
      </c>
      <c r="E17" s="479"/>
      <c r="F17" s="479"/>
      <c r="G17" s="480"/>
      <c r="H17" s="90"/>
      <c r="I17" s="1298"/>
    </row>
    <row r="18" spans="1:9" ht="15">
      <c r="A18" s="921">
        <v>11</v>
      </c>
      <c r="B18" s="934">
        <v>6</v>
      </c>
      <c r="C18" s="5"/>
      <c r="D18" s="935" t="s">
        <v>1190</v>
      </c>
      <c r="E18" s="479">
        <v>11102</v>
      </c>
      <c r="F18" s="479">
        <v>12095</v>
      </c>
      <c r="G18" s="480">
        <v>11479</v>
      </c>
      <c r="H18" s="90">
        <v>11827</v>
      </c>
      <c r="I18" s="1298">
        <v>11827</v>
      </c>
    </row>
    <row r="19" spans="1:9" ht="15">
      <c r="A19" s="921">
        <v>12</v>
      </c>
      <c r="B19" s="934"/>
      <c r="C19" s="5"/>
      <c r="D19" s="935" t="s">
        <v>936</v>
      </c>
      <c r="E19" s="479"/>
      <c r="F19" s="479"/>
      <c r="G19" s="480"/>
      <c r="H19" s="90"/>
      <c r="I19" s="1298"/>
    </row>
    <row r="20" spans="1:9" s="481" customFormat="1" ht="30" customHeight="1">
      <c r="A20" s="921">
        <v>13</v>
      </c>
      <c r="B20" s="936"/>
      <c r="C20" s="937"/>
      <c r="D20" s="937" t="s">
        <v>423</v>
      </c>
      <c r="E20" s="938">
        <f>SUM(E8:E18)</f>
        <v>131628</v>
      </c>
      <c r="F20" s="938">
        <f>SUM(F8:F18)</f>
        <v>143335</v>
      </c>
      <c r="G20" s="939">
        <f>SUM(G8:G18)</f>
        <v>140371</v>
      </c>
      <c r="H20" s="1297">
        <f>SUM(H8:H18)</f>
        <v>146468</v>
      </c>
      <c r="I20" s="940">
        <f>SUM(I8:I18)</f>
        <v>146468</v>
      </c>
    </row>
    <row r="21" spans="1:9" s="482" customFormat="1" ht="30" customHeight="1">
      <c r="A21" s="921">
        <v>14</v>
      </c>
      <c r="B21" s="934">
        <v>7</v>
      </c>
      <c r="C21" s="5"/>
      <c r="D21" s="935" t="s">
        <v>438</v>
      </c>
      <c r="E21" s="479">
        <v>14324</v>
      </c>
      <c r="F21" s="480">
        <v>17156</v>
      </c>
      <c r="G21" s="480">
        <v>5368</v>
      </c>
      <c r="H21" s="90">
        <v>9002</v>
      </c>
      <c r="I21" s="1298">
        <v>9002</v>
      </c>
    </row>
    <row r="22" spans="1:9" ht="30" customHeight="1">
      <c r="A22" s="921">
        <v>15</v>
      </c>
      <c r="B22" s="934">
        <v>8</v>
      </c>
      <c r="C22" s="5"/>
      <c r="D22" s="935" t="s">
        <v>443</v>
      </c>
      <c r="E22" s="479">
        <v>62754</v>
      </c>
      <c r="F22" s="479">
        <v>64077</v>
      </c>
      <c r="G22" s="480">
        <v>62756</v>
      </c>
      <c r="H22" s="90">
        <v>62730</v>
      </c>
      <c r="I22" s="1298">
        <v>62730</v>
      </c>
    </row>
    <row r="23" spans="1:9" ht="30">
      <c r="A23" s="921">
        <v>17</v>
      </c>
      <c r="B23" s="934">
        <v>9</v>
      </c>
      <c r="C23" s="5"/>
      <c r="D23" s="941" t="s">
        <v>461</v>
      </c>
      <c r="E23" s="479">
        <v>14040</v>
      </c>
      <c r="F23" s="479">
        <v>9974</v>
      </c>
      <c r="G23" s="480">
        <v>10209</v>
      </c>
      <c r="H23" s="90">
        <v>9804</v>
      </c>
      <c r="I23" s="1298">
        <v>9804</v>
      </c>
    </row>
    <row r="24" spans="1:9" s="481" customFormat="1" ht="30" customHeight="1">
      <c r="A24" s="921">
        <v>18</v>
      </c>
      <c r="B24" s="936"/>
      <c r="C24" s="937"/>
      <c r="D24" s="937" t="s">
        <v>444</v>
      </c>
      <c r="E24" s="938">
        <f>SUM(E21:E23)</f>
        <v>91118</v>
      </c>
      <c r="F24" s="938">
        <f>SUM(F21:F23)</f>
        <v>91207</v>
      </c>
      <c r="G24" s="939">
        <f>SUM(G21:G23)</f>
        <v>78333</v>
      </c>
      <c r="H24" s="1297">
        <f>SUM(H21:H23)</f>
        <v>81536</v>
      </c>
      <c r="I24" s="940">
        <f>SUM(I21:I23)</f>
        <v>81536</v>
      </c>
    </row>
    <row r="25" spans="1:9" ht="30" customHeight="1">
      <c r="A25" s="921">
        <v>19</v>
      </c>
      <c r="B25" s="934">
        <v>10</v>
      </c>
      <c r="C25" s="5"/>
      <c r="D25" s="941" t="s">
        <v>912</v>
      </c>
      <c r="E25" s="479">
        <v>49872</v>
      </c>
      <c r="F25" s="479">
        <v>25244</v>
      </c>
      <c r="G25" s="480">
        <v>51519</v>
      </c>
      <c r="H25" s="90">
        <v>36750</v>
      </c>
      <c r="I25" s="1298">
        <v>36750</v>
      </c>
    </row>
    <row r="26" spans="1:9" ht="30" customHeight="1">
      <c r="A26" s="921">
        <v>20</v>
      </c>
      <c r="B26" s="934">
        <v>11</v>
      </c>
      <c r="C26" s="5"/>
      <c r="D26" s="941" t="s">
        <v>913</v>
      </c>
      <c r="E26" s="479">
        <v>12381</v>
      </c>
      <c r="F26" s="479">
        <v>11090</v>
      </c>
      <c r="G26" s="480">
        <v>11010</v>
      </c>
      <c r="H26" s="90">
        <v>9790</v>
      </c>
      <c r="I26" s="1298">
        <v>9790</v>
      </c>
    </row>
    <row r="27" spans="1:9" ht="30" customHeight="1">
      <c r="A27" s="921">
        <v>21</v>
      </c>
      <c r="B27" s="934">
        <v>12</v>
      </c>
      <c r="C27" s="5"/>
      <c r="D27" s="935" t="s">
        <v>459</v>
      </c>
      <c r="E27" s="479">
        <v>0</v>
      </c>
      <c r="F27" s="479">
        <v>23900</v>
      </c>
      <c r="G27" s="480">
        <v>34182</v>
      </c>
      <c r="H27" s="90">
        <v>20200</v>
      </c>
      <c r="I27" s="1298">
        <v>20200</v>
      </c>
    </row>
    <row r="28" spans="1:9" ht="30" customHeight="1">
      <c r="A28" s="921">
        <v>22</v>
      </c>
      <c r="B28" s="934"/>
      <c r="C28" s="5">
        <v>1</v>
      </c>
      <c r="D28" s="176" t="s">
        <v>937</v>
      </c>
      <c r="E28" s="479"/>
      <c r="F28" s="479"/>
      <c r="G28" s="480"/>
      <c r="H28" s="90"/>
      <c r="I28" s="1298"/>
    </row>
    <row r="29" spans="1:9" ht="30" customHeight="1">
      <c r="A29" s="921">
        <v>23</v>
      </c>
      <c r="B29" s="934">
        <v>13</v>
      </c>
      <c r="C29" s="5"/>
      <c r="D29" s="935" t="s">
        <v>460</v>
      </c>
      <c r="E29" s="479">
        <v>0</v>
      </c>
      <c r="F29" s="479">
        <v>36486</v>
      </c>
      <c r="G29" s="480">
        <v>114799</v>
      </c>
      <c r="H29" s="90">
        <v>99300</v>
      </c>
      <c r="I29" s="1298">
        <v>110475</v>
      </c>
    </row>
    <row r="30" spans="1:9" ht="30" customHeight="1">
      <c r="A30" s="942">
        <v>24</v>
      </c>
      <c r="B30" s="943">
        <v>14</v>
      </c>
      <c r="C30" s="944"/>
      <c r="D30" s="941" t="s">
        <v>914</v>
      </c>
      <c r="E30" s="479">
        <v>28526</v>
      </c>
      <c r="F30" s="479">
        <v>26255</v>
      </c>
      <c r="G30" s="480">
        <v>32840</v>
      </c>
      <c r="H30" s="90">
        <v>24551</v>
      </c>
      <c r="I30" s="1298">
        <v>24551</v>
      </c>
    </row>
    <row r="31" spans="1:9" ht="30" customHeight="1">
      <c r="A31" s="921">
        <v>25</v>
      </c>
      <c r="B31" s="934">
        <v>15</v>
      </c>
      <c r="C31" s="5"/>
      <c r="D31" s="935" t="s">
        <v>1104</v>
      </c>
      <c r="E31" s="479">
        <v>212999</v>
      </c>
      <c r="F31" s="479">
        <v>212000</v>
      </c>
      <c r="G31" s="480">
        <v>259765</v>
      </c>
      <c r="H31" s="90">
        <v>231000</v>
      </c>
      <c r="I31" s="1298">
        <v>231000</v>
      </c>
    </row>
    <row r="32" spans="1:9" s="481" customFormat="1" ht="30" customHeight="1">
      <c r="A32" s="921">
        <v>26</v>
      </c>
      <c r="B32" s="936"/>
      <c r="C32" s="937"/>
      <c r="D32" s="937" t="s">
        <v>845</v>
      </c>
      <c r="E32" s="938">
        <f>SUM(E25:E31)</f>
        <v>303778</v>
      </c>
      <c r="F32" s="938">
        <f>SUM(F25:F31)</f>
        <v>334975</v>
      </c>
      <c r="G32" s="939">
        <f>SUM(G25:G31)</f>
        <v>504115</v>
      </c>
      <c r="H32" s="1297">
        <f>SUM(H25:H31)</f>
        <v>421591</v>
      </c>
      <c r="I32" s="940">
        <f>SUM(I25:I31)</f>
        <v>432766</v>
      </c>
    </row>
    <row r="33" spans="1:9" ht="30" customHeight="1" thickBot="1">
      <c r="A33" s="921">
        <v>27</v>
      </c>
      <c r="B33" s="934">
        <v>16</v>
      </c>
      <c r="C33" s="5"/>
      <c r="D33" s="935" t="s">
        <v>458</v>
      </c>
      <c r="E33" s="479">
        <v>0</v>
      </c>
      <c r="F33" s="479">
        <v>223850</v>
      </c>
      <c r="G33" s="480">
        <v>308472</v>
      </c>
      <c r="H33" s="90">
        <v>250000</v>
      </c>
      <c r="I33" s="1298">
        <v>250000</v>
      </c>
    </row>
    <row r="34" spans="1:9" ht="33" customHeight="1" thickBot="1">
      <c r="A34" s="921">
        <v>28</v>
      </c>
      <c r="B34" s="945"/>
      <c r="C34" s="1326" t="s">
        <v>915</v>
      </c>
      <c r="D34" s="1326"/>
      <c r="E34" s="946">
        <f>SUM(E20,E24,E32,E33)</f>
        <v>526524</v>
      </c>
      <c r="F34" s="946">
        <f>SUM(F20,F24,F32,F33)</f>
        <v>793367</v>
      </c>
      <c r="G34" s="484">
        <f>SUM(G20,G24,G32,G33)</f>
        <v>1031291</v>
      </c>
      <c r="H34" s="499">
        <f>SUM(H20,H24,H32,H33)</f>
        <v>899595</v>
      </c>
      <c r="I34" s="485">
        <f>SUM(I20,I24,I32,I33)</f>
        <v>910770</v>
      </c>
    </row>
    <row r="35" spans="1:9" ht="33" customHeight="1" thickBot="1">
      <c r="A35" s="947">
        <v>29</v>
      </c>
      <c r="B35" s="943">
        <v>17</v>
      </c>
      <c r="C35" s="1314" t="s">
        <v>462</v>
      </c>
      <c r="D35" s="1314"/>
      <c r="E35" s="479">
        <v>2925</v>
      </c>
      <c r="F35" s="479">
        <v>0</v>
      </c>
      <c r="G35" s="480">
        <v>2285</v>
      </c>
      <c r="H35" s="90">
        <v>0</v>
      </c>
      <c r="I35" s="1298">
        <v>0</v>
      </c>
    </row>
    <row r="36" spans="1:9" ht="33" customHeight="1" thickBot="1">
      <c r="A36" s="921">
        <v>30</v>
      </c>
      <c r="B36" s="945"/>
      <c r="C36" s="1326" t="s">
        <v>3</v>
      </c>
      <c r="D36" s="1326"/>
      <c r="E36" s="946">
        <f>SUM(E34,E35)</f>
        <v>529449</v>
      </c>
      <c r="F36" s="946">
        <f>SUM(F34,F35)</f>
        <v>793367</v>
      </c>
      <c r="G36" s="484">
        <f>SUM(G34,G35)</f>
        <v>1033576</v>
      </c>
      <c r="H36" s="499">
        <f>SUM(H34,H35)</f>
        <v>899595</v>
      </c>
      <c r="I36" s="485">
        <f>SUM(I34,I35)</f>
        <v>910770</v>
      </c>
    </row>
    <row r="37" spans="1:9" ht="33" customHeight="1" thickBot="1">
      <c r="A37" s="921">
        <v>31</v>
      </c>
      <c r="B37" s="934"/>
      <c r="C37" s="1316" t="s">
        <v>938</v>
      </c>
      <c r="D37" s="1316"/>
      <c r="E37" s="479">
        <v>519369</v>
      </c>
      <c r="F37" s="479">
        <v>2391</v>
      </c>
      <c r="G37" s="480">
        <v>0</v>
      </c>
      <c r="H37" s="90">
        <v>0</v>
      </c>
      <c r="I37" s="1298">
        <v>0</v>
      </c>
    </row>
    <row r="38" spans="1:10" ht="33" customHeight="1" thickBot="1">
      <c r="A38" s="921">
        <v>32</v>
      </c>
      <c r="B38" s="945"/>
      <c r="C38" s="1326" t="s">
        <v>3</v>
      </c>
      <c r="D38" s="1326"/>
      <c r="E38" s="946">
        <f>SUM(E36:E37)</f>
        <v>1048818</v>
      </c>
      <c r="F38" s="946">
        <f>SUM(F36:F37)</f>
        <v>795758</v>
      </c>
      <c r="G38" s="484">
        <f>SUM(G36:G37)</f>
        <v>1033576</v>
      </c>
      <c r="H38" s="499">
        <f>SUM(H36:H37)</f>
        <v>899595</v>
      </c>
      <c r="I38" s="485">
        <f>SUM(I36:I37)</f>
        <v>910770</v>
      </c>
      <c r="J38" s="4"/>
    </row>
    <row r="39" spans="1:10" ht="15" hidden="1">
      <c r="A39" s="921">
        <v>32</v>
      </c>
      <c r="B39" s="934"/>
      <c r="C39" s="5">
        <v>7</v>
      </c>
      <c r="D39" s="935" t="s">
        <v>424</v>
      </c>
      <c r="E39" s="479">
        <v>23700</v>
      </c>
      <c r="F39" s="479"/>
      <c r="G39" s="480"/>
      <c r="H39" s="98"/>
      <c r="I39" s="4"/>
      <c r="J39" s="4"/>
    </row>
    <row r="40" spans="1:10" ht="15" hidden="1">
      <c r="A40" s="921">
        <v>33</v>
      </c>
      <c r="B40" s="934"/>
      <c r="C40" s="5">
        <v>8</v>
      </c>
      <c r="D40" s="935" t="s">
        <v>425</v>
      </c>
      <c r="E40" s="479">
        <v>23854</v>
      </c>
      <c r="F40" s="479"/>
      <c r="G40" s="480"/>
      <c r="H40" s="98"/>
      <c r="I40" s="4"/>
      <c r="J40" s="4"/>
    </row>
    <row r="41" spans="1:10" ht="15" hidden="1">
      <c r="A41" s="921">
        <v>34</v>
      </c>
      <c r="B41" s="934"/>
      <c r="C41" s="5">
        <v>9</v>
      </c>
      <c r="D41" s="935" t="s">
        <v>426</v>
      </c>
      <c r="E41" s="479">
        <v>26145</v>
      </c>
      <c r="F41" s="479"/>
      <c r="G41" s="480"/>
      <c r="H41" s="98"/>
      <c r="I41" s="4"/>
      <c r="J41" s="4"/>
    </row>
    <row r="42" spans="1:10" ht="15" hidden="1">
      <c r="A42" s="921">
        <v>35</v>
      </c>
      <c r="B42" s="934"/>
      <c r="C42" s="5">
        <v>10</v>
      </c>
      <c r="D42" s="935" t="s">
        <v>427</v>
      </c>
      <c r="E42" s="479">
        <v>35582</v>
      </c>
      <c r="F42" s="479"/>
      <c r="G42" s="480"/>
      <c r="H42" s="98"/>
      <c r="I42" s="4"/>
      <c r="J42" s="4"/>
    </row>
    <row r="43" spans="1:10" ht="15" hidden="1">
      <c r="A43" s="921">
        <v>36</v>
      </c>
      <c r="B43" s="934"/>
      <c r="C43" s="5">
        <v>11</v>
      </c>
      <c r="D43" s="935" t="s">
        <v>429</v>
      </c>
      <c r="E43" s="479">
        <v>31340</v>
      </c>
      <c r="F43" s="479"/>
      <c r="G43" s="480"/>
      <c r="H43" s="98"/>
      <c r="I43" s="4"/>
      <c r="J43" s="4"/>
    </row>
    <row r="44" spans="1:10" s="481" customFormat="1" ht="15" hidden="1">
      <c r="A44" s="921">
        <v>37</v>
      </c>
      <c r="B44" s="936"/>
      <c r="C44" s="5"/>
      <c r="D44" s="948" t="s">
        <v>430</v>
      </c>
      <c r="E44" s="557">
        <v>0</v>
      </c>
      <c r="F44" s="557"/>
      <c r="G44" s="486"/>
      <c r="H44" s="157"/>
      <c r="I44" s="487"/>
      <c r="J44" s="487"/>
    </row>
    <row r="45" spans="1:10" ht="15" hidden="1">
      <c r="A45" s="921">
        <v>38</v>
      </c>
      <c r="B45" s="934"/>
      <c r="C45" s="5">
        <v>12</v>
      </c>
      <c r="D45" s="935" t="s">
        <v>431</v>
      </c>
      <c r="E45" s="479">
        <v>24585</v>
      </c>
      <c r="F45" s="479"/>
      <c r="G45" s="480"/>
      <c r="H45" s="98"/>
      <c r="I45" s="4"/>
      <c r="J45" s="4"/>
    </row>
    <row r="46" spans="1:10" ht="15" hidden="1">
      <c r="A46" s="921">
        <v>39</v>
      </c>
      <c r="B46" s="934"/>
      <c r="C46" s="5">
        <v>13</v>
      </c>
      <c r="D46" s="941" t="s">
        <v>1102</v>
      </c>
      <c r="E46" s="479">
        <v>20009</v>
      </c>
      <c r="F46" s="479"/>
      <c r="G46" s="480"/>
      <c r="H46" s="98"/>
      <c r="I46" s="4"/>
      <c r="J46" s="4"/>
    </row>
    <row r="47" spans="1:10" ht="15" hidden="1">
      <c r="A47" s="921">
        <v>40</v>
      </c>
      <c r="B47" s="934"/>
      <c r="C47" s="5">
        <v>14</v>
      </c>
      <c r="D47" s="935" t="s">
        <v>432</v>
      </c>
      <c r="E47" s="479">
        <v>24245</v>
      </c>
      <c r="F47" s="479"/>
      <c r="G47" s="480"/>
      <c r="H47" s="98"/>
      <c r="I47" s="4"/>
      <c r="J47" s="4"/>
    </row>
    <row r="48" spans="1:10" ht="15" hidden="1">
      <c r="A48" s="921">
        <v>41</v>
      </c>
      <c r="B48" s="934"/>
      <c r="C48" s="5">
        <v>15</v>
      </c>
      <c r="D48" s="941" t="s">
        <v>433</v>
      </c>
      <c r="E48" s="479">
        <v>10368</v>
      </c>
      <c r="F48" s="479"/>
      <c r="G48" s="480"/>
      <c r="H48" s="98"/>
      <c r="I48" s="4"/>
      <c r="J48" s="4"/>
    </row>
    <row r="49" spans="1:10" ht="15" hidden="1">
      <c r="A49" s="921">
        <v>42</v>
      </c>
      <c r="B49" s="934"/>
      <c r="C49" s="5">
        <v>16</v>
      </c>
      <c r="D49" s="941" t="s">
        <v>434</v>
      </c>
      <c r="E49" s="479">
        <v>13532</v>
      </c>
      <c r="F49" s="479"/>
      <c r="G49" s="480"/>
      <c r="H49" s="98"/>
      <c r="I49" s="4"/>
      <c r="J49" s="4"/>
    </row>
    <row r="50" spans="1:10" ht="15" hidden="1">
      <c r="A50" s="921">
        <v>43</v>
      </c>
      <c r="B50" s="934"/>
      <c r="C50" s="5">
        <v>17</v>
      </c>
      <c r="D50" s="935" t="s">
        <v>435</v>
      </c>
      <c r="E50" s="479">
        <v>9120</v>
      </c>
      <c r="F50" s="479"/>
      <c r="G50" s="480"/>
      <c r="H50" s="98"/>
      <c r="I50" s="4"/>
      <c r="J50" s="4"/>
    </row>
    <row r="51" spans="1:10" s="481" customFormat="1" ht="30" customHeight="1" hidden="1">
      <c r="A51" s="921">
        <v>44</v>
      </c>
      <c r="B51" s="936"/>
      <c r="C51" s="937"/>
      <c r="D51" s="937" t="s">
        <v>436</v>
      </c>
      <c r="E51" s="938">
        <f>SUM(E39:E43,E45:E50)</f>
        <v>242480</v>
      </c>
      <c r="F51" s="938">
        <f>SUM(F39:F43,F45:F50)</f>
        <v>0</v>
      </c>
      <c r="G51" s="939">
        <f>SUM(G39:G43,G45:G50)</f>
        <v>0</v>
      </c>
      <c r="H51" s="940">
        <f>SUM(H39:H43,H45:H50)</f>
        <v>0</v>
      </c>
      <c r="I51" s="487"/>
      <c r="J51" s="487"/>
    </row>
    <row r="52" spans="1:10" ht="24.75" customHeight="1" hidden="1">
      <c r="A52" s="921">
        <v>45</v>
      </c>
      <c r="B52" s="934"/>
      <c r="C52" s="5">
        <v>18</v>
      </c>
      <c r="D52" s="935" t="s">
        <v>437</v>
      </c>
      <c r="E52" s="479">
        <v>271</v>
      </c>
      <c r="F52" s="479"/>
      <c r="G52" s="480"/>
      <c r="H52" s="98"/>
      <c r="I52" s="4"/>
      <c r="J52" s="4"/>
    </row>
    <row r="53" spans="1:10" ht="30" customHeight="1" hidden="1">
      <c r="A53" s="921">
        <v>46</v>
      </c>
      <c r="B53" s="949"/>
      <c r="C53" s="950">
        <v>23</v>
      </c>
      <c r="D53" s="951" t="s">
        <v>445</v>
      </c>
      <c r="E53" s="952">
        <v>9091</v>
      </c>
      <c r="F53" s="952"/>
      <c r="G53" s="953"/>
      <c r="H53" s="954"/>
      <c r="I53" s="4"/>
      <c r="J53" s="4"/>
    </row>
    <row r="54" spans="1:10" ht="30" customHeight="1" hidden="1">
      <c r="A54" s="921">
        <v>47</v>
      </c>
      <c r="B54" s="934"/>
      <c r="C54" s="1317" t="s">
        <v>447</v>
      </c>
      <c r="D54" s="1317"/>
      <c r="E54" s="479"/>
      <c r="F54" s="479"/>
      <c r="G54" s="480"/>
      <c r="H54" s="98"/>
      <c r="I54" s="4"/>
      <c r="J54" s="4"/>
    </row>
    <row r="55" spans="1:10" ht="15" hidden="1">
      <c r="A55" s="921">
        <v>48</v>
      </c>
      <c r="B55" s="934">
        <v>2</v>
      </c>
      <c r="C55" s="955"/>
      <c r="D55" s="935" t="s">
        <v>448</v>
      </c>
      <c r="E55" s="479">
        <v>98348</v>
      </c>
      <c r="F55" s="479"/>
      <c r="G55" s="480"/>
      <c r="H55" s="98"/>
      <c r="I55" s="4"/>
      <c r="J55" s="4"/>
    </row>
    <row r="56" spans="1:10" ht="15" hidden="1">
      <c r="A56" s="921">
        <v>49</v>
      </c>
      <c r="B56" s="934">
        <v>3</v>
      </c>
      <c r="C56" s="955"/>
      <c r="D56" s="935" t="s">
        <v>449</v>
      </c>
      <c r="E56" s="479">
        <v>27101</v>
      </c>
      <c r="F56" s="479"/>
      <c r="G56" s="480"/>
      <c r="H56" s="98"/>
      <c r="I56" s="4"/>
      <c r="J56" s="4"/>
    </row>
    <row r="57" spans="1:10" ht="15" hidden="1">
      <c r="A57" s="921">
        <v>50</v>
      </c>
      <c r="B57" s="934">
        <v>4</v>
      </c>
      <c r="C57" s="955"/>
      <c r="D57" s="935" t="s">
        <v>450</v>
      </c>
      <c r="E57" s="479">
        <v>29734</v>
      </c>
      <c r="F57" s="479"/>
      <c r="G57" s="480"/>
      <c r="H57" s="98"/>
      <c r="I57" s="4"/>
      <c r="J57" s="4"/>
    </row>
    <row r="58" spans="1:10" ht="30" hidden="1">
      <c r="A58" s="921">
        <v>51</v>
      </c>
      <c r="B58" s="934">
        <v>5</v>
      </c>
      <c r="C58" s="955"/>
      <c r="D58" s="941" t="s">
        <v>451</v>
      </c>
      <c r="E58" s="479">
        <v>29930</v>
      </c>
      <c r="F58" s="479"/>
      <c r="G58" s="480"/>
      <c r="H58" s="98"/>
      <c r="I58" s="4"/>
      <c r="J58" s="4"/>
    </row>
    <row r="59" spans="1:10" ht="15" hidden="1">
      <c r="A59" s="921">
        <v>52</v>
      </c>
      <c r="B59" s="934">
        <v>6</v>
      </c>
      <c r="C59" s="955"/>
      <c r="D59" s="935" t="s">
        <v>217</v>
      </c>
      <c r="E59" s="479">
        <v>18187</v>
      </c>
      <c r="F59" s="479"/>
      <c r="G59" s="480"/>
      <c r="H59" s="98"/>
      <c r="I59" s="4"/>
      <c r="J59" s="4"/>
    </row>
    <row r="60" spans="1:10" ht="30" customHeight="1" hidden="1">
      <c r="A60" s="921">
        <v>53</v>
      </c>
      <c r="B60" s="934">
        <v>7</v>
      </c>
      <c r="C60" s="956" t="s">
        <v>1103</v>
      </c>
      <c r="D60" s="4"/>
      <c r="E60" s="479"/>
      <c r="F60" s="479"/>
      <c r="G60" s="480"/>
      <c r="H60" s="98"/>
      <c r="I60" s="4"/>
      <c r="J60" s="4"/>
    </row>
    <row r="61" spans="1:10" ht="15" hidden="1">
      <c r="A61" s="921">
        <v>54</v>
      </c>
      <c r="B61" s="934"/>
      <c r="C61" s="5">
        <v>1</v>
      </c>
      <c r="D61" s="935" t="s">
        <v>452</v>
      </c>
      <c r="E61" s="479">
        <v>6593</v>
      </c>
      <c r="F61" s="479"/>
      <c r="G61" s="480"/>
      <c r="H61" s="98"/>
      <c r="I61" s="4"/>
      <c r="J61" s="4"/>
    </row>
    <row r="62" spans="1:10" ht="30" hidden="1">
      <c r="A62" s="921">
        <v>55</v>
      </c>
      <c r="B62" s="934"/>
      <c r="C62" s="5">
        <v>2</v>
      </c>
      <c r="D62" s="941" t="s">
        <v>218</v>
      </c>
      <c r="E62" s="479">
        <v>5725</v>
      </c>
      <c r="F62" s="479"/>
      <c r="G62" s="480"/>
      <c r="H62" s="98"/>
      <c r="I62" s="4"/>
      <c r="J62" s="4"/>
    </row>
    <row r="63" spans="1:10" ht="15" hidden="1">
      <c r="A63" s="921">
        <v>56</v>
      </c>
      <c r="B63" s="934"/>
      <c r="C63" s="5">
        <v>3</v>
      </c>
      <c r="D63" s="941" t="s">
        <v>454</v>
      </c>
      <c r="E63" s="479">
        <v>15217</v>
      </c>
      <c r="F63" s="480"/>
      <c r="G63" s="480"/>
      <c r="H63" s="98"/>
      <c r="I63" s="4"/>
      <c r="J63" s="4"/>
    </row>
    <row r="64" spans="1:10" ht="30" hidden="1">
      <c r="A64" s="921">
        <v>57</v>
      </c>
      <c r="B64" s="934"/>
      <c r="C64" s="5">
        <v>4</v>
      </c>
      <c r="D64" s="941" t="s">
        <v>219</v>
      </c>
      <c r="E64" s="479">
        <v>4582</v>
      </c>
      <c r="F64" s="480"/>
      <c r="G64" s="480"/>
      <c r="H64" s="98"/>
      <c r="I64" s="4"/>
      <c r="J64" s="4"/>
    </row>
    <row r="65" spans="1:10" ht="15" hidden="1">
      <c r="A65" s="921">
        <v>58</v>
      </c>
      <c r="B65" s="949"/>
      <c r="C65" s="950">
        <v>5</v>
      </c>
      <c r="D65" s="957" t="s">
        <v>455</v>
      </c>
      <c r="E65" s="952">
        <v>30263</v>
      </c>
      <c r="F65" s="952"/>
      <c r="G65" s="953"/>
      <c r="H65" s="958"/>
      <c r="I65" s="4"/>
      <c r="J65" s="4"/>
    </row>
    <row r="66" spans="1:10" ht="30" customHeight="1" hidden="1" thickBot="1">
      <c r="A66" s="921">
        <v>59</v>
      </c>
      <c r="B66" s="959">
        <v>7</v>
      </c>
      <c r="C66" s="1315" t="s">
        <v>456</v>
      </c>
      <c r="D66" s="1315"/>
      <c r="E66" s="570">
        <f>SUM(E61:E65)</f>
        <v>62380</v>
      </c>
      <c r="F66" s="570">
        <f>SUM(F61:F65)</f>
        <v>0</v>
      </c>
      <c r="G66" s="900">
        <f>SUM(G61:G65)</f>
        <v>0</v>
      </c>
      <c r="H66" s="960">
        <f>SUM(H61:H65)</f>
        <v>0</v>
      </c>
      <c r="I66" s="4"/>
      <c r="J66" s="4"/>
    </row>
    <row r="67" spans="1:10" ht="30" customHeight="1" hidden="1" thickBot="1">
      <c r="A67" s="921">
        <v>60</v>
      </c>
      <c r="B67" s="959"/>
      <c r="C67" s="1315" t="s">
        <v>457</v>
      </c>
      <c r="D67" s="1315"/>
      <c r="E67" s="570">
        <f>SUM(E55:E65)</f>
        <v>265680</v>
      </c>
      <c r="F67" s="570">
        <f>SUM(F55:F65)</f>
        <v>0</v>
      </c>
      <c r="G67" s="900">
        <f>SUM(G55:G65)</f>
        <v>0</v>
      </c>
      <c r="H67" s="960">
        <f>SUM(H55:H65)</f>
        <v>0</v>
      </c>
      <c r="I67" s="4"/>
      <c r="J67" s="4"/>
    </row>
  </sheetData>
  <sheetProtection/>
  <mergeCells count="19">
    <mergeCell ref="I6:I7"/>
    <mergeCell ref="C6:C7"/>
    <mergeCell ref="C35:D35"/>
    <mergeCell ref="C67:D67"/>
    <mergeCell ref="C36:D36"/>
    <mergeCell ref="C37:D37"/>
    <mergeCell ref="C66:D66"/>
    <mergeCell ref="C38:D38"/>
    <mergeCell ref="C54:D54"/>
    <mergeCell ref="B1:D1"/>
    <mergeCell ref="H6:H7"/>
    <mergeCell ref="C34:D34"/>
    <mergeCell ref="E6:E7"/>
    <mergeCell ref="B2:H2"/>
    <mergeCell ref="B3:H3"/>
    <mergeCell ref="B6:B7"/>
    <mergeCell ref="F6:F7"/>
    <mergeCell ref="G6:G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R387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625" style="284" bestFit="1" customWidth="1"/>
    <col min="2" max="2" width="4.00390625" style="488" customWidth="1"/>
    <col min="3" max="3" width="4.125" style="489" customWidth="1"/>
    <col min="4" max="4" width="50.75390625" style="490" customWidth="1"/>
    <col min="5" max="5" width="5.75390625" style="281" customWidth="1"/>
    <col min="6" max="8" width="10.75390625" style="491" customWidth="1"/>
    <col min="9" max="17" width="14.75390625" style="490" customWidth="1"/>
    <col min="18" max="18" width="9.625" style="490" hidden="1" customWidth="1"/>
    <col min="19" max="19" width="0" style="490" hidden="1" customWidth="1"/>
    <col min="20" max="16384" width="9.125" style="490" customWidth="1"/>
  </cols>
  <sheetData>
    <row r="1" spans="1:8" s="99" customFormat="1" ht="15">
      <c r="A1" s="284"/>
      <c r="B1" s="1357" t="s">
        <v>801</v>
      </c>
      <c r="C1" s="1357"/>
      <c r="D1" s="1357"/>
      <c r="E1" s="1357"/>
      <c r="F1" s="1357"/>
      <c r="G1" s="995"/>
      <c r="H1" s="478"/>
    </row>
    <row r="2" spans="1:17" s="99" customFormat="1" ht="21" customHeight="1">
      <c r="A2" s="284"/>
      <c r="B2" s="1345" t="s">
        <v>939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</row>
    <row r="3" spans="1:17" s="99" customFormat="1" ht="21" customHeight="1">
      <c r="A3" s="284"/>
      <c r="B3" s="1345" t="s">
        <v>1166</v>
      </c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</row>
    <row r="4" spans="1:17" s="99" customFormat="1" ht="21" customHeight="1">
      <c r="A4" s="284"/>
      <c r="B4" s="1369" t="s">
        <v>1164</v>
      </c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69"/>
    </row>
    <row r="5" spans="9:17" ht="15">
      <c r="I5" s="180"/>
      <c r="P5" s="1370" t="s">
        <v>861</v>
      </c>
      <c r="Q5" s="1370"/>
    </row>
    <row r="6" spans="1:17" s="281" customFormat="1" ht="15.75" thickBot="1">
      <c r="A6" s="284"/>
      <c r="B6" s="488" t="s">
        <v>873</v>
      </c>
      <c r="C6" s="488" t="s">
        <v>874</v>
      </c>
      <c r="D6" s="281" t="s">
        <v>875</v>
      </c>
      <c r="E6" s="281" t="s">
        <v>876</v>
      </c>
      <c r="F6" s="909" t="s">
        <v>877</v>
      </c>
      <c r="G6" s="909" t="s">
        <v>878</v>
      </c>
      <c r="H6" s="909" t="s">
        <v>879</v>
      </c>
      <c r="I6" s="281" t="s">
        <v>518</v>
      </c>
      <c r="J6" s="281" t="s">
        <v>519</v>
      </c>
      <c r="K6" s="281" t="s">
        <v>465</v>
      </c>
      <c r="L6" s="281" t="s">
        <v>466</v>
      </c>
      <c r="M6" s="281" t="s">
        <v>467</v>
      </c>
      <c r="N6" s="281" t="s">
        <v>468</v>
      </c>
      <c r="O6" s="281" t="s">
        <v>469</v>
      </c>
      <c r="P6" s="281" t="s">
        <v>483</v>
      </c>
      <c r="Q6" s="281" t="s">
        <v>940</v>
      </c>
    </row>
    <row r="7" spans="1:17" s="281" customFormat="1" ht="30" customHeight="1">
      <c r="A7" s="284"/>
      <c r="B7" s="1362" t="s">
        <v>391</v>
      </c>
      <c r="C7" s="1362" t="s">
        <v>1184</v>
      </c>
      <c r="D7" s="1367" t="s">
        <v>862</v>
      </c>
      <c r="E7" s="1391" t="s">
        <v>401</v>
      </c>
      <c r="F7" s="1360" t="s">
        <v>941</v>
      </c>
      <c r="G7" s="1360" t="s">
        <v>929</v>
      </c>
      <c r="H7" s="1393" t="s">
        <v>585</v>
      </c>
      <c r="I7" s="1389" t="s">
        <v>880</v>
      </c>
      <c r="J7" s="1364" t="s">
        <v>497</v>
      </c>
      <c r="K7" s="1365"/>
      <c r="L7" s="1365"/>
      <c r="M7" s="1365"/>
      <c r="N7" s="1366"/>
      <c r="O7" s="1387" t="s">
        <v>498</v>
      </c>
      <c r="P7" s="1387"/>
      <c r="Q7" s="1387"/>
    </row>
    <row r="8" spans="1:17" s="281" customFormat="1" ht="45" customHeight="1" thickBot="1">
      <c r="A8" s="284"/>
      <c r="B8" s="1363"/>
      <c r="C8" s="1363"/>
      <c r="D8" s="1368"/>
      <c r="E8" s="1392"/>
      <c r="F8" s="1361"/>
      <c r="G8" s="1361"/>
      <c r="H8" s="1394"/>
      <c r="I8" s="1390"/>
      <c r="J8" s="21" t="s">
        <v>476</v>
      </c>
      <c r="K8" s="21" t="s">
        <v>474</v>
      </c>
      <c r="L8" s="21" t="s">
        <v>477</v>
      </c>
      <c r="M8" s="21" t="s">
        <v>496</v>
      </c>
      <c r="N8" s="21" t="s">
        <v>478</v>
      </c>
      <c r="O8" s="492" t="s">
        <v>499</v>
      </c>
      <c r="P8" s="996" t="s">
        <v>500</v>
      </c>
      <c r="Q8" s="21" t="s">
        <v>413</v>
      </c>
    </row>
    <row r="9" spans="1:18" s="183" customFormat="1" ht="25.5" customHeight="1">
      <c r="A9" s="282">
        <v>1</v>
      </c>
      <c r="B9" s="181">
        <v>1</v>
      </c>
      <c r="C9" s="182"/>
      <c r="D9" s="188" t="s">
        <v>1009</v>
      </c>
      <c r="E9" s="997" t="s">
        <v>466</v>
      </c>
      <c r="F9" s="425">
        <v>136600</v>
      </c>
      <c r="G9" s="425">
        <v>118352</v>
      </c>
      <c r="H9" s="427">
        <v>130202</v>
      </c>
      <c r="I9" s="998"/>
      <c r="Q9" s="384"/>
      <c r="R9" s="183">
        <f>(SUM(J11:Q11))-I11</f>
        <v>0</v>
      </c>
    </row>
    <row r="10" spans="1:18" s="90" customFormat="1" ht="15">
      <c r="A10" s="282">
        <v>2</v>
      </c>
      <c r="B10" s="92"/>
      <c r="C10" s="96"/>
      <c r="D10" s="97" t="s">
        <v>931</v>
      </c>
      <c r="E10" s="999"/>
      <c r="F10" s="480"/>
      <c r="G10" s="480"/>
      <c r="H10" s="480"/>
      <c r="I10" s="902"/>
      <c r="Q10" s="98"/>
      <c r="R10" s="183">
        <f>(SUM(J12:Q12))-I12</f>
        <v>0</v>
      </c>
    </row>
    <row r="11" spans="1:18" s="90" customFormat="1" ht="15">
      <c r="A11" s="282">
        <v>3</v>
      </c>
      <c r="B11" s="92"/>
      <c r="C11" s="96"/>
      <c r="D11" s="188" t="s">
        <v>1168</v>
      </c>
      <c r="E11" s="999"/>
      <c r="F11" s="480"/>
      <c r="G11" s="480"/>
      <c r="H11" s="480"/>
      <c r="I11" s="901">
        <f>SUM(J11:Q11)</f>
        <v>166856</v>
      </c>
      <c r="J11" s="183">
        <v>92919</v>
      </c>
      <c r="K11" s="183">
        <v>27386</v>
      </c>
      <c r="L11" s="183">
        <v>45551</v>
      </c>
      <c r="M11" s="183"/>
      <c r="N11" s="183"/>
      <c r="O11" s="183">
        <v>1000</v>
      </c>
      <c r="P11" s="183"/>
      <c r="Q11" s="384"/>
      <c r="R11" s="183">
        <f>(SUM(J16:Q16))-I16</f>
        <v>0</v>
      </c>
    </row>
    <row r="12" spans="1:18" s="91" customFormat="1" ht="15">
      <c r="A12" s="282">
        <v>4</v>
      </c>
      <c r="B12" s="179"/>
      <c r="C12" s="285"/>
      <c r="D12" s="409" t="s">
        <v>588</v>
      </c>
      <c r="E12" s="498"/>
      <c r="F12" s="486"/>
      <c r="G12" s="486"/>
      <c r="H12" s="480"/>
      <c r="I12" s="1000">
        <f>SUM(J12:Q12)</f>
        <v>1656</v>
      </c>
      <c r="J12" s="91">
        <v>287</v>
      </c>
      <c r="K12" s="91">
        <v>309</v>
      </c>
      <c r="L12" s="91">
        <v>1060</v>
      </c>
      <c r="Q12" s="157"/>
      <c r="R12" s="184">
        <f>(SUM(J17:Q17))-I17</f>
        <v>0</v>
      </c>
    </row>
    <row r="13" spans="1:18" s="91" customFormat="1" ht="15">
      <c r="A13" s="282">
        <v>5</v>
      </c>
      <c r="B13" s="179"/>
      <c r="C13" s="285"/>
      <c r="D13" s="409" t="s">
        <v>592</v>
      </c>
      <c r="E13" s="498"/>
      <c r="F13" s="486"/>
      <c r="G13" s="486"/>
      <c r="H13" s="480"/>
      <c r="I13" s="1000">
        <f>SUM(J13:Q13)</f>
        <v>0</v>
      </c>
      <c r="L13" s="91">
        <v>-120</v>
      </c>
      <c r="O13" s="91">
        <v>120</v>
      </c>
      <c r="Q13" s="157"/>
      <c r="R13" s="184"/>
    </row>
    <row r="14" spans="1:18" s="91" customFormat="1" ht="15">
      <c r="A14" s="282">
        <v>6</v>
      </c>
      <c r="B14" s="179"/>
      <c r="C14" s="285"/>
      <c r="D14" s="409" t="s">
        <v>595</v>
      </c>
      <c r="E14" s="498"/>
      <c r="F14" s="486"/>
      <c r="G14" s="486"/>
      <c r="H14" s="480"/>
      <c r="I14" s="1000">
        <f>SUM(J14:Q14)</f>
        <v>325</v>
      </c>
      <c r="J14" s="91">
        <v>256</v>
      </c>
      <c r="K14" s="91">
        <v>69</v>
      </c>
      <c r="Q14" s="157"/>
      <c r="R14" s="184"/>
    </row>
    <row r="15" spans="1:18" s="91" customFormat="1" ht="15">
      <c r="A15" s="282">
        <v>7</v>
      </c>
      <c r="B15" s="179"/>
      <c r="C15" s="285"/>
      <c r="D15" s="409" t="s">
        <v>660</v>
      </c>
      <c r="E15" s="498"/>
      <c r="F15" s="486"/>
      <c r="G15" s="486"/>
      <c r="H15" s="480"/>
      <c r="I15" s="1000">
        <f>SUM(J15:Q15)</f>
        <v>100</v>
      </c>
      <c r="L15" s="91">
        <v>100</v>
      </c>
      <c r="Q15" s="157"/>
      <c r="R15" s="184"/>
    </row>
    <row r="16" spans="1:18" s="94" customFormat="1" ht="15">
      <c r="A16" s="282">
        <v>8</v>
      </c>
      <c r="B16" s="383"/>
      <c r="C16" s="93"/>
      <c r="D16" s="185" t="s">
        <v>1169</v>
      </c>
      <c r="E16" s="1001"/>
      <c r="F16" s="483"/>
      <c r="G16" s="483"/>
      <c r="H16" s="483"/>
      <c r="I16" s="904">
        <f>SUM(I11:I15)</f>
        <v>168937</v>
      </c>
      <c r="J16" s="94">
        <f aca="true" t="shared" si="0" ref="J16:Q16">SUM(J11:J15)</f>
        <v>93462</v>
      </c>
      <c r="K16" s="94">
        <f t="shared" si="0"/>
        <v>27764</v>
      </c>
      <c r="L16" s="94">
        <f t="shared" si="0"/>
        <v>46591</v>
      </c>
      <c r="M16" s="94">
        <f t="shared" si="0"/>
        <v>0</v>
      </c>
      <c r="N16" s="94">
        <f t="shared" si="0"/>
        <v>0</v>
      </c>
      <c r="O16" s="94">
        <f t="shared" si="0"/>
        <v>1120</v>
      </c>
      <c r="P16" s="94">
        <f t="shared" si="0"/>
        <v>0</v>
      </c>
      <c r="Q16" s="95">
        <f t="shared" si="0"/>
        <v>0</v>
      </c>
      <c r="R16" s="286">
        <f>(SUM(J18:Q18))-I18</f>
        <v>0</v>
      </c>
    </row>
    <row r="17" spans="1:18" s="183" customFormat="1" ht="19.5" customHeight="1">
      <c r="A17" s="282">
        <v>9</v>
      </c>
      <c r="B17" s="181"/>
      <c r="C17" s="182">
        <v>1</v>
      </c>
      <c r="D17" s="1388" t="s">
        <v>942</v>
      </c>
      <c r="E17" s="1388"/>
      <c r="F17" s="1388"/>
      <c r="G17" s="1388"/>
      <c r="H17" s="425">
        <v>1131</v>
      </c>
      <c r="I17" s="901"/>
      <c r="Q17" s="384"/>
      <c r="R17" s="183">
        <f>(SUM(J19:Q19))-I19</f>
        <v>0</v>
      </c>
    </row>
    <row r="18" spans="1:18" s="90" customFormat="1" ht="15">
      <c r="A18" s="282">
        <v>10</v>
      </c>
      <c r="B18" s="92"/>
      <c r="C18" s="96"/>
      <c r="D18" s="558" t="s">
        <v>1168</v>
      </c>
      <c r="E18" s="999"/>
      <c r="F18" s="480"/>
      <c r="G18" s="480"/>
      <c r="H18" s="480"/>
      <c r="I18" s="902">
        <f>SUM(J18:Q18)</f>
        <v>0</v>
      </c>
      <c r="J18" s="183"/>
      <c r="K18" s="183"/>
      <c r="L18" s="183"/>
      <c r="M18" s="183"/>
      <c r="N18" s="183"/>
      <c r="O18" s="183"/>
      <c r="P18" s="183"/>
      <c r="Q18" s="384"/>
      <c r="R18" s="183">
        <f>(SUM(J20:Q20))-I20</f>
        <v>0</v>
      </c>
    </row>
    <row r="19" spans="1:18" s="91" customFormat="1" ht="15">
      <c r="A19" s="282">
        <v>11</v>
      </c>
      <c r="B19" s="179"/>
      <c r="C19" s="285"/>
      <c r="D19" s="559" t="s">
        <v>1170</v>
      </c>
      <c r="E19" s="498"/>
      <c r="F19" s="486"/>
      <c r="G19" s="486"/>
      <c r="H19" s="480"/>
      <c r="I19" s="903">
        <f>SUM(J19:Q19)</f>
        <v>0</v>
      </c>
      <c r="Q19" s="157"/>
      <c r="R19" s="184"/>
    </row>
    <row r="20" spans="1:18" s="94" customFormat="1" ht="15">
      <c r="A20" s="282">
        <v>12</v>
      </c>
      <c r="B20" s="383"/>
      <c r="C20" s="93"/>
      <c r="D20" s="560" t="s">
        <v>1169</v>
      </c>
      <c r="E20" s="1001"/>
      <c r="F20" s="483"/>
      <c r="G20" s="483"/>
      <c r="H20" s="483"/>
      <c r="I20" s="904">
        <f>SUM(I18:I19)</f>
        <v>0</v>
      </c>
      <c r="J20" s="94">
        <f aca="true" t="shared" si="1" ref="J20:Q20">SUM(J18:J19)</f>
        <v>0</v>
      </c>
      <c r="K20" s="94">
        <f t="shared" si="1"/>
        <v>0</v>
      </c>
      <c r="L20" s="94">
        <f t="shared" si="1"/>
        <v>0</v>
      </c>
      <c r="M20" s="94">
        <f t="shared" si="1"/>
        <v>0</v>
      </c>
      <c r="N20" s="94">
        <f t="shared" si="1"/>
        <v>0</v>
      </c>
      <c r="O20" s="94">
        <f t="shared" si="1"/>
        <v>0</v>
      </c>
      <c r="P20" s="94">
        <f t="shared" si="1"/>
        <v>0</v>
      </c>
      <c r="Q20" s="95">
        <f t="shared" si="1"/>
        <v>0</v>
      </c>
      <c r="R20" s="286"/>
    </row>
    <row r="21" spans="1:18" s="180" customFormat="1" ht="19.5" customHeight="1">
      <c r="A21" s="282">
        <v>13</v>
      </c>
      <c r="B21" s="181"/>
      <c r="C21" s="182">
        <v>2</v>
      </c>
      <c r="D21" s="561" t="s">
        <v>464</v>
      </c>
      <c r="E21" s="994"/>
      <c r="F21" s="425"/>
      <c r="G21" s="425"/>
      <c r="H21" s="425"/>
      <c r="I21" s="901"/>
      <c r="J21" s="183"/>
      <c r="K21" s="183"/>
      <c r="L21" s="183"/>
      <c r="M21" s="183"/>
      <c r="N21" s="183"/>
      <c r="O21" s="183"/>
      <c r="P21" s="183"/>
      <c r="Q21" s="384"/>
      <c r="R21" s="180">
        <f>(SUM(J22:Q22))-I22</f>
        <v>0</v>
      </c>
    </row>
    <row r="22" spans="1:18" s="90" customFormat="1" ht="15">
      <c r="A22" s="282">
        <v>14</v>
      </c>
      <c r="B22" s="92"/>
      <c r="C22" s="96"/>
      <c r="D22" s="558" t="s">
        <v>1168</v>
      </c>
      <c r="E22" s="999"/>
      <c r="F22" s="480"/>
      <c r="G22" s="480"/>
      <c r="H22" s="480"/>
      <c r="I22" s="1002">
        <f>SUM(J22:Q22)</f>
        <v>792</v>
      </c>
      <c r="J22" s="494">
        <v>618</v>
      </c>
      <c r="K22" s="494">
        <v>83</v>
      </c>
      <c r="L22" s="494">
        <v>91</v>
      </c>
      <c r="M22" s="494"/>
      <c r="N22" s="494"/>
      <c r="O22" s="494"/>
      <c r="P22" s="494"/>
      <c r="Q22" s="1003"/>
      <c r="R22" s="183"/>
    </row>
    <row r="23" spans="1:18" s="91" customFormat="1" ht="15">
      <c r="A23" s="282">
        <v>15</v>
      </c>
      <c r="B23" s="179"/>
      <c r="C23" s="285"/>
      <c r="D23" s="559" t="s">
        <v>1170</v>
      </c>
      <c r="E23" s="498"/>
      <c r="F23" s="486"/>
      <c r="G23" s="486"/>
      <c r="H23" s="480"/>
      <c r="I23" s="1004">
        <f>SUM(J23:Q23)</f>
        <v>0</v>
      </c>
      <c r="Q23" s="157"/>
      <c r="R23" s="184"/>
    </row>
    <row r="24" spans="1:18" s="94" customFormat="1" ht="15">
      <c r="A24" s="282">
        <v>16</v>
      </c>
      <c r="B24" s="383"/>
      <c r="C24" s="93"/>
      <c r="D24" s="560" t="s">
        <v>1169</v>
      </c>
      <c r="E24" s="1001"/>
      <c r="F24" s="483"/>
      <c r="G24" s="483"/>
      <c r="H24" s="483"/>
      <c r="I24" s="904">
        <f>SUM(I22:I23)</f>
        <v>792</v>
      </c>
      <c r="J24" s="94">
        <f aca="true" t="shared" si="2" ref="J24:Q24">SUM(J22:J23)</f>
        <v>618</v>
      </c>
      <c r="K24" s="94">
        <f t="shared" si="2"/>
        <v>83</v>
      </c>
      <c r="L24" s="94">
        <f t="shared" si="2"/>
        <v>91</v>
      </c>
      <c r="M24" s="94">
        <f t="shared" si="2"/>
        <v>0</v>
      </c>
      <c r="N24" s="94">
        <f t="shared" si="2"/>
        <v>0</v>
      </c>
      <c r="O24" s="94">
        <f t="shared" si="2"/>
        <v>0</v>
      </c>
      <c r="P24" s="94">
        <f t="shared" si="2"/>
        <v>0</v>
      </c>
      <c r="Q24" s="95">
        <f t="shared" si="2"/>
        <v>0</v>
      </c>
      <c r="R24" s="286"/>
    </row>
    <row r="25" spans="1:18" s="183" customFormat="1" ht="25.5" customHeight="1">
      <c r="A25" s="282">
        <v>17</v>
      </c>
      <c r="B25" s="181">
        <v>2</v>
      </c>
      <c r="C25" s="182"/>
      <c r="D25" s="188" t="s">
        <v>1186</v>
      </c>
      <c r="E25" s="997" t="s">
        <v>466</v>
      </c>
      <c r="F25" s="425">
        <v>224901</v>
      </c>
      <c r="G25" s="425">
        <v>202218</v>
      </c>
      <c r="H25" s="425">
        <v>228374</v>
      </c>
      <c r="I25" s="901"/>
      <c r="Q25" s="384"/>
      <c r="R25" s="183">
        <f>(SUM(J27:Q27))-I27</f>
        <v>0</v>
      </c>
    </row>
    <row r="26" spans="1:18" s="90" customFormat="1" ht="15">
      <c r="A26" s="282">
        <v>18</v>
      </c>
      <c r="B26" s="92"/>
      <c r="C26" s="96"/>
      <c r="D26" s="97" t="s">
        <v>932</v>
      </c>
      <c r="E26" s="999"/>
      <c r="F26" s="480"/>
      <c r="G26" s="480"/>
      <c r="H26" s="480"/>
      <c r="I26" s="902"/>
      <c r="Q26" s="98"/>
      <c r="R26" s="183">
        <f aca="true" t="shared" si="3" ref="R26:R37">(SUM(J28:Q28))-I28</f>
        <v>0</v>
      </c>
    </row>
    <row r="27" spans="1:18" s="90" customFormat="1" ht="15">
      <c r="A27" s="282">
        <v>19</v>
      </c>
      <c r="B27" s="92"/>
      <c r="C27" s="96"/>
      <c r="D27" s="188" t="s">
        <v>1168</v>
      </c>
      <c r="E27" s="999"/>
      <c r="F27" s="480"/>
      <c r="G27" s="480"/>
      <c r="H27" s="480"/>
      <c r="I27" s="901">
        <f>SUM(J27:Q27)</f>
        <v>291675</v>
      </c>
      <c r="J27" s="183">
        <v>179529</v>
      </c>
      <c r="K27" s="183">
        <v>50573</v>
      </c>
      <c r="L27" s="183">
        <v>60993</v>
      </c>
      <c r="M27" s="183"/>
      <c r="N27" s="183"/>
      <c r="O27" s="183">
        <v>580</v>
      </c>
      <c r="P27" s="183"/>
      <c r="Q27" s="384"/>
      <c r="R27" s="183">
        <f>(SUM(J32:Q32))-I32</f>
        <v>0</v>
      </c>
    </row>
    <row r="28" spans="1:18" s="91" customFormat="1" ht="15">
      <c r="A28" s="282">
        <v>20</v>
      </c>
      <c r="B28" s="179"/>
      <c r="C28" s="285"/>
      <c r="D28" s="409" t="s">
        <v>588</v>
      </c>
      <c r="E28" s="498"/>
      <c r="F28" s="486"/>
      <c r="G28" s="486"/>
      <c r="H28" s="480"/>
      <c r="I28" s="1000">
        <f>SUM(J28:Q28)</f>
        <v>905</v>
      </c>
      <c r="L28" s="91">
        <v>905</v>
      </c>
      <c r="Q28" s="157"/>
      <c r="R28" s="184">
        <f>(SUM(J33:Q33))-I33</f>
        <v>0</v>
      </c>
    </row>
    <row r="29" spans="1:18" s="91" customFormat="1" ht="15">
      <c r="A29" s="282">
        <v>21</v>
      </c>
      <c r="B29" s="179"/>
      <c r="C29" s="285"/>
      <c r="D29" s="409" t="s">
        <v>595</v>
      </c>
      <c r="E29" s="498"/>
      <c r="F29" s="486"/>
      <c r="G29" s="486"/>
      <c r="H29" s="480"/>
      <c r="I29" s="1000">
        <f>SUM(J29:Q29)</f>
        <v>557</v>
      </c>
      <c r="J29" s="91">
        <v>439</v>
      </c>
      <c r="K29" s="91">
        <v>118</v>
      </c>
      <c r="Q29" s="157"/>
      <c r="R29" s="184"/>
    </row>
    <row r="30" spans="1:18" s="91" customFormat="1" ht="15">
      <c r="A30" s="282">
        <v>22</v>
      </c>
      <c r="B30" s="179"/>
      <c r="C30" s="285"/>
      <c r="D30" s="187" t="s">
        <v>633</v>
      </c>
      <c r="E30" s="498"/>
      <c r="F30" s="486"/>
      <c r="G30" s="486"/>
      <c r="H30" s="480"/>
      <c r="I30" s="1000">
        <f>SUM(J30:Q30)</f>
        <v>300</v>
      </c>
      <c r="O30" s="91">
        <v>300</v>
      </c>
      <c r="Q30" s="157"/>
      <c r="R30" s="184"/>
    </row>
    <row r="31" spans="1:18" s="91" customFormat="1" ht="15">
      <c r="A31" s="282">
        <v>23</v>
      </c>
      <c r="B31" s="179"/>
      <c r="C31" s="285"/>
      <c r="D31" s="187" t="s">
        <v>634</v>
      </c>
      <c r="E31" s="498"/>
      <c r="F31" s="486"/>
      <c r="G31" s="486"/>
      <c r="H31" s="480"/>
      <c r="I31" s="1000">
        <f>SUM(J31:Q31)</f>
        <v>300</v>
      </c>
      <c r="O31" s="91">
        <v>300</v>
      </c>
      <c r="Q31" s="157"/>
      <c r="R31" s="184"/>
    </row>
    <row r="32" spans="1:18" s="94" customFormat="1" ht="15">
      <c r="A32" s="282">
        <v>24</v>
      </c>
      <c r="B32" s="383"/>
      <c r="C32" s="93"/>
      <c r="D32" s="185" t="s">
        <v>1169</v>
      </c>
      <c r="E32" s="1001"/>
      <c r="F32" s="483"/>
      <c r="G32" s="483"/>
      <c r="H32" s="483"/>
      <c r="I32" s="904">
        <f>SUM(I27:I31)</f>
        <v>293737</v>
      </c>
      <c r="J32" s="94">
        <f aca="true" t="shared" si="4" ref="J32:Q32">SUM(J27:J31)</f>
        <v>179968</v>
      </c>
      <c r="K32" s="94">
        <f t="shared" si="4"/>
        <v>50691</v>
      </c>
      <c r="L32" s="94">
        <f t="shared" si="4"/>
        <v>61898</v>
      </c>
      <c r="M32" s="94">
        <f t="shared" si="4"/>
        <v>0</v>
      </c>
      <c r="N32" s="94">
        <f t="shared" si="4"/>
        <v>0</v>
      </c>
      <c r="O32" s="94">
        <f t="shared" si="4"/>
        <v>1180</v>
      </c>
      <c r="P32" s="94">
        <f t="shared" si="4"/>
        <v>0</v>
      </c>
      <c r="Q32" s="95">
        <f t="shared" si="4"/>
        <v>0</v>
      </c>
      <c r="R32" s="286">
        <f t="shared" si="3"/>
        <v>0</v>
      </c>
    </row>
    <row r="33" spans="1:18" s="183" customFormat="1" ht="19.5" customHeight="1">
      <c r="A33" s="282">
        <v>25</v>
      </c>
      <c r="B33" s="181"/>
      <c r="C33" s="182">
        <v>1</v>
      </c>
      <c r="D33" s="1388" t="s">
        <v>942</v>
      </c>
      <c r="E33" s="1388"/>
      <c r="F33" s="1388"/>
      <c r="G33" s="1388"/>
      <c r="H33" s="425">
        <v>1010</v>
      </c>
      <c r="I33" s="1005"/>
      <c r="J33" s="286"/>
      <c r="K33" s="286"/>
      <c r="L33" s="286"/>
      <c r="M33" s="286"/>
      <c r="N33" s="286"/>
      <c r="O33" s="286"/>
      <c r="P33" s="286"/>
      <c r="Q33" s="155"/>
      <c r="R33" s="183">
        <f t="shared" si="3"/>
        <v>0</v>
      </c>
    </row>
    <row r="34" spans="1:18" s="90" customFormat="1" ht="15">
      <c r="A34" s="282">
        <v>26</v>
      </c>
      <c r="B34" s="92"/>
      <c r="C34" s="96"/>
      <c r="D34" s="558" t="s">
        <v>1168</v>
      </c>
      <c r="E34" s="999"/>
      <c r="F34" s="480"/>
      <c r="G34" s="480"/>
      <c r="H34" s="480"/>
      <c r="I34" s="1002">
        <f>SUM(J34:Q34)</f>
        <v>0</v>
      </c>
      <c r="J34" s="494"/>
      <c r="K34" s="494"/>
      <c r="L34" s="494"/>
      <c r="M34" s="494"/>
      <c r="N34" s="494"/>
      <c r="O34" s="494"/>
      <c r="P34" s="494"/>
      <c r="Q34" s="1003"/>
      <c r="R34" s="183">
        <f t="shared" si="3"/>
        <v>0</v>
      </c>
    </row>
    <row r="35" spans="1:18" s="91" customFormat="1" ht="15">
      <c r="A35" s="282">
        <v>27</v>
      </c>
      <c r="B35" s="179"/>
      <c r="C35" s="285"/>
      <c r="D35" s="559" t="s">
        <v>1170</v>
      </c>
      <c r="E35" s="498"/>
      <c r="F35" s="486"/>
      <c r="G35" s="486"/>
      <c r="H35" s="480"/>
      <c r="I35" s="1004">
        <f>SUM(J35:Q35)</f>
        <v>0</v>
      </c>
      <c r="Q35" s="157"/>
      <c r="R35" s="184">
        <f t="shared" si="3"/>
        <v>0</v>
      </c>
    </row>
    <row r="36" spans="1:18" s="94" customFormat="1" ht="15">
      <c r="A36" s="282">
        <v>28</v>
      </c>
      <c r="B36" s="383"/>
      <c r="C36" s="93"/>
      <c r="D36" s="560" t="s">
        <v>1169</v>
      </c>
      <c r="E36" s="1001"/>
      <c r="F36" s="483"/>
      <c r="G36" s="483"/>
      <c r="H36" s="483"/>
      <c r="I36" s="904">
        <f>SUM(I34:I35)</f>
        <v>0</v>
      </c>
      <c r="J36" s="94">
        <f aca="true" t="shared" si="5" ref="J36:Q36">SUM(J34:J35)</f>
        <v>0</v>
      </c>
      <c r="K36" s="94">
        <f t="shared" si="5"/>
        <v>0</v>
      </c>
      <c r="L36" s="94">
        <f t="shared" si="5"/>
        <v>0</v>
      </c>
      <c r="M36" s="94">
        <f t="shared" si="5"/>
        <v>0</v>
      </c>
      <c r="N36" s="94">
        <f t="shared" si="5"/>
        <v>0</v>
      </c>
      <c r="O36" s="94">
        <f t="shared" si="5"/>
        <v>0</v>
      </c>
      <c r="P36" s="94">
        <f t="shared" si="5"/>
        <v>0</v>
      </c>
      <c r="Q36" s="95">
        <f t="shared" si="5"/>
        <v>0</v>
      </c>
      <c r="R36" s="286">
        <f t="shared" si="3"/>
        <v>0</v>
      </c>
    </row>
    <row r="37" spans="1:18" s="180" customFormat="1" ht="19.5" customHeight="1">
      <c r="A37" s="282">
        <v>29</v>
      </c>
      <c r="B37" s="181"/>
      <c r="C37" s="182">
        <v>2</v>
      </c>
      <c r="D37" s="561" t="s">
        <v>464</v>
      </c>
      <c r="E37" s="994"/>
      <c r="F37" s="425"/>
      <c r="G37" s="425"/>
      <c r="H37" s="425"/>
      <c r="I37" s="1005"/>
      <c r="J37" s="286"/>
      <c r="K37" s="286"/>
      <c r="L37" s="286"/>
      <c r="M37" s="286"/>
      <c r="N37" s="286"/>
      <c r="O37" s="286"/>
      <c r="P37" s="286"/>
      <c r="Q37" s="155"/>
      <c r="R37" s="183">
        <f t="shared" si="3"/>
        <v>0</v>
      </c>
    </row>
    <row r="38" spans="1:18" s="90" customFormat="1" ht="15">
      <c r="A38" s="282">
        <v>30</v>
      </c>
      <c r="B38" s="92"/>
      <c r="C38" s="96"/>
      <c r="D38" s="558" t="s">
        <v>1168</v>
      </c>
      <c r="E38" s="999"/>
      <c r="F38" s="480"/>
      <c r="G38" s="480"/>
      <c r="H38" s="480"/>
      <c r="I38" s="1002">
        <f>SUM(J38:Q38)</f>
        <v>1053</v>
      </c>
      <c r="J38" s="494">
        <v>928</v>
      </c>
      <c r="K38" s="494">
        <v>125</v>
      </c>
      <c r="L38" s="494"/>
      <c r="M38" s="494"/>
      <c r="N38" s="494"/>
      <c r="O38" s="494"/>
      <c r="P38" s="494"/>
      <c r="Q38" s="1003"/>
      <c r="R38" s="183"/>
    </row>
    <row r="39" spans="1:18" s="91" customFormat="1" ht="15">
      <c r="A39" s="282">
        <v>31</v>
      </c>
      <c r="B39" s="179"/>
      <c r="C39" s="285"/>
      <c r="D39" s="559" t="s">
        <v>1170</v>
      </c>
      <c r="E39" s="498"/>
      <c r="F39" s="486"/>
      <c r="G39" s="486"/>
      <c r="H39" s="480"/>
      <c r="I39" s="1004">
        <f>SUM(J39:Q39)</f>
        <v>0</v>
      </c>
      <c r="Q39" s="157"/>
      <c r="R39" s="184"/>
    </row>
    <row r="40" spans="1:18" s="94" customFormat="1" ht="15">
      <c r="A40" s="282">
        <v>32</v>
      </c>
      <c r="B40" s="383"/>
      <c r="C40" s="93"/>
      <c r="D40" s="560" t="s">
        <v>1169</v>
      </c>
      <c r="E40" s="1001"/>
      <c r="F40" s="483"/>
      <c r="G40" s="483"/>
      <c r="H40" s="483"/>
      <c r="I40" s="904">
        <f>SUM(I38:I39)</f>
        <v>1053</v>
      </c>
      <c r="J40" s="94">
        <f aca="true" t="shared" si="6" ref="J40:Q40">SUM(J38:J39)</f>
        <v>928</v>
      </c>
      <c r="K40" s="94">
        <f t="shared" si="6"/>
        <v>125</v>
      </c>
      <c r="L40" s="94">
        <f t="shared" si="6"/>
        <v>0</v>
      </c>
      <c r="M40" s="94">
        <f t="shared" si="6"/>
        <v>0</v>
      </c>
      <c r="N40" s="94">
        <f t="shared" si="6"/>
        <v>0</v>
      </c>
      <c r="O40" s="94">
        <f t="shared" si="6"/>
        <v>0</v>
      </c>
      <c r="P40" s="94">
        <f t="shared" si="6"/>
        <v>0</v>
      </c>
      <c r="Q40" s="95">
        <f t="shared" si="6"/>
        <v>0</v>
      </c>
      <c r="R40" s="286"/>
    </row>
    <row r="41" spans="1:18" s="183" customFormat="1" ht="25.5" customHeight="1">
      <c r="A41" s="282">
        <v>33</v>
      </c>
      <c r="B41" s="181">
        <v>3</v>
      </c>
      <c r="C41" s="182"/>
      <c r="D41" s="188" t="s">
        <v>1187</v>
      </c>
      <c r="E41" s="997" t="s">
        <v>466</v>
      </c>
      <c r="F41" s="425">
        <v>261724</v>
      </c>
      <c r="G41" s="425">
        <v>221811</v>
      </c>
      <c r="H41" s="425">
        <v>248435</v>
      </c>
      <c r="I41" s="901"/>
      <c r="Q41" s="384"/>
      <c r="R41" s="183">
        <f>(SUM(J43:Q43))-I43</f>
        <v>0</v>
      </c>
    </row>
    <row r="42" spans="1:18" s="90" customFormat="1" ht="15">
      <c r="A42" s="282">
        <v>34</v>
      </c>
      <c r="B42" s="92"/>
      <c r="C42" s="96"/>
      <c r="D42" s="97" t="s">
        <v>933</v>
      </c>
      <c r="E42" s="999"/>
      <c r="F42" s="480"/>
      <c r="G42" s="480"/>
      <c r="H42" s="480"/>
      <c r="I42" s="902"/>
      <c r="Q42" s="98"/>
      <c r="R42" s="90">
        <f>(SUM(J42:Q42))-I42</f>
        <v>0</v>
      </c>
    </row>
    <row r="43" spans="1:18" s="90" customFormat="1" ht="15">
      <c r="A43" s="282">
        <v>35</v>
      </c>
      <c r="B43" s="92"/>
      <c r="C43" s="96"/>
      <c r="D43" s="188" t="s">
        <v>1168</v>
      </c>
      <c r="E43" s="999"/>
      <c r="F43" s="480"/>
      <c r="G43" s="480"/>
      <c r="H43" s="480"/>
      <c r="I43" s="901">
        <f>SUM(J43:Q43)</f>
        <v>327758</v>
      </c>
      <c r="J43" s="183">
        <v>206427</v>
      </c>
      <c r="K43" s="183">
        <v>59229</v>
      </c>
      <c r="L43" s="183">
        <v>59632</v>
      </c>
      <c r="M43" s="183"/>
      <c r="N43" s="183"/>
      <c r="O43" s="183">
        <v>2470</v>
      </c>
      <c r="P43" s="183"/>
      <c r="Q43" s="384"/>
      <c r="R43" s="183"/>
    </row>
    <row r="44" spans="1:18" s="91" customFormat="1" ht="15">
      <c r="A44" s="282">
        <v>36</v>
      </c>
      <c r="B44" s="179"/>
      <c r="C44" s="285"/>
      <c r="D44" s="409" t="s">
        <v>588</v>
      </c>
      <c r="E44" s="498"/>
      <c r="F44" s="486"/>
      <c r="G44" s="486"/>
      <c r="H44" s="480"/>
      <c r="I44" s="1000">
        <f>SUM(J44:Q44)</f>
        <v>1950</v>
      </c>
      <c r="L44" s="91">
        <v>1950</v>
      </c>
      <c r="Q44" s="157"/>
      <c r="R44" s="184"/>
    </row>
    <row r="45" spans="1:18" s="91" customFormat="1" ht="15">
      <c r="A45" s="282">
        <v>37</v>
      </c>
      <c r="B45" s="179"/>
      <c r="C45" s="285"/>
      <c r="D45" s="409" t="s">
        <v>595</v>
      </c>
      <c r="E45" s="498"/>
      <c r="F45" s="486"/>
      <c r="G45" s="486"/>
      <c r="H45" s="480"/>
      <c r="I45" s="1000">
        <f>SUM(J45:Q45)</f>
        <v>397</v>
      </c>
      <c r="J45" s="91">
        <v>313</v>
      </c>
      <c r="K45" s="91">
        <v>84</v>
      </c>
      <c r="Q45" s="157"/>
      <c r="R45" s="184"/>
    </row>
    <row r="46" spans="1:18" s="91" customFormat="1" ht="15">
      <c r="A46" s="282">
        <v>38</v>
      </c>
      <c r="B46" s="179"/>
      <c r="C46" s="285"/>
      <c r="D46" s="409" t="s">
        <v>635</v>
      </c>
      <c r="E46" s="498"/>
      <c r="F46" s="486"/>
      <c r="G46" s="486"/>
      <c r="H46" s="480"/>
      <c r="I46" s="1000">
        <f>SUM(J46:Q46)</f>
        <v>300</v>
      </c>
      <c r="L46" s="91">
        <v>300</v>
      </c>
      <c r="Q46" s="157"/>
      <c r="R46" s="184"/>
    </row>
    <row r="47" spans="1:18" s="91" customFormat="1" ht="15">
      <c r="A47" s="282">
        <v>39</v>
      </c>
      <c r="B47" s="179"/>
      <c r="C47" s="285"/>
      <c r="D47" s="409" t="s">
        <v>636</v>
      </c>
      <c r="E47" s="498"/>
      <c r="F47" s="486"/>
      <c r="G47" s="486"/>
      <c r="H47" s="480"/>
      <c r="I47" s="1000">
        <f>SUM(J47:Q47)</f>
        <v>232</v>
      </c>
      <c r="L47" s="91">
        <v>232</v>
      </c>
      <c r="Q47" s="157"/>
      <c r="R47" s="184"/>
    </row>
    <row r="48" spans="1:18" s="94" customFormat="1" ht="15">
      <c r="A48" s="282">
        <v>40</v>
      </c>
      <c r="B48" s="383"/>
      <c r="C48" s="93"/>
      <c r="D48" s="185" t="s">
        <v>1169</v>
      </c>
      <c r="E48" s="1001"/>
      <c r="F48" s="483"/>
      <c r="G48" s="483"/>
      <c r="H48" s="483"/>
      <c r="I48" s="904">
        <f>SUM(I43:I47)</f>
        <v>330637</v>
      </c>
      <c r="J48" s="94">
        <f aca="true" t="shared" si="7" ref="J48:Q48">SUM(J43:J47)</f>
        <v>206740</v>
      </c>
      <c r="K48" s="94">
        <f t="shared" si="7"/>
        <v>59313</v>
      </c>
      <c r="L48" s="94">
        <f>SUM(L43:L47)</f>
        <v>62114</v>
      </c>
      <c r="M48" s="94">
        <f t="shared" si="7"/>
        <v>0</v>
      </c>
      <c r="N48" s="94">
        <f t="shared" si="7"/>
        <v>0</v>
      </c>
      <c r="O48" s="94">
        <f t="shared" si="7"/>
        <v>2470</v>
      </c>
      <c r="P48" s="94">
        <f t="shared" si="7"/>
        <v>0</v>
      </c>
      <c r="Q48" s="95">
        <f t="shared" si="7"/>
        <v>0</v>
      </c>
      <c r="R48" s="286"/>
    </row>
    <row r="49" spans="1:17" s="183" customFormat="1" ht="15">
      <c r="A49" s="282">
        <v>41</v>
      </c>
      <c r="B49" s="181"/>
      <c r="C49" s="182">
        <v>1</v>
      </c>
      <c r="D49" s="1388" t="s">
        <v>942</v>
      </c>
      <c r="E49" s="1388"/>
      <c r="F49" s="1388"/>
      <c r="G49" s="1388"/>
      <c r="H49" s="425">
        <v>281</v>
      </c>
      <c r="I49" s="901"/>
      <c r="Q49" s="384"/>
    </row>
    <row r="50" spans="1:18" s="90" customFormat="1" ht="15">
      <c r="A50" s="282">
        <v>42</v>
      </c>
      <c r="B50" s="92"/>
      <c r="C50" s="96"/>
      <c r="D50" s="558" t="s">
        <v>1168</v>
      </c>
      <c r="E50" s="999"/>
      <c r="F50" s="480"/>
      <c r="G50" s="480"/>
      <c r="H50" s="480"/>
      <c r="I50" s="1002">
        <f>SUM(J50:Q50)</f>
        <v>0</v>
      </c>
      <c r="J50" s="494"/>
      <c r="K50" s="494"/>
      <c r="L50" s="494"/>
      <c r="M50" s="494"/>
      <c r="N50" s="494"/>
      <c r="O50" s="494"/>
      <c r="P50" s="494"/>
      <c r="Q50" s="1003"/>
      <c r="R50" s="183"/>
    </row>
    <row r="51" spans="1:18" s="91" customFormat="1" ht="15">
      <c r="A51" s="282">
        <v>43</v>
      </c>
      <c r="B51" s="179"/>
      <c r="C51" s="285"/>
      <c r="D51" s="559" t="s">
        <v>1170</v>
      </c>
      <c r="E51" s="498"/>
      <c r="F51" s="486"/>
      <c r="G51" s="486"/>
      <c r="H51" s="480"/>
      <c r="I51" s="1004">
        <f>SUM(J51:Q51)</f>
        <v>0</v>
      </c>
      <c r="Q51" s="157"/>
      <c r="R51" s="184"/>
    </row>
    <row r="52" spans="1:18" s="94" customFormat="1" ht="15">
      <c r="A52" s="282">
        <v>44</v>
      </c>
      <c r="B52" s="383"/>
      <c r="C52" s="93"/>
      <c r="D52" s="560" t="s">
        <v>1169</v>
      </c>
      <c r="E52" s="1001"/>
      <c r="F52" s="483"/>
      <c r="G52" s="483"/>
      <c r="H52" s="483"/>
      <c r="I52" s="904">
        <f>SUM(I50:I51)</f>
        <v>0</v>
      </c>
      <c r="J52" s="94">
        <f aca="true" t="shared" si="8" ref="J52:Q52">SUM(J50:J51)</f>
        <v>0</v>
      </c>
      <c r="K52" s="94">
        <f t="shared" si="8"/>
        <v>0</v>
      </c>
      <c r="L52" s="94">
        <f t="shared" si="8"/>
        <v>0</v>
      </c>
      <c r="M52" s="94">
        <f t="shared" si="8"/>
        <v>0</v>
      </c>
      <c r="N52" s="94">
        <f t="shared" si="8"/>
        <v>0</v>
      </c>
      <c r="O52" s="94">
        <f t="shared" si="8"/>
        <v>0</v>
      </c>
      <c r="P52" s="94">
        <f t="shared" si="8"/>
        <v>0</v>
      </c>
      <c r="Q52" s="95">
        <f t="shared" si="8"/>
        <v>0</v>
      </c>
      <c r="R52" s="286"/>
    </row>
    <row r="53" spans="1:18" s="180" customFormat="1" ht="15">
      <c r="A53" s="282">
        <v>45</v>
      </c>
      <c r="B53" s="181"/>
      <c r="C53" s="182">
        <v>2</v>
      </c>
      <c r="D53" s="561" t="s">
        <v>464</v>
      </c>
      <c r="E53" s="994"/>
      <c r="F53" s="425"/>
      <c r="G53" s="425"/>
      <c r="H53" s="425"/>
      <c r="I53" s="1005"/>
      <c r="J53" s="286"/>
      <c r="K53" s="286"/>
      <c r="L53" s="286"/>
      <c r="M53" s="286"/>
      <c r="N53" s="286"/>
      <c r="O53" s="286"/>
      <c r="P53" s="286"/>
      <c r="Q53" s="155"/>
      <c r="R53" s="180">
        <f>(SUM(J54:Q54))-I54</f>
        <v>0</v>
      </c>
    </row>
    <row r="54" spans="1:18" s="90" customFormat="1" ht="15">
      <c r="A54" s="282">
        <v>46</v>
      </c>
      <c r="B54" s="92"/>
      <c r="C54" s="96"/>
      <c r="D54" s="558" t="s">
        <v>1168</v>
      </c>
      <c r="E54" s="999"/>
      <c r="F54" s="480"/>
      <c r="G54" s="480"/>
      <c r="H54" s="480"/>
      <c r="I54" s="1002">
        <f>SUM(J54:Q54)</f>
        <v>2317</v>
      </c>
      <c r="J54" s="494">
        <v>1855</v>
      </c>
      <c r="K54" s="494">
        <v>250</v>
      </c>
      <c r="L54" s="494">
        <v>212</v>
      </c>
      <c r="M54" s="494"/>
      <c r="N54" s="494"/>
      <c r="O54" s="494"/>
      <c r="P54" s="494"/>
      <c r="Q54" s="1003"/>
      <c r="R54" s="183"/>
    </row>
    <row r="55" spans="1:18" s="91" customFormat="1" ht="15">
      <c r="A55" s="282">
        <v>47</v>
      </c>
      <c r="B55" s="179"/>
      <c r="C55" s="285"/>
      <c r="D55" s="559" t="s">
        <v>1170</v>
      </c>
      <c r="E55" s="498"/>
      <c r="F55" s="486"/>
      <c r="G55" s="486"/>
      <c r="H55" s="480"/>
      <c r="I55" s="1004">
        <f>SUM(J55:Q55)</f>
        <v>0</v>
      </c>
      <c r="Q55" s="157"/>
      <c r="R55" s="184"/>
    </row>
    <row r="56" spans="1:18" s="94" customFormat="1" ht="15">
      <c r="A56" s="282">
        <v>48</v>
      </c>
      <c r="B56" s="383"/>
      <c r="C56" s="93"/>
      <c r="D56" s="560" t="s">
        <v>1169</v>
      </c>
      <c r="E56" s="1001"/>
      <c r="F56" s="483"/>
      <c r="G56" s="483"/>
      <c r="H56" s="483"/>
      <c r="I56" s="904">
        <f>SUM(I54:I55)</f>
        <v>2317</v>
      </c>
      <c r="J56" s="94">
        <f aca="true" t="shared" si="9" ref="J56:Q56">SUM(J54:J55)</f>
        <v>1855</v>
      </c>
      <c r="K56" s="94">
        <f t="shared" si="9"/>
        <v>250</v>
      </c>
      <c r="L56" s="94">
        <f t="shared" si="9"/>
        <v>212</v>
      </c>
      <c r="M56" s="94">
        <f t="shared" si="9"/>
        <v>0</v>
      </c>
      <c r="N56" s="94">
        <f t="shared" si="9"/>
        <v>0</v>
      </c>
      <c r="O56" s="94">
        <f t="shared" si="9"/>
        <v>0</v>
      </c>
      <c r="P56" s="94">
        <f t="shared" si="9"/>
        <v>0</v>
      </c>
      <c r="Q56" s="95">
        <f t="shared" si="9"/>
        <v>0</v>
      </c>
      <c r="R56" s="286"/>
    </row>
    <row r="57" spans="1:18" s="183" customFormat="1" ht="27.75" customHeight="1">
      <c r="A57" s="282">
        <v>49</v>
      </c>
      <c r="B57" s="181">
        <v>4</v>
      </c>
      <c r="C57" s="182"/>
      <c r="D57" s="188" t="s">
        <v>1188</v>
      </c>
      <c r="E57" s="997" t="s">
        <v>466</v>
      </c>
      <c r="F57" s="425">
        <v>201679</v>
      </c>
      <c r="G57" s="425">
        <v>171080</v>
      </c>
      <c r="H57" s="425">
        <v>189834</v>
      </c>
      <c r="I57" s="901"/>
      <c r="Q57" s="384"/>
      <c r="R57" s="183">
        <f>(SUM(J59:Q59))-I59</f>
        <v>0</v>
      </c>
    </row>
    <row r="58" spans="1:18" s="90" customFormat="1" ht="15">
      <c r="A58" s="282">
        <v>50</v>
      </c>
      <c r="B58" s="92"/>
      <c r="C58" s="96"/>
      <c r="D58" s="97" t="s">
        <v>934</v>
      </c>
      <c r="E58" s="999"/>
      <c r="F58" s="480"/>
      <c r="G58" s="480"/>
      <c r="H58" s="480"/>
      <c r="I58" s="902"/>
      <c r="Q58" s="98"/>
      <c r="R58" s="90">
        <f>(SUM(J58:Q58))-I58</f>
        <v>0</v>
      </c>
    </row>
    <row r="59" spans="1:18" s="90" customFormat="1" ht="15">
      <c r="A59" s="282">
        <v>51</v>
      </c>
      <c r="B59" s="92"/>
      <c r="C59" s="96"/>
      <c r="D59" s="188" t="s">
        <v>1168</v>
      </c>
      <c r="E59" s="999"/>
      <c r="F59" s="480"/>
      <c r="G59" s="480"/>
      <c r="H59" s="480"/>
      <c r="I59" s="901">
        <f>SUM(J59:Q59)</f>
        <v>240673</v>
      </c>
      <c r="J59" s="183">
        <v>144146</v>
      </c>
      <c r="K59" s="183">
        <v>42101</v>
      </c>
      <c r="L59" s="183">
        <v>49249</v>
      </c>
      <c r="M59" s="183"/>
      <c r="N59" s="183"/>
      <c r="O59" s="183">
        <v>5177</v>
      </c>
      <c r="P59" s="183"/>
      <c r="Q59" s="384"/>
      <c r="R59" s="183"/>
    </row>
    <row r="60" spans="1:18" s="91" customFormat="1" ht="15">
      <c r="A60" s="282">
        <v>52</v>
      </c>
      <c r="B60" s="179"/>
      <c r="C60" s="285"/>
      <c r="D60" s="409" t="s">
        <v>588</v>
      </c>
      <c r="E60" s="498"/>
      <c r="F60" s="486"/>
      <c r="G60" s="486"/>
      <c r="H60" s="480"/>
      <c r="I60" s="1000">
        <f>SUM(J60:Q60)</f>
        <v>78</v>
      </c>
      <c r="L60" s="91">
        <v>78</v>
      </c>
      <c r="Q60" s="157"/>
      <c r="R60" s="184"/>
    </row>
    <row r="61" spans="1:18" s="91" customFormat="1" ht="15">
      <c r="A61" s="282">
        <v>53</v>
      </c>
      <c r="B61" s="179"/>
      <c r="C61" s="285"/>
      <c r="D61" s="409" t="s">
        <v>595</v>
      </c>
      <c r="E61" s="498"/>
      <c r="F61" s="486"/>
      <c r="G61" s="486"/>
      <c r="H61" s="480"/>
      <c r="I61" s="1000">
        <f>SUM(J61:Q61)</f>
        <v>267</v>
      </c>
      <c r="J61" s="91">
        <v>210</v>
      </c>
      <c r="K61" s="91">
        <v>57</v>
      </c>
      <c r="Q61" s="157"/>
      <c r="R61" s="184"/>
    </row>
    <row r="62" spans="1:18" s="91" customFormat="1" ht="15">
      <c r="A62" s="282">
        <v>54</v>
      </c>
      <c r="B62" s="179"/>
      <c r="C62" s="285"/>
      <c r="D62" s="409" t="s">
        <v>661</v>
      </c>
      <c r="E62" s="498"/>
      <c r="F62" s="486"/>
      <c r="G62" s="486"/>
      <c r="H62" s="480"/>
      <c r="I62" s="1000">
        <f>SUM(J62:Q62)</f>
        <v>295</v>
      </c>
      <c r="L62" s="91">
        <v>295</v>
      </c>
      <c r="Q62" s="157"/>
      <c r="R62" s="184"/>
    </row>
    <row r="63" spans="1:18" s="91" customFormat="1" ht="15">
      <c r="A63" s="282">
        <v>55</v>
      </c>
      <c r="B63" s="179"/>
      <c r="C63" s="285"/>
      <c r="D63" s="409" t="s">
        <v>638</v>
      </c>
      <c r="E63" s="498"/>
      <c r="F63" s="486"/>
      <c r="G63" s="486"/>
      <c r="H63" s="480"/>
      <c r="I63" s="1000">
        <f>SUM(J63:Q63)</f>
        <v>200</v>
      </c>
      <c r="L63" s="91">
        <v>200</v>
      </c>
      <c r="Q63" s="157"/>
      <c r="R63" s="184"/>
    </row>
    <row r="64" spans="1:18" s="94" customFormat="1" ht="15">
      <c r="A64" s="282">
        <v>56</v>
      </c>
      <c r="B64" s="383"/>
      <c r="C64" s="93"/>
      <c r="D64" s="185" t="s">
        <v>1169</v>
      </c>
      <c r="E64" s="1001"/>
      <c r="F64" s="483"/>
      <c r="G64" s="483"/>
      <c r="H64" s="483"/>
      <c r="I64" s="904">
        <f aca="true" t="shared" si="10" ref="I64:Q64">SUM(I59:I63)</f>
        <v>241513</v>
      </c>
      <c r="J64" s="94">
        <f t="shared" si="10"/>
        <v>144356</v>
      </c>
      <c r="K64" s="94">
        <f t="shared" si="10"/>
        <v>42158</v>
      </c>
      <c r="L64" s="94">
        <f t="shared" si="10"/>
        <v>49822</v>
      </c>
      <c r="M64" s="94">
        <f t="shared" si="10"/>
        <v>0</v>
      </c>
      <c r="N64" s="94">
        <f t="shared" si="10"/>
        <v>0</v>
      </c>
      <c r="O64" s="94">
        <f t="shared" si="10"/>
        <v>5177</v>
      </c>
      <c r="P64" s="94">
        <f t="shared" si="10"/>
        <v>0</v>
      </c>
      <c r="Q64" s="95">
        <f t="shared" si="10"/>
        <v>0</v>
      </c>
      <c r="R64" s="286"/>
    </row>
    <row r="65" spans="1:17" s="183" customFormat="1" ht="15">
      <c r="A65" s="282">
        <v>57</v>
      </c>
      <c r="B65" s="181"/>
      <c r="C65" s="182">
        <v>1</v>
      </c>
      <c r="D65" s="1388" t="s">
        <v>942</v>
      </c>
      <c r="E65" s="1388"/>
      <c r="F65" s="1388"/>
      <c r="G65" s="1388"/>
      <c r="H65" s="425">
        <v>264</v>
      </c>
      <c r="I65" s="901"/>
      <c r="Q65" s="384"/>
    </row>
    <row r="66" spans="1:18" s="90" customFormat="1" ht="15">
      <c r="A66" s="282">
        <v>58</v>
      </c>
      <c r="B66" s="92"/>
      <c r="C66" s="96"/>
      <c r="D66" s="558" t="s">
        <v>1168</v>
      </c>
      <c r="E66" s="999"/>
      <c r="F66" s="480"/>
      <c r="G66" s="480"/>
      <c r="H66" s="480"/>
      <c r="I66" s="1002">
        <f>SUM(J66:Q66)</f>
        <v>0</v>
      </c>
      <c r="J66" s="494"/>
      <c r="K66" s="494"/>
      <c r="L66" s="494"/>
      <c r="M66" s="494"/>
      <c r="N66" s="494"/>
      <c r="O66" s="494"/>
      <c r="P66" s="494"/>
      <c r="Q66" s="1003"/>
      <c r="R66" s="183"/>
    </row>
    <row r="67" spans="1:18" s="91" customFormat="1" ht="15">
      <c r="A67" s="282">
        <v>59</v>
      </c>
      <c r="B67" s="179"/>
      <c r="C67" s="285"/>
      <c r="D67" s="559" t="s">
        <v>1170</v>
      </c>
      <c r="E67" s="498"/>
      <c r="F67" s="486"/>
      <c r="G67" s="486"/>
      <c r="H67" s="480"/>
      <c r="I67" s="903"/>
      <c r="Q67" s="157"/>
      <c r="R67" s="184"/>
    </row>
    <row r="68" spans="1:18" s="94" customFormat="1" ht="15">
      <c r="A68" s="282">
        <v>60</v>
      </c>
      <c r="B68" s="383"/>
      <c r="C68" s="93"/>
      <c r="D68" s="560" t="s">
        <v>1169</v>
      </c>
      <c r="E68" s="1001"/>
      <c r="F68" s="483"/>
      <c r="G68" s="483"/>
      <c r="H68" s="483"/>
      <c r="I68" s="904">
        <f>SUM(I66:I67)</f>
        <v>0</v>
      </c>
      <c r="J68" s="94">
        <f aca="true" t="shared" si="11" ref="J68:Q68">SUM(J66:J67)</f>
        <v>0</v>
      </c>
      <c r="K68" s="94">
        <f t="shared" si="11"/>
        <v>0</v>
      </c>
      <c r="L68" s="94">
        <f t="shared" si="11"/>
        <v>0</v>
      </c>
      <c r="M68" s="94">
        <f t="shared" si="11"/>
        <v>0</v>
      </c>
      <c r="N68" s="94">
        <f t="shared" si="11"/>
        <v>0</v>
      </c>
      <c r="O68" s="94">
        <f t="shared" si="11"/>
        <v>0</v>
      </c>
      <c r="P68" s="94">
        <f t="shared" si="11"/>
        <v>0</v>
      </c>
      <c r="Q68" s="95">
        <f t="shared" si="11"/>
        <v>0</v>
      </c>
      <c r="R68" s="286"/>
    </row>
    <row r="69" spans="1:18" s="183" customFormat="1" ht="15">
      <c r="A69" s="282">
        <v>61</v>
      </c>
      <c r="B69" s="181"/>
      <c r="C69" s="182">
        <v>2</v>
      </c>
      <c r="D69" s="1388" t="s">
        <v>464</v>
      </c>
      <c r="E69" s="1388"/>
      <c r="F69" s="1388"/>
      <c r="G69" s="1388"/>
      <c r="H69" s="425"/>
      <c r="I69" s="901"/>
      <c r="Q69" s="384"/>
      <c r="R69" s="183">
        <f>(SUM(J70:Q70))-I70</f>
        <v>0</v>
      </c>
    </row>
    <row r="70" spans="1:18" s="90" customFormat="1" ht="15">
      <c r="A70" s="282">
        <v>62</v>
      </c>
      <c r="B70" s="92"/>
      <c r="C70" s="96"/>
      <c r="D70" s="558" t="s">
        <v>1168</v>
      </c>
      <c r="E70" s="999"/>
      <c r="F70" s="480"/>
      <c r="G70" s="480"/>
      <c r="H70" s="480"/>
      <c r="I70" s="1002">
        <f>SUM(J70:Q70)</f>
        <v>1518</v>
      </c>
      <c r="J70" s="494">
        <v>1237</v>
      </c>
      <c r="K70" s="494">
        <v>167</v>
      </c>
      <c r="L70" s="494">
        <v>114</v>
      </c>
      <c r="M70" s="494"/>
      <c r="N70" s="494"/>
      <c r="O70" s="494"/>
      <c r="P70" s="494"/>
      <c r="Q70" s="1003"/>
      <c r="R70" s="183"/>
    </row>
    <row r="71" spans="1:18" s="91" customFormat="1" ht="15">
      <c r="A71" s="282">
        <v>63</v>
      </c>
      <c r="B71" s="179"/>
      <c r="C71" s="285"/>
      <c r="D71" s="559" t="s">
        <v>1170</v>
      </c>
      <c r="E71" s="498"/>
      <c r="F71" s="486"/>
      <c r="G71" s="486"/>
      <c r="H71" s="480"/>
      <c r="I71" s="903"/>
      <c r="Q71" s="157"/>
      <c r="R71" s="184"/>
    </row>
    <row r="72" spans="1:18" s="94" customFormat="1" ht="15">
      <c r="A72" s="282">
        <v>64</v>
      </c>
      <c r="B72" s="383"/>
      <c r="C72" s="93"/>
      <c r="D72" s="560" t="s">
        <v>1169</v>
      </c>
      <c r="E72" s="1001"/>
      <c r="F72" s="483"/>
      <c r="G72" s="483"/>
      <c r="H72" s="483"/>
      <c r="I72" s="904">
        <f>SUM(I70:I71)</f>
        <v>1518</v>
      </c>
      <c r="J72" s="94">
        <f aca="true" t="shared" si="12" ref="J72:Q72">SUM(J70:J71)</f>
        <v>1237</v>
      </c>
      <c r="K72" s="94">
        <f t="shared" si="12"/>
        <v>167</v>
      </c>
      <c r="L72" s="94">
        <f t="shared" si="12"/>
        <v>114</v>
      </c>
      <c r="M72" s="94">
        <f t="shared" si="12"/>
        <v>0</v>
      </c>
      <c r="N72" s="94">
        <f t="shared" si="12"/>
        <v>0</v>
      </c>
      <c r="O72" s="94">
        <f t="shared" si="12"/>
        <v>0</v>
      </c>
      <c r="P72" s="94">
        <f t="shared" si="12"/>
        <v>0</v>
      </c>
      <c r="Q72" s="95">
        <f t="shared" si="12"/>
        <v>0</v>
      </c>
      <c r="R72" s="286"/>
    </row>
    <row r="73" spans="1:18" s="183" customFormat="1" ht="27.75" customHeight="1">
      <c r="A73" s="282">
        <v>65</v>
      </c>
      <c r="B73" s="181">
        <v>5</v>
      </c>
      <c r="C73" s="182"/>
      <c r="D73" s="188" t="s">
        <v>1189</v>
      </c>
      <c r="E73" s="997" t="s">
        <v>466</v>
      </c>
      <c r="F73" s="425">
        <v>225500</v>
      </c>
      <c r="G73" s="425">
        <v>200745</v>
      </c>
      <c r="H73" s="425">
        <v>222369</v>
      </c>
      <c r="I73" s="901"/>
      <c r="Q73" s="384"/>
      <c r="R73" s="183">
        <f>(SUM(J75:Q75))-I75</f>
        <v>0</v>
      </c>
    </row>
    <row r="74" spans="1:18" s="90" customFormat="1" ht="15">
      <c r="A74" s="282">
        <v>66</v>
      </c>
      <c r="B74" s="92"/>
      <c r="C74" s="96"/>
      <c r="D74" s="97" t="s">
        <v>935</v>
      </c>
      <c r="E74" s="999"/>
      <c r="F74" s="480"/>
      <c r="G74" s="480"/>
      <c r="H74" s="480"/>
      <c r="I74" s="902"/>
      <c r="Q74" s="98"/>
      <c r="R74" s="90">
        <f>(SUM(J74:Q74))-I74</f>
        <v>0</v>
      </c>
    </row>
    <row r="75" spans="1:18" s="90" customFormat="1" ht="15">
      <c r="A75" s="282">
        <v>67</v>
      </c>
      <c r="B75" s="92"/>
      <c r="C75" s="96"/>
      <c r="D75" s="188" t="s">
        <v>1168</v>
      </c>
      <c r="E75" s="999"/>
      <c r="F75" s="480"/>
      <c r="G75" s="480"/>
      <c r="H75" s="480"/>
      <c r="I75" s="901">
        <f>SUM(J75:Q75)</f>
        <v>294881</v>
      </c>
      <c r="J75" s="183">
        <v>160921</v>
      </c>
      <c r="K75" s="183">
        <v>46152</v>
      </c>
      <c r="L75" s="183">
        <v>85958</v>
      </c>
      <c r="M75" s="183"/>
      <c r="N75" s="183"/>
      <c r="O75" s="183">
        <v>1850</v>
      </c>
      <c r="P75" s="183"/>
      <c r="Q75" s="384"/>
      <c r="R75" s="183"/>
    </row>
    <row r="76" spans="1:18" s="91" customFormat="1" ht="15">
      <c r="A76" s="282">
        <v>68</v>
      </c>
      <c r="B76" s="179"/>
      <c r="C76" s="285"/>
      <c r="D76" s="409" t="s">
        <v>588</v>
      </c>
      <c r="E76" s="498"/>
      <c r="F76" s="486"/>
      <c r="G76" s="486"/>
      <c r="H76" s="480"/>
      <c r="I76" s="1000">
        <f>SUM(J76:Q76)</f>
        <v>3695</v>
      </c>
      <c r="J76" s="91">
        <v>1714</v>
      </c>
      <c r="K76" s="91">
        <v>463</v>
      </c>
      <c r="L76" s="91">
        <v>1518</v>
      </c>
      <c r="Q76" s="157"/>
      <c r="R76" s="184"/>
    </row>
    <row r="77" spans="1:18" s="91" customFormat="1" ht="15">
      <c r="A77" s="282">
        <v>69</v>
      </c>
      <c r="B77" s="179"/>
      <c r="C77" s="285"/>
      <c r="D77" s="409" t="s">
        <v>595</v>
      </c>
      <c r="E77" s="498"/>
      <c r="F77" s="486"/>
      <c r="G77" s="486"/>
      <c r="H77" s="480"/>
      <c r="I77" s="1000">
        <f>SUM(J77:Q77)</f>
        <v>442</v>
      </c>
      <c r="J77" s="91">
        <v>348</v>
      </c>
      <c r="K77" s="91">
        <v>94</v>
      </c>
      <c r="Q77" s="157"/>
      <c r="R77" s="184"/>
    </row>
    <row r="78" spans="1:18" s="94" customFormat="1" ht="15">
      <c r="A78" s="282">
        <v>70</v>
      </c>
      <c r="B78" s="383"/>
      <c r="C78" s="93"/>
      <c r="D78" s="185" t="s">
        <v>1169</v>
      </c>
      <c r="E78" s="1001"/>
      <c r="F78" s="483"/>
      <c r="G78" s="483"/>
      <c r="H78" s="483"/>
      <c r="I78" s="904">
        <f aca="true" t="shared" si="13" ref="I78:Q78">SUM(I75:I77)</f>
        <v>299018</v>
      </c>
      <c r="J78" s="94">
        <f t="shared" si="13"/>
        <v>162983</v>
      </c>
      <c r="K78" s="94">
        <f t="shared" si="13"/>
        <v>46709</v>
      </c>
      <c r="L78" s="94">
        <f t="shared" si="13"/>
        <v>87476</v>
      </c>
      <c r="M78" s="94">
        <f t="shared" si="13"/>
        <v>0</v>
      </c>
      <c r="N78" s="94">
        <f t="shared" si="13"/>
        <v>0</v>
      </c>
      <c r="O78" s="94">
        <f t="shared" si="13"/>
        <v>1850</v>
      </c>
      <c r="P78" s="94">
        <f t="shared" si="13"/>
        <v>0</v>
      </c>
      <c r="Q78" s="95">
        <f t="shared" si="13"/>
        <v>0</v>
      </c>
      <c r="R78" s="286"/>
    </row>
    <row r="79" spans="1:17" s="183" customFormat="1" ht="15">
      <c r="A79" s="282">
        <v>71</v>
      </c>
      <c r="B79" s="181"/>
      <c r="C79" s="182">
        <v>1</v>
      </c>
      <c r="D79" s="1388" t="s">
        <v>942</v>
      </c>
      <c r="E79" s="1388"/>
      <c r="F79" s="1388"/>
      <c r="G79" s="1388"/>
      <c r="H79" s="425">
        <v>271</v>
      </c>
      <c r="I79" s="901"/>
      <c r="Q79" s="384"/>
    </row>
    <row r="80" spans="1:18" s="90" customFormat="1" ht="15">
      <c r="A80" s="282">
        <v>72</v>
      </c>
      <c r="B80" s="92"/>
      <c r="C80" s="96"/>
      <c r="D80" s="558" t="s">
        <v>1168</v>
      </c>
      <c r="E80" s="999"/>
      <c r="F80" s="480"/>
      <c r="G80" s="480"/>
      <c r="H80" s="480"/>
      <c r="I80" s="1002">
        <f>SUM(J80:Q80)</f>
        <v>0</v>
      </c>
      <c r="J80" s="494"/>
      <c r="K80" s="494"/>
      <c r="L80" s="494"/>
      <c r="M80" s="494"/>
      <c r="N80" s="494"/>
      <c r="O80" s="494"/>
      <c r="P80" s="494"/>
      <c r="Q80" s="1003"/>
      <c r="R80" s="183"/>
    </row>
    <row r="81" spans="1:18" s="91" customFormat="1" ht="15">
      <c r="A81" s="282">
        <v>73</v>
      </c>
      <c r="B81" s="179"/>
      <c r="C81" s="285"/>
      <c r="D81" s="559" t="s">
        <v>1170</v>
      </c>
      <c r="E81" s="498"/>
      <c r="F81" s="486"/>
      <c r="G81" s="486"/>
      <c r="H81" s="480"/>
      <c r="I81" s="903"/>
      <c r="Q81" s="157"/>
      <c r="R81" s="184"/>
    </row>
    <row r="82" spans="1:18" s="94" customFormat="1" ht="15">
      <c r="A82" s="282">
        <v>74</v>
      </c>
      <c r="B82" s="383"/>
      <c r="C82" s="93"/>
      <c r="D82" s="560" t="s">
        <v>1169</v>
      </c>
      <c r="E82" s="1001"/>
      <c r="F82" s="483"/>
      <c r="G82" s="483"/>
      <c r="H82" s="483"/>
      <c r="I82" s="904">
        <f>SUM(I80:I81)</f>
        <v>0</v>
      </c>
      <c r="J82" s="94">
        <f aca="true" t="shared" si="14" ref="J82:Q82">SUM(J80:J81)</f>
        <v>0</v>
      </c>
      <c r="K82" s="94">
        <f t="shared" si="14"/>
        <v>0</v>
      </c>
      <c r="L82" s="94">
        <f t="shared" si="14"/>
        <v>0</v>
      </c>
      <c r="M82" s="94">
        <f t="shared" si="14"/>
        <v>0</v>
      </c>
      <c r="N82" s="94">
        <f t="shared" si="14"/>
        <v>0</v>
      </c>
      <c r="O82" s="94">
        <f t="shared" si="14"/>
        <v>0</v>
      </c>
      <c r="P82" s="94">
        <f t="shared" si="14"/>
        <v>0</v>
      </c>
      <c r="Q82" s="95">
        <f t="shared" si="14"/>
        <v>0</v>
      </c>
      <c r="R82" s="286"/>
    </row>
    <row r="83" spans="1:18" s="183" customFormat="1" ht="15">
      <c r="A83" s="282">
        <v>75</v>
      </c>
      <c r="B83" s="181"/>
      <c r="C83" s="182">
        <v>2</v>
      </c>
      <c r="D83" s="1388" t="s">
        <v>464</v>
      </c>
      <c r="E83" s="1388"/>
      <c r="F83" s="1388"/>
      <c r="G83" s="1388"/>
      <c r="H83" s="425"/>
      <c r="I83" s="901"/>
      <c r="Q83" s="384"/>
      <c r="R83" s="183">
        <f>(SUM(J84:Q84))-I84</f>
        <v>0</v>
      </c>
    </row>
    <row r="84" spans="1:18" s="90" customFormat="1" ht="15">
      <c r="A84" s="282">
        <v>76</v>
      </c>
      <c r="B84" s="92"/>
      <c r="C84" s="96"/>
      <c r="D84" s="558" t="s">
        <v>1168</v>
      </c>
      <c r="E84" s="999"/>
      <c r="F84" s="480"/>
      <c r="G84" s="480"/>
      <c r="H84" s="480"/>
      <c r="I84" s="1002">
        <f>SUM(J84:Q84)</f>
        <v>887</v>
      </c>
      <c r="J84" s="494">
        <v>706</v>
      </c>
      <c r="K84" s="494">
        <v>95</v>
      </c>
      <c r="L84" s="494">
        <v>86</v>
      </c>
      <c r="M84" s="494"/>
      <c r="N84" s="494"/>
      <c r="O84" s="494"/>
      <c r="P84" s="494"/>
      <c r="Q84" s="1003"/>
      <c r="R84" s="183"/>
    </row>
    <row r="85" spans="1:18" s="91" customFormat="1" ht="15">
      <c r="A85" s="282">
        <v>77</v>
      </c>
      <c r="B85" s="179"/>
      <c r="C85" s="285"/>
      <c r="D85" s="559" t="s">
        <v>1170</v>
      </c>
      <c r="E85" s="498"/>
      <c r="F85" s="486"/>
      <c r="G85" s="486"/>
      <c r="H85" s="480"/>
      <c r="I85" s="903"/>
      <c r="Q85" s="157"/>
      <c r="R85" s="184"/>
    </row>
    <row r="86" spans="1:18" s="94" customFormat="1" ht="15">
      <c r="A86" s="282">
        <v>78</v>
      </c>
      <c r="B86" s="383"/>
      <c r="C86" s="93"/>
      <c r="D86" s="560" t="s">
        <v>1169</v>
      </c>
      <c r="E86" s="1001"/>
      <c r="F86" s="483"/>
      <c r="G86" s="483"/>
      <c r="H86" s="483"/>
      <c r="I86" s="904">
        <f>SUM(I84:I85)</f>
        <v>887</v>
      </c>
      <c r="J86" s="94">
        <f aca="true" t="shared" si="15" ref="J86:Q86">SUM(J84:J85)</f>
        <v>706</v>
      </c>
      <c r="K86" s="94">
        <f t="shared" si="15"/>
        <v>95</v>
      </c>
      <c r="L86" s="94">
        <f t="shared" si="15"/>
        <v>86</v>
      </c>
      <c r="M86" s="94">
        <f t="shared" si="15"/>
        <v>0</v>
      </c>
      <c r="N86" s="94">
        <f t="shared" si="15"/>
        <v>0</v>
      </c>
      <c r="O86" s="94">
        <f t="shared" si="15"/>
        <v>0</v>
      </c>
      <c r="P86" s="94">
        <f t="shared" si="15"/>
        <v>0</v>
      </c>
      <c r="Q86" s="95">
        <f t="shared" si="15"/>
        <v>0</v>
      </c>
      <c r="R86" s="286"/>
    </row>
    <row r="87" spans="1:18" s="183" customFormat="1" ht="27.75" customHeight="1">
      <c r="A87" s="282">
        <v>79</v>
      </c>
      <c r="B87" s="181">
        <v>6</v>
      </c>
      <c r="C87" s="182"/>
      <c r="D87" s="188" t="s">
        <v>1190</v>
      </c>
      <c r="E87" s="997" t="s">
        <v>466</v>
      </c>
      <c r="F87" s="425">
        <v>101687</v>
      </c>
      <c r="G87" s="425">
        <v>85839</v>
      </c>
      <c r="H87" s="425">
        <v>95983</v>
      </c>
      <c r="I87" s="901"/>
      <c r="Q87" s="384"/>
      <c r="R87" s="183">
        <f>(SUM(J89:Q89))-I89</f>
        <v>0</v>
      </c>
    </row>
    <row r="88" spans="1:18" s="90" customFormat="1" ht="15">
      <c r="A88" s="282">
        <v>80</v>
      </c>
      <c r="B88" s="92"/>
      <c r="C88" s="96"/>
      <c r="D88" s="97" t="s">
        <v>936</v>
      </c>
      <c r="E88" s="999"/>
      <c r="F88" s="480"/>
      <c r="G88" s="480"/>
      <c r="H88" s="480"/>
      <c r="I88" s="902"/>
      <c r="Q88" s="98"/>
      <c r="R88" s="90">
        <f>(SUM(J88:Q88))-I88</f>
        <v>0</v>
      </c>
    </row>
    <row r="89" spans="1:18" s="90" customFormat="1" ht="15">
      <c r="A89" s="282">
        <v>81</v>
      </c>
      <c r="B89" s="92"/>
      <c r="C89" s="96"/>
      <c r="D89" s="188" t="s">
        <v>1168</v>
      </c>
      <c r="E89" s="999"/>
      <c r="F89" s="480"/>
      <c r="G89" s="480"/>
      <c r="H89" s="480"/>
      <c r="I89" s="901">
        <f>SUM(J89:Q89)</f>
        <v>111846</v>
      </c>
      <c r="J89" s="183">
        <v>73065</v>
      </c>
      <c r="K89" s="183">
        <v>20598</v>
      </c>
      <c r="L89" s="183">
        <v>17752</v>
      </c>
      <c r="M89" s="183"/>
      <c r="N89" s="183"/>
      <c r="O89" s="183">
        <v>431</v>
      </c>
      <c r="P89" s="183"/>
      <c r="Q89" s="384"/>
      <c r="R89" s="183"/>
    </row>
    <row r="90" spans="1:18" s="91" customFormat="1" ht="15">
      <c r="A90" s="282">
        <v>82</v>
      </c>
      <c r="B90" s="179"/>
      <c r="C90" s="285"/>
      <c r="D90" s="409" t="s">
        <v>588</v>
      </c>
      <c r="E90" s="498"/>
      <c r="F90" s="486"/>
      <c r="G90" s="486"/>
      <c r="H90" s="480"/>
      <c r="I90" s="1000">
        <f>SUM(J90:Q90)</f>
        <v>1647</v>
      </c>
      <c r="J90" s="91">
        <v>273</v>
      </c>
      <c r="L90" s="91">
        <v>1374</v>
      </c>
      <c r="Q90" s="157"/>
      <c r="R90" s="184"/>
    </row>
    <row r="91" spans="1:18" s="91" customFormat="1" ht="15">
      <c r="A91" s="282">
        <v>83</v>
      </c>
      <c r="B91" s="179"/>
      <c r="C91" s="285"/>
      <c r="D91" s="409" t="s">
        <v>592</v>
      </c>
      <c r="E91" s="498"/>
      <c r="F91" s="486"/>
      <c r="G91" s="486"/>
      <c r="H91" s="480"/>
      <c r="I91" s="1000">
        <f>SUM(J91:Q91)</f>
        <v>0</v>
      </c>
      <c r="L91" s="91">
        <v>-140</v>
      </c>
      <c r="O91" s="91">
        <v>140</v>
      </c>
      <c r="Q91" s="157"/>
      <c r="R91" s="184"/>
    </row>
    <row r="92" spans="1:18" s="91" customFormat="1" ht="15">
      <c r="A92" s="282">
        <v>84</v>
      </c>
      <c r="B92" s="179"/>
      <c r="C92" s="285"/>
      <c r="D92" s="409" t="s">
        <v>595</v>
      </c>
      <c r="E92" s="498"/>
      <c r="F92" s="486"/>
      <c r="G92" s="486"/>
      <c r="H92" s="480"/>
      <c r="I92" s="1000">
        <f>SUM(J92:Q92)</f>
        <v>78</v>
      </c>
      <c r="J92" s="91">
        <v>61</v>
      </c>
      <c r="K92" s="91">
        <v>17</v>
      </c>
      <c r="Q92" s="157"/>
      <c r="R92" s="184"/>
    </row>
    <row r="93" spans="1:18" s="91" customFormat="1" ht="15">
      <c r="A93" s="282">
        <v>85</v>
      </c>
      <c r="B93" s="179"/>
      <c r="C93" s="285"/>
      <c r="D93" s="409" t="s">
        <v>639</v>
      </c>
      <c r="E93" s="498"/>
      <c r="F93" s="486"/>
      <c r="G93" s="486"/>
      <c r="H93" s="480"/>
      <c r="I93" s="1000">
        <f>SUM(J93:Q93)</f>
        <v>150</v>
      </c>
      <c r="L93" s="91">
        <v>150</v>
      </c>
      <c r="Q93" s="157"/>
      <c r="R93" s="184"/>
    </row>
    <row r="94" spans="1:18" s="94" customFormat="1" ht="15">
      <c r="A94" s="282">
        <v>86</v>
      </c>
      <c r="B94" s="383"/>
      <c r="C94" s="93"/>
      <c r="D94" s="185" t="s">
        <v>1169</v>
      </c>
      <c r="E94" s="1001"/>
      <c r="F94" s="483"/>
      <c r="G94" s="483"/>
      <c r="H94" s="483"/>
      <c r="I94" s="904">
        <f aca="true" t="shared" si="16" ref="I94:Q94">SUM(I89:I93)</f>
        <v>113721</v>
      </c>
      <c r="J94" s="94">
        <f t="shared" si="16"/>
        <v>73399</v>
      </c>
      <c r="K94" s="94">
        <f t="shared" si="16"/>
        <v>20615</v>
      </c>
      <c r="L94" s="94">
        <f t="shared" si="16"/>
        <v>19136</v>
      </c>
      <c r="M94" s="94">
        <f t="shared" si="16"/>
        <v>0</v>
      </c>
      <c r="N94" s="94">
        <f t="shared" si="16"/>
        <v>0</v>
      </c>
      <c r="O94" s="94">
        <f t="shared" si="16"/>
        <v>571</v>
      </c>
      <c r="P94" s="94">
        <f t="shared" si="16"/>
        <v>0</v>
      </c>
      <c r="Q94" s="95">
        <f t="shared" si="16"/>
        <v>0</v>
      </c>
      <c r="R94" s="286"/>
    </row>
    <row r="95" spans="1:17" s="183" customFormat="1" ht="18" customHeight="1">
      <c r="A95" s="282">
        <v>87</v>
      </c>
      <c r="B95" s="181"/>
      <c r="C95" s="182">
        <v>1</v>
      </c>
      <c r="D95" s="1388" t="s">
        <v>942</v>
      </c>
      <c r="E95" s="1388"/>
      <c r="F95" s="1388"/>
      <c r="G95" s="1388"/>
      <c r="H95" s="425">
        <v>174</v>
      </c>
      <c r="I95" s="901"/>
      <c r="Q95" s="384"/>
    </row>
    <row r="96" spans="1:18" s="90" customFormat="1" ht="15">
      <c r="A96" s="282">
        <v>88</v>
      </c>
      <c r="B96" s="92"/>
      <c r="C96" s="96"/>
      <c r="D96" s="558" t="s">
        <v>1168</v>
      </c>
      <c r="E96" s="999"/>
      <c r="F96" s="480"/>
      <c r="G96" s="480"/>
      <c r="H96" s="480"/>
      <c r="I96" s="1002">
        <f>SUM(J96:Q96)</f>
        <v>0</v>
      </c>
      <c r="J96" s="494"/>
      <c r="K96" s="494"/>
      <c r="L96" s="494"/>
      <c r="M96" s="494"/>
      <c r="N96" s="494"/>
      <c r="O96" s="494"/>
      <c r="P96" s="494"/>
      <c r="Q96" s="1003"/>
      <c r="R96" s="183"/>
    </row>
    <row r="97" spans="1:18" s="91" customFormat="1" ht="15">
      <c r="A97" s="282">
        <v>89</v>
      </c>
      <c r="B97" s="179"/>
      <c r="C97" s="285"/>
      <c r="D97" s="559" t="s">
        <v>1170</v>
      </c>
      <c r="E97" s="498"/>
      <c r="F97" s="486"/>
      <c r="G97" s="486"/>
      <c r="H97" s="480"/>
      <c r="I97" s="903"/>
      <c r="Q97" s="157"/>
      <c r="R97" s="184"/>
    </row>
    <row r="98" spans="1:18" s="94" customFormat="1" ht="15">
      <c r="A98" s="282">
        <v>90</v>
      </c>
      <c r="B98" s="383"/>
      <c r="C98" s="93"/>
      <c r="D98" s="560" t="s">
        <v>1169</v>
      </c>
      <c r="E98" s="1001"/>
      <c r="F98" s="483"/>
      <c r="G98" s="483"/>
      <c r="H98" s="483"/>
      <c r="I98" s="904">
        <f>SUM(I96:I97)</f>
        <v>0</v>
      </c>
      <c r="J98" s="94">
        <f aca="true" t="shared" si="17" ref="J98:Q98">SUM(J96:J97)</f>
        <v>0</v>
      </c>
      <c r="K98" s="94">
        <f t="shared" si="17"/>
        <v>0</v>
      </c>
      <c r="L98" s="94">
        <f t="shared" si="17"/>
        <v>0</v>
      </c>
      <c r="M98" s="94">
        <f t="shared" si="17"/>
        <v>0</v>
      </c>
      <c r="N98" s="94">
        <f t="shared" si="17"/>
        <v>0</v>
      </c>
      <c r="O98" s="94">
        <f t="shared" si="17"/>
        <v>0</v>
      </c>
      <c r="P98" s="94">
        <f t="shared" si="17"/>
        <v>0</v>
      </c>
      <c r="Q98" s="95">
        <f t="shared" si="17"/>
        <v>0</v>
      </c>
      <c r="R98" s="286"/>
    </row>
    <row r="99" spans="1:18" s="183" customFormat="1" ht="18" customHeight="1">
      <c r="A99" s="282">
        <v>91</v>
      </c>
      <c r="B99" s="181"/>
      <c r="C99" s="182">
        <v>2</v>
      </c>
      <c r="D99" s="1388" t="s">
        <v>464</v>
      </c>
      <c r="E99" s="1388"/>
      <c r="F99" s="1388"/>
      <c r="G99" s="1388"/>
      <c r="H99" s="425"/>
      <c r="I99" s="904"/>
      <c r="J99" s="94"/>
      <c r="K99" s="94"/>
      <c r="L99" s="94"/>
      <c r="M99" s="94"/>
      <c r="N99" s="94"/>
      <c r="O99" s="94"/>
      <c r="P99" s="94"/>
      <c r="Q99" s="95"/>
      <c r="R99" s="183">
        <f>(SUM(J100:Q100))-I100</f>
        <v>0</v>
      </c>
    </row>
    <row r="100" spans="1:18" s="90" customFormat="1" ht="15">
      <c r="A100" s="282">
        <v>92</v>
      </c>
      <c r="B100" s="92"/>
      <c r="C100" s="96"/>
      <c r="D100" s="558" t="s">
        <v>1168</v>
      </c>
      <c r="E100" s="999"/>
      <c r="F100" s="480"/>
      <c r="G100" s="480"/>
      <c r="H100" s="480"/>
      <c r="I100" s="1002">
        <f>SUM(J100:Q100)</f>
        <v>410</v>
      </c>
      <c r="J100" s="494">
        <v>309</v>
      </c>
      <c r="K100" s="494">
        <v>42</v>
      </c>
      <c r="L100" s="494">
        <v>59</v>
      </c>
      <c r="M100" s="494"/>
      <c r="N100" s="494"/>
      <c r="O100" s="494"/>
      <c r="P100" s="494"/>
      <c r="Q100" s="1003"/>
      <c r="R100" s="183"/>
    </row>
    <row r="101" spans="1:18" s="91" customFormat="1" ht="15">
      <c r="A101" s="282">
        <v>93</v>
      </c>
      <c r="B101" s="179"/>
      <c r="C101" s="285"/>
      <c r="D101" s="559" t="s">
        <v>1170</v>
      </c>
      <c r="E101" s="498"/>
      <c r="F101" s="486"/>
      <c r="G101" s="486"/>
      <c r="H101" s="480"/>
      <c r="I101" s="903"/>
      <c r="Q101" s="157"/>
      <c r="R101" s="184"/>
    </row>
    <row r="102" spans="1:17" s="406" customFormat="1" ht="30" customHeight="1">
      <c r="A102" s="283">
        <v>94</v>
      </c>
      <c r="B102" s="403"/>
      <c r="C102" s="404"/>
      <c r="D102" s="582" t="s">
        <v>1169</v>
      </c>
      <c r="E102" s="1006"/>
      <c r="F102" s="897"/>
      <c r="G102" s="897"/>
      <c r="H102" s="897"/>
      <c r="I102" s="1007">
        <f>SUM(I100:I101)</f>
        <v>410</v>
      </c>
      <c r="J102" s="406">
        <f aca="true" t="shared" si="18" ref="J102:Q102">SUM(J100:J101)</f>
        <v>309</v>
      </c>
      <c r="K102" s="406">
        <f t="shared" si="18"/>
        <v>42</v>
      </c>
      <c r="L102" s="406">
        <f t="shared" si="18"/>
        <v>59</v>
      </c>
      <c r="M102" s="406">
        <f t="shared" si="18"/>
        <v>0</v>
      </c>
      <c r="N102" s="406">
        <f t="shared" si="18"/>
        <v>0</v>
      </c>
      <c r="O102" s="406">
        <f t="shared" si="18"/>
        <v>0</v>
      </c>
      <c r="P102" s="406">
        <f t="shared" si="18"/>
        <v>0</v>
      </c>
      <c r="Q102" s="154">
        <f t="shared" si="18"/>
        <v>0</v>
      </c>
    </row>
    <row r="103" spans="1:18" s="99" customFormat="1" ht="19.5" customHeight="1">
      <c r="A103" s="1023">
        <v>95</v>
      </c>
      <c r="B103" s="568"/>
      <c r="C103" s="563"/>
      <c r="D103" s="563" t="s">
        <v>423</v>
      </c>
      <c r="E103" s="562"/>
      <c r="F103" s="563">
        <f>SUM(F9:F99)</f>
        <v>1152091</v>
      </c>
      <c r="G103" s="563">
        <f>SUM(G9:G99)</f>
        <v>1000045</v>
      </c>
      <c r="H103" s="563">
        <f>SUM(H9:H99)</f>
        <v>1118328</v>
      </c>
      <c r="I103" s="1008"/>
      <c r="J103" s="563"/>
      <c r="K103" s="563"/>
      <c r="L103" s="563"/>
      <c r="M103" s="563"/>
      <c r="N103" s="563"/>
      <c r="O103" s="563"/>
      <c r="P103" s="563"/>
      <c r="Q103" s="992"/>
      <c r="R103" s="99">
        <f>(SUM(J104:Q104))-I104</f>
        <v>0</v>
      </c>
    </row>
    <row r="104" spans="1:17" s="90" customFormat="1" ht="19.5" customHeight="1">
      <c r="A104" s="1023">
        <v>96</v>
      </c>
      <c r="B104" s="92"/>
      <c r="C104" s="96"/>
      <c r="D104" s="97" t="s">
        <v>1168</v>
      </c>
      <c r="E104" s="999"/>
      <c r="F104" s="480"/>
      <c r="G104" s="480"/>
      <c r="H104" s="480"/>
      <c r="I104" s="902">
        <f>SUM(I100,I96,I89,I84,I80,I75,I70,I66,I59,I54,I50,I43,I38,I34,I27,I22,I18)+I11</f>
        <v>1440666</v>
      </c>
      <c r="J104" s="90">
        <f aca="true" t="shared" si="19" ref="J104:Q104">SUM(J100,J96,J89,J84,J80,J75,J70,J66,J59,J54,J50,J43,J38,J34,J27,J22,J18)+J11</f>
        <v>862660</v>
      </c>
      <c r="K104" s="90">
        <f t="shared" si="19"/>
        <v>246801</v>
      </c>
      <c r="L104" s="90">
        <f t="shared" si="19"/>
        <v>319697</v>
      </c>
      <c r="M104" s="90">
        <f t="shared" si="19"/>
        <v>0</v>
      </c>
      <c r="N104" s="90">
        <f t="shared" si="19"/>
        <v>0</v>
      </c>
      <c r="O104" s="90">
        <f t="shared" si="19"/>
        <v>11508</v>
      </c>
      <c r="P104" s="90">
        <f t="shared" si="19"/>
        <v>0</v>
      </c>
      <c r="Q104" s="98">
        <f t="shared" si="19"/>
        <v>0</v>
      </c>
    </row>
    <row r="105" spans="1:17" s="91" customFormat="1" ht="19.5" customHeight="1">
      <c r="A105" s="1023">
        <v>97</v>
      </c>
      <c r="B105" s="179"/>
      <c r="C105" s="285"/>
      <c r="D105" s="187" t="s">
        <v>662</v>
      </c>
      <c r="E105" s="498"/>
      <c r="F105" s="486"/>
      <c r="G105" s="486"/>
      <c r="H105" s="480"/>
      <c r="I105" s="903">
        <f aca="true" t="shared" si="20" ref="I105:Q105">SUM(I101,I97,I90:I93,I85,I81,I76:I77,I71,I67,I60:I63,I55,I51,I44:I47,I39,I35,I28:I31,I23,I19,I12:I15)</f>
        <v>13874</v>
      </c>
      <c r="J105" s="91">
        <f t="shared" si="20"/>
        <v>3901</v>
      </c>
      <c r="K105" s="91">
        <f t="shared" si="20"/>
        <v>1211</v>
      </c>
      <c r="L105" s="91">
        <f t="shared" si="20"/>
        <v>7902</v>
      </c>
      <c r="M105" s="91">
        <f t="shared" si="20"/>
        <v>0</v>
      </c>
      <c r="N105" s="91">
        <f t="shared" si="20"/>
        <v>0</v>
      </c>
      <c r="O105" s="91">
        <f t="shared" si="20"/>
        <v>860</v>
      </c>
      <c r="P105" s="91">
        <f t="shared" si="20"/>
        <v>0</v>
      </c>
      <c r="Q105" s="157">
        <f t="shared" si="20"/>
        <v>0</v>
      </c>
    </row>
    <row r="106" spans="1:17" s="94" customFormat="1" ht="19.5" customHeight="1" thickBot="1">
      <c r="A106" s="1023">
        <v>98</v>
      </c>
      <c r="B106" s="564"/>
      <c r="C106" s="565"/>
      <c r="D106" s="566" t="s">
        <v>1169</v>
      </c>
      <c r="E106" s="1009"/>
      <c r="F106" s="567"/>
      <c r="G106" s="567"/>
      <c r="H106" s="567"/>
      <c r="I106" s="905">
        <f>SUM(I104:I105)</f>
        <v>1454540</v>
      </c>
      <c r="J106" s="596">
        <f aca="true" t="shared" si="21" ref="J106:Q106">SUM(J104:J105)</f>
        <v>866561</v>
      </c>
      <c r="K106" s="596">
        <f t="shared" si="21"/>
        <v>248012</v>
      </c>
      <c r="L106" s="596">
        <f t="shared" si="21"/>
        <v>327599</v>
      </c>
      <c r="M106" s="596">
        <f t="shared" si="21"/>
        <v>0</v>
      </c>
      <c r="N106" s="596">
        <f t="shared" si="21"/>
        <v>0</v>
      </c>
      <c r="O106" s="596">
        <f t="shared" si="21"/>
        <v>12368</v>
      </c>
      <c r="P106" s="596">
        <f t="shared" si="21"/>
        <v>0</v>
      </c>
      <c r="Q106" s="599">
        <f t="shared" si="21"/>
        <v>0</v>
      </c>
    </row>
    <row r="107" spans="1:18" s="184" customFormat="1" ht="30" customHeight="1" thickTop="1">
      <c r="A107" s="282">
        <v>99</v>
      </c>
      <c r="B107" s="578">
        <v>7</v>
      </c>
      <c r="C107" s="579"/>
      <c r="D107" s="580" t="s">
        <v>515</v>
      </c>
      <c r="E107" s="1010" t="s">
        <v>466</v>
      </c>
      <c r="F107" s="898">
        <v>279691</v>
      </c>
      <c r="G107" s="898">
        <v>252769</v>
      </c>
      <c r="H107" s="898">
        <v>271763</v>
      </c>
      <c r="I107" s="1011"/>
      <c r="J107" s="1012"/>
      <c r="K107" s="1012"/>
      <c r="Q107" s="385"/>
      <c r="R107" s="183">
        <f>(SUM(J108:Q108))-I108</f>
        <v>0</v>
      </c>
    </row>
    <row r="108" spans="1:18" s="90" customFormat="1" ht="15">
      <c r="A108" s="282">
        <v>100</v>
      </c>
      <c r="B108" s="92"/>
      <c r="C108" s="96"/>
      <c r="D108" s="386" t="s">
        <v>1168</v>
      </c>
      <c r="E108" s="999"/>
      <c r="F108" s="480"/>
      <c r="G108" s="480"/>
      <c r="H108" s="480"/>
      <c r="I108" s="901">
        <f>SUM(J108:Q108)</f>
        <v>195303</v>
      </c>
      <c r="J108" s="183">
        <v>111630</v>
      </c>
      <c r="K108" s="183">
        <v>30202</v>
      </c>
      <c r="L108" s="183">
        <v>52361</v>
      </c>
      <c r="M108" s="184"/>
      <c r="N108" s="184"/>
      <c r="O108" s="184">
        <v>1110</v>
      </c>
      <c r="P108" s="184"/>
      <c r="Q108" s="385"/>
      <c r="R108" s="183"/>
    </row>
    <row r="109" spans="1:18" s="91" customFormat="1" ht="15">
      <c r="A109" s="282">
        <v>101</v>
      </c>
      <c r="B109" s="179"/>
      <c r="C109" s="285"/>
      <c r="D109" s="571" t="s">
        <v>588</v>
      </c>
      <c r="E109" s="498"/>
      <c r="F109" s="486"/>
      <c r="G109" s="486"/>
      <c r="H109" s="480"/>
      <c r="I109" s="1000">
        <f>SUM(J109:Q109)</f>
        <v>8102</v>
      </c>
      <c r="J109" s="574">
        <v>6102</v>
      </c>
      <c r="K109" s="574">
        <v>2000</v>
      </c>
      <c r="L109" s="574"/>
      <c r="M109" s="574"/>
      <c r="N109" s="574"/>
      <c r="O109" s="574"/>
      <c r="P109" s="574"/>
      <c r="Q109" s="1013"/>
      <c r="R109" s="184"/>
    </row>
    <row r="110" spans="1:18" s="91" customFormat="1" ht="15">
      <c r="A110" s="282">
        <v>102</v>
      </c>
      <c r="B110" s="179"/>
      <c r="C110" s="285"/>
      <c r="D110" s="571" t="s">
        <v>595</v>
      </c>
      <c r="E110" s="498"/>
      <c r="F110" s="486"/>
      <c r="G110" s="486"/>
      <c r="H110" s="480"/>
      <c r="I110" s="1000">
        <f>SUM(J110:Q110)</f>
        <v>2080</v>
      </c>
      <c r="J110" s="574">
        <v>1638</v>
      </c>
      <c r="K110" s="574">
        <v>442</v>
      </c>
      <c r="L110" s="574"/>
      <c r="M110" s="574"/>
      <c r="N110" s="574"/>
      <c r="O110" s="574"/>
      <c r="P110" s="574"/>
      <c r="Q110" s="1013"/>
      <c r="R110" s="184"/>
    </row>
    <row r="111" spans="1:18" s="91" customFormat="1" ht="15">
      <c r="A111" s="282">
        <v>103</v>
      </c>
      <c r="B111" s="179"/>
      <c r="C111" s="285"/>
      <c r="D111" s="571" t="s">
        <v>629</v>
      </c>
      <c r="E111" s="498"/>
      <c r="F111" s="486"/>
      <c r="G111" s="486"/>
      <c r="H111" s="480"/>
      <c r="I111" s="1000">
        <f>SUM(J111:Q111)</f>
        <v>21115</v>
      </c>
      <c r="J111" s="574">
        <v>16626</v>
      </c>
      <c r="K111" s="574">
        <v>4489</v>
      </c>
      <c r="L111" s="574"/>
      <c r="M111" s="574"/>
      <c r="N111" s="574"/>
      <c r="O111" s="574"/>
      <c r="P111" s="574"/>
      <c r="Q111" s="1013"/>
      <c r="R111" s="184"/>
    </row>
    <row r="112" spans="1:18" s="94" customFormat="1" ht="15">
      <c r="A112" s="282">
        <v>104</v>
      </c>
      <c r="B112" s="383"/>
      <c r="C112" s="93"/>
      <c r="D112" s="572" t="s">
        <v>1169</v>
      </c>
      <c r="E112" s="1001"/>
      <c r="F112" s="483"/>
      <c r="G112" s="483"/>
      <c r="H112" s="483"/>
      <c r="I112" s="904">
        <f aca="true" t="shared" si="22" ref="I112:Q112">SUM(I108:I111)</f>
        <v>226600</v>
      </c>
      <c r="J112" s="94">
        <f t="shared" si="22"/>
        <v>135996</v>
      </c>
      <c r="K112" s="94">
        <f t="shared" si="22"/>
        <v>37133</v>
      </c>
      <c r="L112" s="94">
        <f t="shared" si="22"/>
        <v>52361</v>
      </c>
      <c r="M112" s="94">
        <f t="shared" si="22"/>
        <v>0</v>
      </c>
      <c r="N112" s="94">
        <f t="shared" si="22"/>
        <v>0</v>
      </c>
      <c r="O112" s="94">
        <f t="shared" si="22"/>
        <v>1110</v>
      </c>
      <c r="P112" s="94">
        <f t="shared" si="22"/>
        <v>0</v>
      </c>
      <c r="Q112" s="95">
        <f t="shared" si="22"/>
        <v>0</v>
      </c>
      <c r="R112" s="286"/>
    </row>
    <row r="113" spans="1:18" s="184" customFormat="1" ht="30" customHeight="1">
      <c r="A113" s="282">
        <v>105</v>
      </c>
      <c r="B113" s="181">
        <v>8</v>
      </c>
      <c r="C113" s="182"/>
      <c r="D113" s="176" t="s">
        <v>443</v>
      </c>
      <c r="E113" s="994" t="s">
        <v>466</v>
      </c>
      <c r="F113" s="425">
        <v>418564</v>
      </c>
      <c r="G113" s="425">
        <v>387423</v>
      </c>
      <c r="H113" s="425">
        <v>418719</v>
      </c>
      <c r="I113" s="904"/>
      <c r="J113" s="94"/>
      <c r="K113" s="94"/>
      <c r="L113" s="94"/>
      <c r="M113" s="94"/>
      <c r="N113" s="94"/>
      <c r="O113" s="94"/>
      <c r="P113" s="94"/>
      <c r="Q113" s="95"/>
      <c r="R113" s="183">
        <f>(SUM(J114:Q114))-I114</f>
        <v>0</v>
      </c>
    </row>
    <row r="114" spans="1:18" s="90" customFormat="1" ht="15">
      <c r="A114" s="282">
        <v>106</v>
      </c>
      <c r="B114" s="92"/>
      <c r="C114" s="96"/>
      <c r="D114" s="386" t="s">
        <v>1168</v>
      </c>
      <c r="E114" s="999"/>
      <c r="F114" s="480"/>
      <c r="G114" s="480"/>
      <c r="H114" s="480"/>
      <c r="I114" s="901">
        <f aca="true" t="shared" si="23" ref="I114:I121">SUM(J114:Q114)</f>
        <v>406867</v>
      </c>
      <c r="J114" s="183">
        <v>260132</v>
      </c>
      <c r="K114" s="183">
        <v>79013</v>
      </c>
      <c r="L114" s="183">
        <v>66122</v>
      </c>
      <c r="M114" s="184"/>
      <c r="N114" s="184"/>
      <c r="O114" s="184">
        <v>1600</v>
      </c>
      <c r="P114" s="184"/>
      <c r="Q114" s="385"/>
      <c r="R114" s="183"/>
    </row>
    <row r="115" spans="1:18" s="91" customFormat="1" ht="15">
      <c r="A115" s="282">
        <v>107</v>
      </c>
      <c r="B115" s="179"/>
      <c r="C115" s="285"/>
      <c r="D115" s="571" t="s">
        <v>588</v>
      </c>
      <c r="E115" s="498"/>
      <c r="F115" s="486"/>
      <c r="G115" s="486"/>
      <c r="H115" s="480"/>
      <c r="I115" s="1000">
        <f t="shared" si="23"/>
        <v>2124</v>
      </c>
      <c r="J115" s="574"/>
      <c r="K115" s="574"/>
      <c r="L115" s="574">
        <v>2124</v>
      </c>
      <c r="M115" s="574"/>
      <c r="N115" s="574"/>
      <c r="O115" s="574"/>
      <c r="P115" s="574"/>
      <c r="Q115" s="1013"/>
      <c r="R115" s="184"/>
    </row>
    <row r="116" spans="1:18" s="91" customFormat="1" ht="15">
      <c r="A116" s="282">
        <v>108</v>
      </c>
      <c r="B116" s="179"/>
      <c r="C116" s="285"/>
      <c r="D116" s="571" t="s">
        <v>595</v>
      </c>
      <c r="E116" s="498"/>
      <c r="F116" s="486"/>
      <c r="G116" s="486"/>
      <c r="H116" s="480"/>
      <c r="I116" s="1000">
        <f t="shared" si="23"/>
        <v>4162</v>
      </c>
      <c r="J116" s="574">
        <v>3277</v>
      </c>
      <c r="K116" s="574">
        <v>885</v>
      </c>
      <c r="L116" s="574"/>
      <c r="M116" s="574"/>
      <c r="N116" s="574"/>
      <c r="O116" s="574"/>
      <c r="P116" s="574"/>
      <c r="Q116" s="1013"/>
      <c r="R116" s="184"/>
    </row>
    <row r="117" spans="1:18" s="91" customFormat="1" ht="15">
      <c r="A117" s="282">
        <v>109</v>
      </c>
      <c r="B117" s="179"/>
      <c r="C117" s="285"/>
      <c r="D117" s="187" t="s">
        <v>640</v>
      </c>
      <c r="E117" s="498"/>
      <c r="F117" s="486"/>
      <c r="G117" s="486"/>
      <c r="H117" s="480"/>
      <c r="I117" s="1000">
        <f t="shared" si="23"/>
        <v>90</v>
      </c>
      <c r="J117" s="574"/>
      <c r="K117" s="574"/>
      <c r="L117" s="574">
        <v>90</v>
      </c>
      <c r="M117" s="574"/>
      <c r="N117" s="574"/>
      <c r="O117" s="574"/>
      <c r="P117" s="574"/>
      <c r="Q117" s="1013"/>
      <c r="R117" s="184"/>
    </row>
    <row r="118" spans="1:18" s="91" customFormat="1" ht="15">
      <c r="A118" s="282">
        <v>110</v>
      </c>
      <c r="B118" s="179"/>
      <c r="C118" s="285"/>
      <c r="D118" s="187" t="s">
        <v>641</v>
      </c>
      <c r="E118" s="498"/>
      <c r="F118" s="486"/>
      <c r="G118" s="486"/>
      <c r="H118" s="480"/>
      <c r="I118" s="1000">
        <f t="shared" si="23"/>
        <v>200</v>
      </c>
      <c r="J118" s="574"/>
      <c r="K118" s="574"/>
      <c r="L118" s="574">
        <v>200</v>
      </c>
      <c r="M118" s="574"/>
      <c r="N118" s="574"/>
      <c r="O118" s="574"/>
      <c r="P118" s="574"/>
      <c r="Q118" s="1013"/>
      <c r="R118" s="184"/>
    </row>
    <row r="119" spans="1:18" s="91" customFormat="1" ht="15">
      <c r="A119" s="282">
        <v>111</v>
      </c>
      <c r="B119" s="179"/>
      <c r="C119" s="285"/>
      <c r="D119" s="187" t="s">
        <v>642</v>
      </c>
      <c r="E119" s="498"/>
      <c r="F119" s="486"/>
      <c r="G119" s="486"/>
      <c r="H119" s="480"/>
      <c r="I119" s="1000">
        <f t="shared" si="23"/>
        <v>200</v>
      </c>
      <c r="J119" s="574"/>
      <c r="K119" s="574"/>
      <c r="L119" s="574">
        <v>200</v>
      </c>
      <c r="M119" s="574"/>
      <c r="N119" s="574"/>
      <c r="O119" s="574"/>
      <c r="P119" s="574"/>
      <c r="Q119" s="1013"/>
      <c r="R119" s="184"/>
    </row>
    <row r="120" spans="1:18" s="91" customFormat="1" ht="15">
      <c r="A120" s="282">
        <v>112</v>
      </c>
      <c r="B120" s="179"/>
      <c r="C120" s="285"/>
      <c r="D120" s="187" t="s">
        <v>643</v>
      </c>
      <c r="E120" s="498"/>
      <c r="F120" s="486"/>
      <c r="G120" s="486"/>
      <c r="H120" s="480"/>
      <c r="I120" s="1000">
        <f t="shared" si="23"/>
        <v>100</v>
      </c>
      <c r="J120" s="574"/>
      <c r="K120" s="574"/>
      <c r="L120" s="574">
        <v>100</v>
      </c>
      <c r="M120" s="574"/>
      <c r="N120" s="574"/>
      <c r="O120" s="574"/>
      <c r="P120" s="574"/>
      <c r="Q120" s="1013"/>
      <c r="R120" s="184"/>
    </row>
    <row r="121" spans="1:18" s="91" customFormat="1" ht="15">
      <c r="A121" s="282">
        <v>113</v>
      </c>
      <c r="B121" s="179"/>
      <c r="C121" s="285"/>
      <c r="D121" s="571" t="s">
        <v>644</v>
      </c>
      <c r="E121" s="498"/>
      <c r="F121" s="486"/>
      <c r="G121" s="486"/>
      <c r="H121" s="480"/>
      <c r="I121" s="1000">
        <f t="shared" si="23"/>
        <v>70</v>
      </c>
      <c r="J121" s="574"/>
      <c r="K121" s="574"/>
      <c r="L121" s="574"/>
      <c r="M121" s="574"/>
      <c r="N121" s="574"/>
      <c r="O121" s="574">
        <v>70</v>
      </c>
      <c r="P121" s="574"/>
      <c r="Q121" s="1013"/>
      <c r="R121" s="184"/>
    </row>
    <row r="122" spans="1:18" s="94" customFormat="1" ht="15">
      <c r="A122" s="282">
        <v>114</v>
      </c>
      <c r="B122" s="383"/>
      <c r="C122" s="93"/>
      <c r="D122" s="572" t="s">
        <v>1169</v>
      </c>
      <c r="E122" s="1001"/>
      <c r="F122" s="483"/>
      <c r="G122" s="483"/>
      <c r="H122" s="483"/>
      <c r="I122" s="904">
        <f aca="true" t="shared" si="24" ref="I122:Q122">SUM(I114:I121)</f>
        <v>413813</v>
      </c>
      <c r="J122" s="94">
        <f t="shared" si="24"/>
        <v>263409</v>
      </c>
      <c r="K122" s="94">
        <f t="shared" si="24"/>
        <v>79898</v>
      </c>
      <c r="L122" s="94">
        <f t="shared" si="24"/>
        <v>68836</v>
      </c>
      <c r="M122" s="94">
        <f t="shared" si="24"/>
        <v>0</v>
      </c>
      <c r="N122" s="94">
        <f t="shared" si="24"/>
        <v>0</v>
      </c>
      <c r="O122" s="94">
        <f t="shared" si="24"/>
        <v>1670</v>
      </c>
      <c r="P122" s="94">
        <f t="shared" si="24"/>
        <v>0</v>
      </c>
      <c r="Q122" s="95">
        <f t="shared" si="24"/>
        <v>0</v>
      </c>
      <c r="R122" s="286"/>
    </row>
    <row r="123" spans="1:17" s="183" customFormat="1" ht="15">
      <c r="A123" s="282">
        <v>115</v>
      </c>
      <c r="B123" s="181"/>
      <c r="C123" s="182">
        <v>1</v>
      </c>
      <c r="D123" s="1388" t="s">
        <v>464</v>
      </c>
      <c r="E123" s="1388"/>
      <c r="F123" s="1388"/>
      <c r="G123" s="1388"/>
      <c r="H123" s="425"/>
      <c r="I123" s="901"/>
      <c r="Q123" s="384"/>
    </row>
    <row r="124" spans="1:18" s="90" customFormat="1" ht="15">
      <c r="A124" s="282">
        <v>116</v>
      </c>
      <c r="B124" s="92"/>
      <c r="C124" s="96"/>
      <c r="D124" s="558" t="s">
        <v>1168</v>
      </c>
      <c r="E124" s="999"/>
      <c r="F124" s="480"/>
      <c r="G124" s="480"/>
      <c r="H124" s="480"/>
      <c r="I124" s="1002">
        <f>SUM(J124:Q124)</f>
        <v>1937</v>
      </c>
      <c r="J124" s="494">
        <v>1546</v>
      </c>
      <c r="K124" s="494">
        <v>209</v>
      </c>
      <c r="L124" s="494">
        <v>182</v>
      </c>
      <c r="M124" s="494"/>
      <c r="N124" s="494"/>
      <c r="O124" s="494"/>
      <c r="P124" s="494"/>
      <c r="Q124" s="1003"/>
      <c r="R124" s="183"/>
    </row>
    <row r="125" spans="1:18" s="91" customFormat="1" ht="15">
      <c r="A125" s="282">
        <v>117</v>
      </c>
      <c r="B125" s="179"/>
      <c r="C125" s="285"/>
      <c r="D125" s="559" t="s">
        <v>1170</v>
      </c>
      <c r="E125" s="498"/>
      <c r="F125" s="486"/>
      <c r="G125" s="486"/>
      <c r="H125" s="480"/>
      <c r="I125" s="903"/>
      <c r="Q125" s="157"/>
      <c r="R125" s="184"/>
    </row>
    <row r="126" spans="1:18" s="94" customFormat="1" ht="15">
      <c r="A126" s="282">
        <v>118</v>
      </c>
      <c r="B126" s="383"/>
      <c r="C126" s="93"/>
      <c r="D126" s="560" t="s">
        <v>1169</v>
      </c>
      <c r="E126" s="1001"/>
      <c r="F126" s="483"/>
      <c r="G126" s="483"/>
      <c r="H126" s="483"/>
      <c r="I126" s="904">
        <f>SUM(I124:I125)</f>
        <v>1937</v>
      </c>
      <c r="J126" s="94">
        <f aca="true" t="shared" si="25" ref="J126:Q126">SUM(J124:J125)</f>
        <v>1546</v>
      </c>
      <c r="K126" s="94">
        <f t="shared" si="25"/>
        <v>209</v>
      </c>
      <c r="L126" s="94">
        <f t="shared" si="25"/>
        <v>182</v>
      </c>
      <c r="M126" s="94">
        <f t="shared" si="25"/>
        <v>0</v>
      </c>
      <c r="N126" s="94">
        <f t="shared" si="25"/>
        <v>0</v>
      </c>
      <c r="O126" s="94">
        <f t="shared" si="25"/>
        <v>0</v>
      </c>
      <c r="P126" s="94">
        <f t="shared" si="25"/>
        <v>0</v>
      </c>
      <c r="Q126" s="95">
        <f t="shared" si="25"/>
        <v>0</v>
      </c>
      <c r="R126" s="286"/>
    </row>
    <row r="127" spans="1:18" s="184" customFormat="1" ht="39.75" customHeight="1">
      <c r="A127" s="1023">
        <v>119</v>
      </c>
      <c r="B127" s="92">
        <v>9</v>
      </c>
      <c r="C127" s="96"/>
      <c r="D127" s="176" t="s">
        <v>517</v>
      </c>
      <c r="E127" s="994" t="s">
        <v>466</v>
      </c>
      <c r="F127" s="425">
        <v>80004</v>
      </c>
      <c r="G127" s="425">
        <v>50612</v>
      </c>
      <c r="H127" s="425">
        <v>53669</v>
      </c>
      <c r="I127" s="904"/>
      <c r="J127" s="94"/>
      <c r="K127" s="94"/>
      <c r="L127" s="94"/>
      <c r="M127" s="94"/>
      <c r="N127" s="94"/>
      <c r="O127" s="94"/>
      <c r="P127" s="94"/>
      <c r="Q127" s="95"/>
      <c r="R127" s="183">
        <f>(SUM(J128:Q128))-I128</f>
        <v>0</v>
      </c>
    </row>
    <row r="128" spans="1:18" s="90" customFormat="1" ht="15">
      <c r="A128" s="282">
        <v>120</v>
      </c>
      <c r="B128" s="92"/>
      <c r="C128" s="96"/>
      <c r="D128" s="386" t="s">
        <v>1168</v>
      </c>
      <c r="E128" s="999"/>
      <c r="F128" s="480"/>
      <c r="G128" s="480"/>
      <c r="H128" s="480"/>
      <c r="I128" s="901">
        <f>SUM(J128:Q128)</f>
        <v>51889</v>
      </c>
      <c r="J128" s="183">
        <v>26750</v>
      </c>
      <c r="K128" s="183">
        <v>7490</v>
      </c>
      <c r="L128" s="183">
        <v>17649</v>
      </c>
      <c r="M128" s="184"/>
      <c r="N128" s="184"/>
      <c r="O128" s="184"/>
      <c r="P128" s="184"/>
      <c r="Q128" s="385"/>
      <c r="R128" s="183"/>
    </row>
    <row r="129" spans="1:18" s="91" customFormat="1" ht="15">
      <c r="A129" s="282">
        <v>121</v>
      </c>
      <c r="B129" s="179"/>
      <c r="C129" s="285"/>
      <c r="D129" s="571" t="s">
        <v>588</v>
      </c>
      <c r="E129" s="498"/>
      <c r="F129" s="486"/>
      <c r="G129" s="486"/>
      <c r="H129" s="480"/>
      <c r="I129" s="1000">
        <f>SUM(J129:Q129)</f>
        <v>5831</v>
      </c>
      <c r="J129" s="574">
        <v>700</v>
      </c>
      <c r="K129" s="574">
        <v>100</v>
      </c>
      <c r="L129" s="574">
        <v>5031</v>
      </c>
      <c r="M129" s="574"/>
      <c r="N129" s="574"/>
      <c r="O129" s="574"/>
      <c r="P129" s="574"/>
      <c r="Q129" s="1013"/>
      <c r="R129" s="184"/>
    </row>
    <row r="130" spans="1:18" s="91" customFormat="1" ht="15">
      <c r="A130" s="282">
        <v>122</v>
      </c>
      <c r="B130" s="179"/>
      <c r="C130" s="285"/>
      <c r="D130" s="571" t="s">
        <v>591</v>
      </c>
      <c r="E130" s="498"/>
      <c r="F130" s="486"/>
      <c r="G130" s="486"/>
      <c r="H130" s="480"/>
      <c r="I130" s="1000">
        <f>SUM(J130:Q130)</f>
        <v>5827</v>
      </c>
      <c r="J130" s="574">
        <v>5427</v>
      </c>
      <c r="K130" s="574">
        <v>400</v>
      </c>
      <c r="L130" s="574"/>
      <c r="M130" s="574"/>
      <c r="N130" s="574"/>
      <c r="O130" s="574"/>
      <c r="P130" s="574"/>
      <c r="Q130" s="1013"/>
      <c r="R130" s="184"/>
    </row>
    <row r="131" spans="1:18" s="91" customFormat="1" ht="15">
      <c r="A131" s="282">
        <v>123</v>
      </c>
      <c r="B131" s="179"/>
      <c r="C131" s="285"/>
      <c r="D131" s="571" t="s">
        <v>595</v>
      </c>
      <c r="E131" s="498"/>
      <c r="F131" s="486"/>
      <c r="G131" s="486"/>
      <c r="H131" s="480"/>
      <c r="I131" s="1000">
        <f>SUM(J131:Q131)</f>
        <v>371</v>
      </c>
      <c r="J131" s="574">
        <v>292</v>
      </c>
      <c r="K131" s="574">
        <v>79</v>
      </c>
      <c r="L131" s="574"/>
      <c r="M131" s="574"/>
      <c r="N131" s="574"/>
      <c r="O131" s="574"/>
      <c r="P131" s="574"/>
      <c r="Q131" s="1013"/>
      <c r="R131" s="184"/>
    </row>
    <row r="132" spans="1:17" s="406" customFormat="1" ht="21.75" customHeight="1">
      <c r="A132" s="283">
        <v>124</v>
      </c>
      <c r="B132" s="403"/>
      <c r="C132" s="404"/>
      <c r="D132" s="582" t="s">
        <v>1169</v>
      </c>
      <c r="E132" s="1006"/>
      <c r="F132" s="897"/>
      <c r="G132" s="897"/>
      <c r="H132" s="897"/>
      <c r="I132" s="1007">
        <f aca="true" t="shared" si="26" ref="I132:Q132">SUM(I128:I131)</f>
        <v>63918</v>
      </c>
      <c r="J132" s="406">
        <f t="shared" si="26"/>
        <v>33169</v>
      </c>
      <c r="K132" s="406">
        <f t="shared" si="26"/>
        <v>8069</v>
      </c>
      <c r="L132" s="406">
        <f t="shared" si="26"/>
        <v>22680</v>
      </c>
      <c r="M132" s="406">
        <f t="shared" si="26"/>
        <v>0</v>
      </c>
      <c r="N132" s="406">
        <f t="shared" si="26"/>
        <v>0</v>
      </c>
      <c r="O132" s="406">
        <f t="shared" si="26"/>
        <v>0</v>
      </c>
      <c r="P132" s="406">
        <f t="shared" si="26"/>
        <v>0</v>
      </c>
      <c r="Q132" s="154">
        <f t="shared" si="26"/>
        <v>0</v>
      </c>
    </row>
    <row r="133" spans="1:18" s="91" customFormat="1" ht="15">
      <c r="A133" s="1023">
        <v>125</v>
      </c>
      <c r="B133" s="568"/>
      <c r="C133" s="562"/>
      <c r="D133" s="583" t="s">
        <v>444</v>
      </c>
      <c r="E133" s="1014"/>
      <c r="F133" s="584">
        <f>SUM(F107:F127)</f>
        <v>778259</v>
      </c>
      <c r="G133" s="584">
        <f>SUM(G107:G127)</f>
        <v>690804</v>
      </c>
      <c r="H133" s="584">
        <f>SUM(H107:H127)</f>
        <v>744151</v>
      </c>
      <c r="I133" s="1015"/>
      <c r="J133" s="1016"/>
      <c r="K133" s="1016"/>
      <c r="L133" s="1016"/>
      <c r="M133" s="1016"/>
      <c r="N133" s="1016"/>
      <c r="O133" s="1016"/>
      <c r="P133" s="1016"/>
      <c r="Q133" s="399"/>
      <c r="R133" s="90">
        <f>(SUM(J134:Q134))-I134</f>
        <v>0</v>
      </c>
    </row>
    <row r="134" spans="1:17" s="90" customFormat="1" ht="15">
      <c r="A134" s="1023">
        <v>126</v>
      </c>
      <c r="B134" s="92"/>
      <c r="C134" s="96"/>
      <c r="D134" s="581" t="s">
        <v>1168</v>
      </c>
      <c r="E134" s="999"/>
      <c r="F134" s="480"/>
      <c r="G134" s="480"/>
      <c r="H134" s="480"/>
      <c r="I134" s="902">
        <f aca="true" t="shared" si="27" ref="I134:Q134">SUM(I128,I124,I114,I108)</f>
        <v>655996</v>
      </c>
      <c r="J134" s="90">
        <f t="shared" si="27"/>
        <v>400058</v>
      </c>
      <c r="K134" s="90">
        <f t="shared" si="27"/>
        <v>116914</v>
      </c>
      <c r="L134" s="90">
        <f t="shared" si="27"/>
        <v>136314</v>
      </c>
      <c r="M134" s="90">
        <f t="shared" si="27"/>
        <v>0</v>
      </c>
      <c r="N134" s="90">
        <f t="shared" si="27"/>
        <v>0</v>
      </c>
      <c r="O134" s="90">
        <f t="shared" si="27"/>
        <v>2710</v>
      </c>
      <c r="P134" s="90">
        <f t="shared" si="27"/>
        <v>0</v>
      </c>
      <c r="Q134" s="98">
        <f t="shared" si="27"/>
        <v>0</v>
      </c>
    </row>
    <row r="135" spans="1:17" s="91" customFormat="1" ht="15">
      <c r="A135" s="1023">
        <v>127</v>
      </c>
      <c r="B135" s="179"/>
      <c r="C135" s="285"/>
      <c r="D135" s="187" t="s">
        <v>662</v>
      </c>
      <c r="E135" s="498"/>
      <c r="F135" s="486"/>
      <c r="G135" s="486"/>
      <c r="H135" s="480"/>
      <c r="I135" s="903">
        <f aca="true" t="shared" si="28" ref="I135:Q135">SUM(I129:I131,I125,I115:I121,I109:I111)</f>
        <v>50272</v>
      </c>
      <c r="J135" s="91">
        <f t="shared" si="28"/>
        <v>34062</v>
      </c>
      <c r="K135" s="91">
        <f t="shared" si="28"/>
        <v>8395</v>
      </c>
      <c r="L135" s="91">
        <f t="shared" si="28"/>
        <v>7745</v>
      </c>
      <c r="M135" s="91">
        <f t="shared" si="28"/>
        <v>0</v>
      </c>
      <c r="N135" s="91">
        <f t="shared" si="28"/>
        <v>0</v>
      </c>
      <c r="O135" s="91">
        <f t="shared" si="28"/>
        <v>70</v>
      </c>
      <c r="P135" s="91">
        <f t="shared" si="28"/>
        <v>0</v>
      </c>
      <c r="Q135" s="157">
        <f t="shared" si="28"/>
        <v>0</v>
      </c>
    </row>
    <row r="136" spans="1:17" s="94" customFormat="1" ht="15.75" thickBot="1">
      <c r="A136" s="1023">
        <v>128</v>
      </c>
      <c r="B136" s="564"/>
      <c r="C136" s="565"/>
      <c r="D136" s="573" t="s">
        <v>1169</v>
      </c>
      <c r="E136" s="1009"/>
      <c r="F136" s="567"/>
      <c r="G136" s="567"/>
      <c r="H136" s="567"/>
      <c r="I136" s="905">
        <f>SUM(I134:I135)</f>
        <v>706268</v>
      </c>
      <c r="J136" s="596">
        <f aca="true" t="shared" si="29" ref="J136:Q136">SUM(J134:J135)</f>
        <v>434120</v>
      </c>
      <c r="K136" s="596">
        <f t="shared" si="29"/>
        <v>125309</v>
      </c>
      <c r="L136" s="596">
        <f t="shared" si="29"/>
        <v>144059</v>
      </c>
      <c r="M136" s="596">
        <f t="shared" si="29"/>
        <v>0</v>
      </c>
      <c r="N136" s="596">
        <f t="shared" si="29"/>
        <v>0</v>
      </c>
      <c r="O136" s="596">
        <f t="shared" si="29"/>
        <v>2780</v>
      </c>
      <c r="P136" s="596">
        <f t="shared" si="29"/>
        <v>0</v>
      </c>
      <c r="Q136" s="599">
        <f t="shared" si="29"/>
        <v>0</v>
      </c>
    </row>
    <row r="137" spans="1:18" s="184" customFormat="1" ht="15.75" thickTop="1">
      <c r="A137" s="282">
        <v>129</v>
      </c>
      <c r="B137" s="181">
        <v>10</v>
      </c>
      <c r="C137" s="182"/>
      <c r="D137" s="176" t="s">
        <v>912</v>
      </c>
      <c r="E137" s="994" t="s">
        <v>466</v>
      </c>
      <c r="F137" s="425">
        <v>325814</v>
      </c>
      <c r="G137" s="425">
        <v>167797</v>
      </c>
      <c r="H137" s="425">
        <v>172414</v>
      </c>
      <c r="I137" s="904"/>
      <c r="J137" s="94"/>
      <c r="K137" s="94"/>
      <c r="L137" s="94"/>
      <c r="M137" s="94"/>
      <c r="N137" s="94"/>
      <c r="O137" s="94"/>
      <c r="P137" s="94"/>
      <c r="Q137" s="95"/>
      <c r="R137" s="183">
        <f>(SUM(J138:Q138))-I138</f>
        <v>0</v>
      </c>
    </row>
    <row r="138" spans="1:18" s="90" customFormat="1" ht="15">
      <c r="A138" s="282">
        <v>130</v>
      </c>
      <c r="B138" s="92"/>
      <c r="C138" s="96"/>
      <c r="D138" s="386" t="s">
        <v>1168</v>
      </c>
      <c r="E138" s="999"/>
      <c r="F138" s="480"/>
      <c r="G138" s="480"/>
      <c r="H138" s="480"/>
      <c r="I138" s="901">
        <f aca="true" t="shared" si="30" ref="I138:I155">SUM(J138:Q138)</f>
        <v>162519</v>
      </c>
      <c r="J138" s="183">
        <v>63396</v>
      </c>
      <c r="K138" s="183">
        <v>17003</v>
      </c>
      <c r="L138" s="183">
        <v>65500</v>
      </c>
      <c r="M138" s="184"/>
      <c r="N138" s="184"/>
      <c r="O138" s="184">
        <v>16620</v>
      </c>
      <c r="P138" s="184"/>
      <c r="Q138" s="385"/>
      <c r="R138" s="183"/>
    </row>
    <row r="139" spans="1:18" s="91" customFormat="1" ht="15">
      <c r="A139" s="282">
        <v>131</v>
      </c>
      <c r="B139" s="179"/>
      <c r="C139" s="285"/>
      <c r="D139" s="571" t="s">
        <v>588</v>
      </c>
      <c r="E139" s="498"/>
      <c r="F139" s="486"/>
      <c r="G139" s="486"/>
      <c r="H139" s="480"/>
      <c r="I139" s="1000">
        <f t="shared" si="30"/>
        <v>51866</v>
      </c>
      <c r="J139" s="574">
        <v>17516</v>
      </c>
      <c r="K139" s="574">
        <v>4404</v>
      </c>
      <c r="L139" s="574">
        <v>29946</v>
      </c>
      <c r="M139" s="574"/>
      <c r="N139" s="574"/>
      <c r="O139" s="574"/>
      <c r="P139" s="574"/>
      <c r="Q139" s="1013"/>
      <c r="R139" s="184"/>
    </row>
    <row r="140" spans="1:18" s="91" customFormat="1" ht="15">
      <c r="A140" s="282">
        <v>132</v>
      </c>
      <c r="B140" s="179"/>
      <c r="C140" s="285"/>
      <c r="D140" s="571" t="s">
        <v>595</v>
      </c>
      <c r="E140" s="498"/>
      <c r="F140" s="486"/>
      <c r="G140" s="486"/>
      <c r="H140" s="480"/>
      <c r="I140" s="1000">
        <f t="shared" si="30"/>
        <v>532</v>
      </c>
      <c r="J140" s="574">
        <v>419</v>
      </c>
      <c r="K140" s="574">
        <v>113</v>
      </c>
      <c r="L140" s="574"/>
      <c r="M140" s="574"/>
      <c r="N140" s="574"/>
      <c r="O140" s="574"/>
      <c r="P140" s="574"/>
      <c r="Q140" s="1013"/>
      <c r="R140" s="184"/>
    </row>
    <row r="141" spans="1:18" s="91" customFormat="1" ht="15">
      <c r="A141" s="282">
        <v>133</v>
      </c>
      <c r="B141" s="179"/>
      <c r="C141" s="285"/>
      <c r="D141" s="571" t="s">
        <v>604</v>
      </c>
      <c r="E141" s="498"/>
      <c r="F141" s="486"/>
      <c r="G141" s="486"/>
      <c r="H141" s="480"/>
      <c r="I141" s="1000">
        <f t="shared" si="30"/>
        <v>1357</v>
      </c>
      <c r="J141" s="574">
        <v>1067</v>
      </c>
      <c r="K141" s="574">
        <v>280</v>
      </c>
      <c r="L141" s="574">
        <v>10</v>
      </c>
      <c r="M141" s="574"/>
      <c r="N141" s="574"/>
      <c r="O141" s="574"/>
      <c r="P141" s="574"/>
      <c r="Q141" s="1013"/>
      <c r="R141" s="184"/>
    </row>
    <row r="142" spans="1:18" s="91" customFormat="1" ht="15">
      <c r="A142" s="282">
        <v>134</v>
      </c>
      <c r="B142" s="179"/>
      <c r="C142" s="285"/>
      <c r="D142" s="571" t="s">
        <v>773</v>
      </c>
      <c r="E142" s="498"/>
      <c r="F142" s="486"/>
      <c r="G142" s="486"/>
      <c r="H142" s="480"/>
      <c r="I142" s="1000">
        <f t="shared" si="30"/>
        <v>2500</v>
      </c>
      <c r="J142" s="574"/>
      <c r="K142" s="574"/>
      <c r="L142" s="574">
        <v>2500</v>
      </c>
      <c r="M142" s="574"/>
      <c r="N142" s="574"/>
      <c r="O142" s="574"/>
      <c r="P142" s="574"/>
      <c r="Q142" s="1013"/>
      <c r="R142" s="184"/>
    </row>
    <row r="143" spans="1:18" s="91" customFormat="1" ht="15">
      <c r="A143" s="282">
        <v>135</v>
      </c>
      <c r="B143" s="179"/>
      <c r="C143" s="285"/>
      <c r="D143" s="187" t="s">
        <v>770</v>
      </c>
      <c r="E143" s="498"/>
      <c r="F143" s="486"/>
      <c r="G143" s="486"/>
      <c r="H143" s="480"/>
      <c r="I143" s="1000">
        <f t="shared" si="30"/>
        <v>50</v>
      </c>
      <c r="J143" s="574"/>
      <c r="K143" s="574"/>
      <c r="L143" s="574">
        <v>50</v>
      </c>
      <c r="M143" s="574"/>
      <c r="N143" s="574"/>
      <c r="O143" s="574"/>
      <c r="P143" s="574"/>
      <c r="Q143" s="1013"/>
      <c r="R143" s="184"/>
    </row>
    <row r="144" spans="1:18" s="91" customFormat="1" ht="15">
      <c r="A144" s="282">
        <v>136</v>
      </c>
      <c r="B144" s="179"/>
      <c r="C144" s="285"/>
      <c r="D144" s="187" t="s">
        <v>771</v>
      </c>
      <c r="E144" s="498"/>
      <c r="F144" s="486"/>
      <c r="G144" s="486"/>
      <c r="H144" s="480"/>
      <c r="I144" s="1000">
        <f t="shared" si="30"/>
        <v>100</v>
      </c>
      <c r="J144" s="574"/>
      <c r="K144" s="574"/>
      <c r="L144" s="574">
        <v>100</v>
      </c>
      <c r="M144" s="574"/>
      <c r="N144" s="574"/>
      <c r="O144" s="574"/>
      <c r="P144" s="574"/>
      <c r="Q144" s="1013"/>
      <c r="R144" s="184"/>
    </row>
    <row r="145" spans="1:18" s="91" customFormat="1" ht="15">
      <c r="A145" s="282">
        <v>137</v>
      </c>
      <c r="B145" s="179"/>
      <c r="C145" s="285"/>
      <c r="D145" s="187" t="s">
        <v>772</v>
      </c>
      <c r="E145" s="498"/>
      <c r="F145" s="486"/>
      <c r="G145" s="486"/>
      <c r="H145" s="480"/>
      <c r="I145" s="1000">
        <f t="shared" si="30"/>
        <v>50</v>
      </c>
      <c r="J145" s="574"/>
      <c r="K145" s="574"/>
      <c r="L145" s="574">
        <v>50</v>
      </c>
      <c r="M145" s="574"/>
      <c r="N145" s="574"/>
      <c r="O145" s="574"/>
      <c r="P145" s="574"/>
      <c r="Q145" s="1013"/>
      <c r="R145" s="184"/>
    </row>
    <row r="146" spans="1:18" s="91" customFormat="1" ht="15">
      <c r="A146" s="282">
        <v>138</v>
      </c>
      <c r="B146" s="179"/>
      <c r="C146" s="285"/>
      <c r="D146" s="187" t="s">
        <v>308</v>
      </c>
      <c r="E146" s="498"/>
      <c r="F146" s="486"/>
      <c r="G146" s="486"/>
      <c r="H146" s="480"/>
      <c r="I146" s="1000">
        <f t="shared" si="30"/>
        <v>820</v>
      </c>
      <c r="J146" s="574"/>
      <c r="K146" s="574"/>
      <c r="L146" s="574">
        <v>820</v>
      </c>
      <c r="M146" s="574"/>
      <c r="N146" s="574"/>
      <c r="O146" s="574"/>
      <c r="P146" s="574"/>
      <c r="Q146" s="1013"/>
      <c r="R146" s="184"/>
    </row>
    <row r="147" spans="1:18" s="91" customFormat="1" ht="15">
      <c r="A147" s="282">
        <v>139</v>
      </c>
      <c r="B147" s="179"/>
      <c r="C147" s="285"/>
      <c r="D147" s="187" t="s">
        <v>309</v>
      </c>
      <c r="E147" s="498"/>
      <c r="F147" s="486"/>
      <c r="G147" s="486"/>
      <c r="H147" s="480"/>
      <c r="I147" s="1000">
        <f t="shared" si="30"/>
        <v>250</v>
      </c>
      <c r="J147" s="574"/>
      <c r="K147" s="574"/>
      <c r="L147" s="574">
        <v>250</v>
      </c>
      <c r="M147" s="574"/>
      <c r="N147" s="574"/>
      <c r="O147" s="574"/>
      <c r="P147" s="574"/>
      <c r="Q147" s="1013"/>
      <c r="R147" s="184"/>
    </row>
    <row r="148" spans="1:18" s="91" customFormat="1" ht="15">
      <c r="A148" s="282">
        <v>140</v>
      </c>
      <c r="B148" s="179"/>
      <c r="C148" s="285"/>
      <c r="D148" s="187" t="s">
        <v>310</v>
      </c>
      <c r="E148" s="498"/>
      <c r="F148" s="486"/>
      <c r="G148" s="486"/>
      <c r="H148" s="480"/>
      <c r="I148" s="1000">
        <f t="shared" si="30"/>
        <v>150</v>
      </c>
      <c r="J148" s="574"/>
      <c r="K148" s="574"/>
      <c r="L148" s="574">
        <v>150</v>
      </c>
      <c r="M148" s="574"/>
      <c r="N148" s="574"/>
      <c r="O148" s="574"/>
      <c r="P148" s="574"/>
      <c r="Q148" s="1013"/>
      <c r="R148" s="184"/>
    </row>
    <row r="149" spans="1:18" s="91" customFormat="1" ht="15">
      <c r="A149" s="282">
        <v>141</v>
      </c>
      <c r="B149" s="179"/>
      <c r="C149" s="285"/>
      <c r="D149" s="187" t="s">
        <v>311</v>
      </c>
      <c r="E149" s="498"/>
      <c r="F149" s="486"/>
      <c r="G149" s="486"/>
      <c r="H149" s="480"/>
      <c r="I149" s="1000">
        <f t="shared" si="30"/>
        <v>120</v>
      </c>
      <c r="J149" s="574"/>
      <c r="K149" s="574"/>
      <c r="L149" s="574">
        <v>120</v>
      </c>
      <c r="M149" s="574"/>
      <c r="N149" s="574"/>
      <c r="O149" s="574"/>
      <c r="P149" s="574"/>
      <c r="Q149" s="1013"/>
      <c r="R149" s="184"/>
    </row>
    <row r="150" spans="1:18" s="91" customFormat="1" ht="15">
      <c r="A150" s="282">
        <v>142</v>
      </c>
      <c r="B150" s="179"/>
      <c r="C150" s="285"/>
      <c r="D150" s="187" t="s">
        <v>312</v>
      </c>
      <c r="E150" s="498"/>
      <c r="F150" s="486"/>
      <c r="G150" s="486"/>
      <c r="H150" s="480"/>
      <c r="I150" s="1000">
        <f t="shared" si="30"/>
        <v>250</v>
      </c>
      <c r="J150" s="574"/>
      <c r="K150" s="574"/>
      <c r="L150" s="574">
        <v>250</v>
      </c>
      <c r="M150" s="574"/>
      <c r="N150" s="574"/>
      <c r="O150" s="574"/>
      <c r="P150" s="574"/>
      <c r="Q150" s="1013"/>
      <c r="R150" s="184"/>
    </row>
    <row r="151" spans="1:18" s="91" customFormat="1" ht="15">
      <c r="A151" s="282">
        <v>143</v>
      </c>
      <c r="B151" s="179"/>
      <c r="C151" s="285"/>
      <c r="D151" s="187" t="s">
        <v>313</v>
      </c>
      <c r="E151" s="498"/>
      <c r="F151" s="486"/>
      <c r="G151" s="486"/>
      <c r="H151" s="480"/>
      <c r="I151" s="1000">
        <f t="shared" si="30"/>
        <v>130</v>
      </c>
      <c r="J151" s="574"/>
      <c r="K151" s="574"/>
      <c r="L151" s="574">
        <v>130</v>
      </c>
      <c r="M151" s="574"/>
      <c r="N151" s="574"/>
      <c r="O151" s="574"/>
      <c r="P151" s="574"/>
      <c r="Q151" s="1013"/>
      <c r="R151" s="184"/>
    </row>
    <row r="152" spans="1:18" s="91" customFormat="1" ht="15">
      <c r="A152" s="282">
        <v>144</v>
      </c>
      <c r="B152" s="179"/>
      <c r="C152" s="285"/>
      <c r="D152" s="187" t="s">
        <v>314</v>
      </c>
      <c r="E152" s="498"/>
      <c r="F152" s="486"/>
      <c r="G152" s="486"/>
      <c r="H152" s="480"/>
      <c r="I152" s="1000">
        <f t="shared" si="30"/>
        <v>50</v>
      </c>
      <c r="J152" s="574"/>
      <c r="K152" s="574"/>
      <c r="L152" s="574">
        <v>50</v>
      </c>
      <c r="M152" s="574"/>
      <c r="N152" s="574"/>
      <c r="O152" s="574"/>
      <c r="P152" s="574"/>
      <c r="Q152" s="1013"/>
      <c r="R152" s="184"/>
    </row>
    <row r="153" spans="1:18" s="91" customFormat="1" ht="15">
      <c r="A153" s="282">
        <v>145</v>
      </c>
      <c r="B153" s="179"/>
      <c r="C153" s="285"/>
      <c r="D153" s="187" t="s">
        <v>315</v>
      </c>
      <c r="E153" s="498"/>
      <c r="F153" s="486"/>
      <c r="G153" s="486"/>
      <c r="H153" s="480"/>
      <c r="I153" s="1000">
        <f t="shared" si="30"/>
        <v>60</v>
      </c>
      <c r="J153" s="574"/>
      <c r="K153" s="574"/>
      <c r="L153" s="574">
        <v>60</v>
      </c>
      <c r="M153" s="574"/>
      <c r="N153" s="574"/>
      <c r="O153" s="574"/>
      <c r="P153" s="574"/>
      <c r="Q153" s="1013"/>
      <c r="R153" s="184"/>
    </row>
    <row r="154" spans="1:18" s="91" customFormat="1" ht="15">
      <c r="A154" s="282">
        <v>146</v>
      </c>
      <c r="B154" s="179"/>
      <c r="C154" s="285"/>
      <c r="D154" s="187" t="s">
        <v>645</v>
      </c>
      <c r="E154" s="498"/>
      <c r="F154" s="486"/>
      <c r="G154" s="486"/>
      <c r="H154" s="480"/>
      <c r="I154" s="1000">
        <f t="shared" si="30"/>
        <v>150</v>
      </c>
      <c r="J154" s="574"/>
      <c r="K154" s="574"/>
      <c r="L154" s="574">
        <v>150</v>
      </c>
      <c r="M154" s="574"/>
      <c r="N154" s="574"/>
      <c r="O154" s="574"/>
      <c r="P154" s="574"/>
      <c r="Q154" s="1013"/>
      <c r="R154" s="184"/>
    </row>
    <row r="155" spans="1:18" s="91" customFormat="1" ht="15">
      <c r="A155" s="282">
        <v>147</v>
      </c>
      <c r="B155" s="179"/>
      <c r="C155" s="285"/>
      <c r="D155" s="187" t="s">
        <v>317</v>
      </c>
      <c r="E155" s="498"/>
      <c r="F155" s="486"/>
      <c r="G155" s="486"/>
      <c r="H155" s="480"/>
      <c r="I155" s="1000">
        <f t="shared" si="30"/>
        <v>300</v>
      </c>
      <c r="J155" s="574"/>
      <c r="K155" s="574"/>
      <c r="L155" s="574">
        <v>300</v>
      </c>
      <c r="M155" s="574"/>
      <c r="N155" s="574"/>
      <c r="O155" s="574"/>
      <c r="P155" s="574"/>
      <c r="Q155" s="1013"/>
      <c r="R155" s="184"/>
    </row>
    <row r="156" spans="1:18" s="94" customFormat="1" ht="15">
      <c r="A156" s="282">
        <v>148</v>
      </c>
      <c r="B156" s="383"/>
      <c r="C156" s="93"/>
      <c r="D156" s="572" t="s">
        <v>1169</v>
      </c>
      <c r="E156" s="1001"/>
      <c r="F156" s="483"/>
      <c r="G156" s="483"/>
      <c r="H156" s="483"/>
      <c r="I156" s="904">
        <f>SUM(I138:I155)</f>
        <v>221254</v>
      </c>
      <c r="J156" s="904">
        <f aca="true" t="shared" si="31" ref="J156:Q156">SUM(J138:J155)</f>
        <v>82398</v>
      </c>
      <c r="K156" s="904">
        <f t="shared" si="31"/>
        <v>21800</v>
      </c>
      <c r="L156" s="904">
        <f>SUM(L138:L155)</f>
        <v>100436</v>
      </c>
      <c r="M156" s="904">
        <f t="shared" si="31"/>
        <v>0</v>
      </c>
      <c r="N156" s="904">
        <f t="shared" si="31"/>
        <v>0</v>
      </c>
      <c r="O156" s="904">
        <f t="shared" si="31"/>
        <v>16620</v>
      </c>
      <c r="P156" s="904">
        <f t="shared" si="31"/>
        <v>0</v>
      </c>
      <c r="Q156" s="1158">
        <f t="shared" si="31"/>
        <v>0</v>
      </c>
      <c r="R156" s="286"/>
    </row>
    <row r="157" spans="1:17" s="183" customFormat="1" ht="30">
      <c r="A157" s="1023">
        <v>149</v>
      </c>
      <c r="B157" s="92"/>
      <c r="C157" s="96">
        <v>1</v>
      </c>
      <c r="D157" s="561" t="s">
        <v>387</v>
      </c>
      <c r="E157" s="176"/>
      <c r="F157" s="176"/>
      <c r="G157" s="176"/>
      <c r="H157" s="425">
        <v>0</v>
      </c>
      <c r="I157" s="901"/>
      <c r="Q157" s="384"/>
    </row>
    <row r="158" spans="1:18" s="90" customFormat="1" ht="15">
      <c r="A158" s="282">
        <v>150</v>
      </c>
      <c r="B158" s="92"/>
      <c r="C158" s="96"/>
      <c r="D158" s="558" t="s">
        <v>1168</v>
      </c>
      <c r="E158" s="999"/>
      <c r="F158" s="480"/>
      <c r="G158" s="480"/>
      <c r="H158" s="480"/>
      <c r="I158" s="1002">
        <f>SUM(J158:Q158)</f>
        <v>17664</v>
      </c>
      <c r="J158" s="494"/>
      <c r="K158" s="494"/>
      <c r="L158" s="494">
        <v>17664</v>
      </c>
      <c r="M158" s="494"/>
      <c r="N158" s="494"/>
      <c r="O158" s="494"/>
      <c r="P158" s="494"/>
      <c r="Q158" s="1003"/>
      <c r="R158" s="183"/>
    </row>
    <row r="159" spans="1:18" s="91" customFormat="1" ht="15">
      <c r="A159" s="282">
        <v>151</v>
      </c>
      <c r="B159" s="179"/>
      <c r="C159" s="285"/>
      <c r="D159" s="559" t="s">
        <v>1170</v>
      </c>
      <c r="E159" s="498"/>
      <c r="F159" s="486"/>
      <c r="G159" s="486"/>
      <c r="H159" s="480"/>
      <c r="I159" s="1004">
        <f>SUM(J159:Q159)</f>
        <v>2500</v>
      </c>
      <c r="L159" s="91">
        <v>2500</v>
      </c>
      <c r="Q159" s="157"/>
      <c r="R159" s="184"/>
    </row>
    <row r="160" spans="1:18" s="94" customFormat="1" ht="15">
      <c r="A160" s="282">
        <v>152</v>
      </c>
      <c r="B160" s="383"/>
      <c r="C160" s="93"/>
      <c r="D160" s="560" t="s">
        <v>1169</v>
      </c>
      <c r="E160" s="1001"/>
      <c r="F160" s="483"/>
      <c r="G160" s="483"/>
      <c r="H160" s="483"/>
      <c r="I160" s="904">
        <f>SUM(I158:I159)</f>
        <v>20164</v>
      </c>
      <c r="J160" s="94">
        <f aca="true" t="shared" si="32" ref="J160:Q160">SUM(J158:J159)</f>
        <v>0</v>
      </c>
      <c r="K160" s="94">
        <f t="shared" si="32"/>
        <v>0</v>
      </c>
      <c r="L160" s="94">
        <f t="shared" si="32"/>
        <v>20164</v>
      </c>
      <c r="M160" s="94">
        <f t="shared" si="32"/>
        <v>0</v>
      </c>
      <c r="N160" s="94">
        <f t="shared" si="32"/>
        <v>0</v>
      </c>
      <c r="O160" s="94">
        <f t="shared" si="32"/>
        <v>0</v>
      </c>
      <c r="P160" s="94">
        <f t="shared" si="32"/>
        <v>0</v>
      </c>
      <c r="Q160" s="95">
        <f t="shared" si="32"/>
        <v>0</v>
      </c>
      <c r="R160" s="286"/>
    </row>
    <row r="161" spans="1:18" s="184" customFormat="1" ht="30" customHeight="1">
      <c r="A161" s="282">
        <v>153</v>
      </c>
      <c r="B161" s="181">
        <v>11</v>
      </c>
      <c r="C161" s="182"/>
      <c r="D161" s="176" t="s">
        <v>913</v>
      </c>
      <c r="E161" s="994" t="s">
        <v>466</v>
      </c>
      <c r="F161" s="425">
        <v>95933</v>
      </c>
      <c r="G161" s="425">
        <v>77338</v>
      </c>
      <c r="H161" s="425">
        <v>98692</v>
      </c>
      <c r="I161" s="904"/>
      <c r="J161" s="94"/>
      <c r="K161" s="94"/>
      <c r="L161" s="94"/>
      <c r="M161" s="94"/>
      <c r="N161" s="94"/>
      <c r="O161" s="94"/>
      <c r="P161" s="94"/>
      <c r="Q161" s="95"/>
      <c r="R161" s="183">
        <f>(SUM(J162:Q162))-I162</f>
        <v>0</v>
      </c>
    </row>
    <row r="162" spans="1:18" s="90" customFormat="1" ht="15">
      <c r="A162" s="282">
        <v>154</v>
      </c>
      <c r="B162" s="92"/>
      <c r="C162" s="96"/>
      <c r="D162" s="386" t="s">
        <v>1168</v>
      </c>
      <c r="E162" s="999"/>
      <c r="F162" s="480"/>
      <c r="G162" s="480"/>
      <c r="H162" s="480"/>
      <c r="I162" s="901">
        <f aca="true" t="shared" si="33" ref="I162:I167">SUM(J162:Q162)</f>
        <v>75506</v>
      </c>
      <c r="J162" s="183">
        <v>43475</v>
      </c>
      <c r="K162" s="183">
        <v>12174</v>
      </c>
      <c r="L162" s="183">
        <v>19857</v>
      </c>
      <c r="M162" s="184"/>
      <c r="N162" s="184"/>
      <c r="O162" s="184"/>
      <c r="P162" s="184"/>
      <c r="Q162" s="385"/>
      <c r="R162" s="183"/>
    </row>
    <row r="163" spans="1:18" s="91" customFormat="1" ht="15">
      <c r="A163" s="282">
        <v>155</v>
      </c>
      <c r="B163" s="179"/>
      <c r="C163" s="285"/>
      <c r="D163" s="571" t="s">
        <v>588</v>
      </c>
      <c r="E163" s="498"/>
      <c r="F163" s="486"/>
      <c r="G163" s="486"/>
      <c r="H163" s="480"/>
      <c r="I163" s="1000">
        <f t="shared" si="33"/>
        <v>386</v>
      </c>
      <c r="J163" s="574"/>
      <c r="K163" s="574"/>
      <c r="L163" s="574">
        <v>386</v>
      </c>
      <c r="M163" s="574"/>
      <c r="N163" s="574"/>
      <c r="O163" s="574"/>
      <c r="P163" s="574"/>
      <c r="Q163" s="1013"/>
      <c r="R163" s="184"/>
    </row>
    <row r="164" spans="1:18" s="91" customFormat="1" ht="15">
      <c r="A164" s="282">
        <v>156</v>
      </c>
      <c r="B164" s="179"/>
      <c r="C164" s="285"/>
      <c r="D164" s="571" t="s">
        <v>595</v>
      </c>
      <c r="E164" s="498"/>
      <c r="F164" s="486"/>
      <c r="G164" s="486"/>
      <c r="H164" s="480"/>
      <c r="I164" s="1000">
        <f t="shared" si="33"/>
        <v>420</v>
      </c>
      <c r="J164" s="574">
        <v>331</v>
      </c>
      <c r="K164" s="574">
        <v>89</v>
      </c>
      <c r="L164" s="574"/>
      <c r="M164" s="574"/>
      <c r="N164" s="574"/>
      <c r="O164" s="574"/>
      <c r="P164" s="574"/>
      <c r="Q164" s="1013"/>
      <c r="R164" s="184"/>
    </row>
    <row r="165" spans="1:18" s="91" customFormat="1" ht="15">
      <c r="A165" s="282">
        <v>157</v>
      </c>
      <c r="B165" s="179"/>
      <c r="C165" s="285"/>
      <c r="D165" s="571" t="s">
        <v>592</v>
      </c>
      <c r="E165" s="498"/>
      <c r="F165" s="486"/>
      <c r="G165" s="486"/>
      <c r="H165" s="480"/>
      <c r="I165" s="1000">
        <f t="shared" si="33"/>
        <v>0</v>
      </c>
      <c r="J165" s="574"/>
      <c r="K165" s="574"/>
      <c r="L165" s="574">
        <v>-386</v>
      </c>
      <c r="M165" s="574"/>
      <c r="N165" s="574"/>
      <c r="O165" s="574">
        <v>386</v>
      </c>
      <c r="P165" s="574"/>
      <c r="Q165" s="1013"/>
      <c r="R165" s="184"/>
    </row>
    <row r="166" spans="1:18" s="91" customFormat="1" ht="15">
      <c r="A166" s="282">
        <v>158</v>
      </c>
      <c r="B166" s="179"/>
      <c r="C166" s="285"/>
      <c r="D166" s="571" t="s">
        <v>182</v>
      </c>
      <c r="E166" s="498"/>
      <c r="F166" s="486"/>
      <c r="G166" s="486"/>
      <c r="H166" s="480"/>
      <c r="I166" s="1000">
        <f t="shared" si="33"/>
        <v>1500</v>
      </c>
      <c r="J166" s="574"/>
      <c r="K166" s="574"/>
      <c r="L166" s="574">
        <v>1500</v>
      </c>
      <c r="M166" s="574"/>
      <c r="N166" s="574"/>
      <c r="O166" s="574"/>
      <c r="P166" s="574"/>
      <c r="Q166" s="1013"/>
      <c r="R166" s="184"/>
    </row>
    <row r="167" spans="1:18" s="91" customFormat="1" ht="15">
      <c r="A167" s="282">
        <v>159</v>
      </c>
      <c r="B167" s="179"/>
      <c r="C167" s="285"/>
      <c r="D167" s="571" t="s">
        <v>775</v>
      </c>
      <c r="E167" s="498"/>
      <c r="F167" s="486"/>
      <c r="G167" s="486"/>
      <c r="H167" s="480"/>
      <c r="I167" s="1000">
        <f t="shared" si="33"/>
        <v>40</v>
      </c>
      <c r="J167" s="574"/>
      <c r="K167" s="574"/>
      <c r="L167" s="574">
        <v>40</v>
      </c>
      <c r="M167" s="574"/>
      <c r="N167" s="574"/>
      <c r="O167" s="574"/>
      <c r="P167" s="574"/>
      <c r="Q167" s="1013"/>
      <c r="R167" s="184"/>
    </row>
    <row r="168" spans="1:18" s="94" customFormat="1" ht="15">
      <c r="A168" s="282">
        <v>160</v>
      </c>
      <c r="B168" s="383"/>
      <c r="C168" s="93"/>
      <c r="D168" s="572" t="s">
        <v>1169</v>
      </c>
      <c r="E168" s="1001"/>
      <c r="F168" s="483"/>
      <c r="G168" s="483"/>
      <c r="H168" s="483"/>
      <c r="I168" s="904">
        <f>SUM(I162:I167)</f>
        <v>77852</v>
      </c>
      <c r="J168" s="94">
        <f aca="true" t="shared" si="34" ref="J168:Q168">SUM(J162:J166)</f>
        <v>43806</v>
      </c>
      <c r="K168" s="94">
        <f t="shared" si="34"/>
        <v>12263</v>
      </c>
      <c r="L168" s="94">
        <f>SUM(L162:L167)</f>
        <v>21397</v>
      </c>
      <c r="M168" s="94">
        <f t="shared" si="34"/>
        <v>0</v>
      </c>
      <c r="N168" s="94">
        <f t="shared" si="34"/>
        <v>0</v>
      </c>
      <c r="O168" s="94">
        <f t="shared" si="34"/>
        <v>386</v>
      </c>
      <c r="P168" s="94">
        <f t="shared" si="34"/>
        <v>0</v>
      </c>
      <c r="Q168" s="95">
        <f t="shared" si="34"/>
        <v>0</v>
      </c>
      <c r="R168" s="286"/>
    </row>
    <row r="169" spans="1:17" s="183" customFormat="1" ht="30">
      <c r="A169" s="1023">
        <v>161</v>
      </c>
      <c r="B169" s="92"/>
      <c r="C169" s="96">
        <v>1</v>
      </c>
      <c r="D169" s="561" t="s">
        <v>387</v>
      </c>
      <c r="E169" s="176"/>
      <c r="F169" s="176"/>
      <c r="G169" s="176"/>
      <c r="H169" s="425"/>
      <c r="I169" s="901"/>
      <c r="Q169" s="384"/>
    </row>
    <row r="170" spans="1:18" s="90" customFormat="1" ht="15">
      <c r="A170" s="282">
        <v>162</v>
      </c>
      <c r="B170" s="92"/>
      <c r="C170" s="96"/>
      <c r="D170" s="558" t="s">
        <v>1168</v>
      </c>
      <c r="E170" s="999"/>
      <c r="F170" s="480"/>
      <c r="G170" s="480"/>
      <c r="H170" s="480"/>
      <c r="I170" s="1002">
        <f>SUM(J170:Q170)</f>
        <v>9667</v>
      </c>
      <c r="J170" s="494"/>
      <c r="K170" s="494"/>
      <c r="L170" s="494">
        <v>9667</v>
      </c>
      <c r="M170" s="494"/>
      <c r="N170" s="494"/>
      <c r="O170" s="494"/>
      <c r="P170" s="494"/>
      <c r="Q170" s="1003"/>
      <c r="R170" s="183"/>
    </row>
    <row r="171" spans="1:18" s="91" customFormat="1" ht="15">
      <c r="A171" s="282">
        <v>163</v>
      </c>
      <c r="B171" s="179"/>
      <c r="C171" s="285"/>
      <c r="D171" s="559" t="s">
        <v>1170</v>
      </c>
      <c r="E171" s="498"/>
      <c r="F171" s="486"/>
      <c r="G171" s="486"/>
      <c r="H171" s="480"/>
      <c r="I171" s="903"/>
      <c r="Q171" s="157"/>
      <c r="R171" s="184"/>
    </row>
    <row r="172" spans="1:18" s="94" customFormat="1" ht="15">
      <c r="A172" s="282">
        <v>164</v>
      </c>
      <c r="B172" s="383"/>
      <c r="C172" s="93"/>
      <c r="D172" s="560" t="s">
        <v>1169</v>
      </c>
      <c r="E172" s="1001"/>
      <c r="F172" s="483"/>
      <c r="G172" s="483"/>
      <c r="H172" s="483"/>
      <c r="I172" s="904">
        <f>SUM(I170:I171)</f>
        <v>9667</v>
      </c>
      <c r="J172" s="94">
        <f aca="true" t="shared" si="35" ref="J172:Q172">SUM(J170:J171)</f>
        <v>0</v>
      </c>
      <c r="K172" s="94">
        <f t="shared" si="35"/>
        <v>0</v>
      </c>
      <c r="L172" s="94">
        <f t="shared" si="35"/>
        <v>9667</v>
      </c>
      <c r="M172" s="94">
        <f t="shared" si="35"/>
        <v>0</v>
      </c>
      <c r="N172" s="94">
        <f t="shared" si="35"/>
        <v>0</v>
      </c>
      <c r="O172" s="94">
        <f t="shared" si="35"/>
        <v>0</v>
      </c>
      <c r="P172" s="94">
        <f t="shared" si="35"/>
        <v>0</v>
      </c>
      <c r="Q172" s="95">
        <f t="shared" si="35"/>
        <v>0</v>
      </c>
      <c r="R172" s="286"/>
    </row>
    <row r="173" spans="1:18" s="184" customFormat="1" ht="30" customHeight="1">
      <c r="A173" s="282">
        <v>165</v>
      </c>
      <c r="B173" s="181">
        <v>12</v>
      </c>
      <c r="C173" s="182"/>
      <c r="D173" s="176" t="s">
        <v>459</v>
      </c>
      <c r="E173" s="994" t="s">
        <v>466</v>
      </c>
      <c r="F173" s="425">
        <v>0</v>
      </c>
      <c r="G173" s="425">
        <v>190822</v>
      </c>
      <c r="H173" s="425">
        <v>357972</v>
      </c>
      <c r="I173" s="904"/>
      <c r="J173" s="94"/>
      <c r="K173" s="94"/>
      <c r="L173" s="94"/>
      <c r="M173" s="94"/>
      <c r="N173" s="94"/>
      <c r="O173" s="94"/>
      <c r="P173" s="94"/>
      <c r="Q173" s="95"/>
      <c r="R173" s="183">
        <f>(SUM(J174:Q174))-I174</f>
        <v>0</v>
      </c>
    </row>
    <row r="174" spans="1:18" s="90" customFormat="1" ht="15">
      <c r="A174" s="282">
        <v>166</v>
      </c>
      <c r="B174" s="92"/>
      <c r="C174" s="96"/>
      <c r="D174" s="386" t="s">
        <v>1168</v>
      </c>
      <c r="E174" s="999"/>
      <c r="F174" s="480"/>
      <c r="G174" s="480"/>
      <c r="H174" s="480"/>
      <c r="I174" s="901">
        <f aca="true" t="shared" si="36" ref="I174:I180">SUM(J174:Q174)</f>
        <v>356202</v>
      </c>
      <c r="J174" s="183">
        <v>125620</v>
      </c>
      <c r="K174" s="183">
        <v>36655</v>
      </c>
      <c r="L174" s="183">
        <v>168527</v>
      </c>
      <c r="M174" s="184"/>
      <c r="N174" s="184"/>
      <c r="O174" s="184">
        <v>25400</v>
      </c>
      <c r="P174" s="184"/>
      <c r="Q174" s="385"/>
      <c r="R174" s="183"/>
    </row>
    <row r="175" spans="1:18" s="91" customFormat="1" ht="15">
      <c r="A175" s="282">
        <v>167</v>
      </c>
      <c r="B175" s="179"/>
      <c r="C175" s="285"/>
      <c r="D175" s="571" t="s">
        <v>597</v>
      </c>
      <c r="E175" s="498"/>
      <c r="F175" s="486"/>
      <c r="G175" s="486"/>
      <c r="H175" s="480"/>
      <c r="I175" s="1000">
        <f t="shared" si="36"/>
        <v>1385</v>
      </c>
      <c r="J175" s="574">
        <v>1091</v>
      </c>
      <c r="K175" s="574">
        <v>294</v>
      </c>
      <c r="L175" s="574"/>
      <c r="M175" s="574"/>
      <c r="N175" s="574"/>
      <c r="O175" s="574"/>
      <c r="P175" s="574"/>
      <c r="Q175" s="1013"/>
      <c r="R175" s="184"/>
    </row>
    <row r="176" spans="1:18" s="91" customFormat="1" ht="15">
      <c r="A176" s="282">
        <v>168</v>
      </c>
      <c r="B176" s="179"/>
      <c r="C176" s="285"/>
      <c r="D176" s="571" t="s">
        <v>646</v>
      </c>
      <c r="E176" s="498"/>
      <c r="F176" s="486"/>
      <c r="G176" s="486"/>
      <c r="H176" s="480"/>
      <c r="I176" s="1000">
        <f t="shared" si="36"/>
        <v>200</v>
      </c>
      <c r="J176" s="574"/>
      <c r="K176" s="574"/>
      <c r="L176" s="574">
        <v>200</v>
      </c>
      <c r="M176" s="574"/>
      <c r="N176" s="574"/>
      <c r="O176" s="574"/>
      <c r="P176" s="574"/>
      <c r="Q176" s="1013"/>
      <c r="R176" s="184"/>
    </row>
    <row r="177" spans="1:18" s="91" customFormat="1" ht="15">
      <c r="A177" s="282">
        <v>169</v>
      </c>
      <c r="B177" s="179"/>
      <c r="C177" s="285"/>
      <c r="D177" s="571" t="s">
        <v>318</v>
      </c>
      <c r="E177" s="498"/>
      <c r="F177" s="486"/>
      <c r="G177" s="486"/>
      <c r="H177" s="480"/>
      <c r="I177" s="1000">
        <f t="shared" si="36"/>
        <v>70</v>
      </c>
      <c r="J177" s="574"/>
      <c r="K177" s="574"/>
      <c r="L177" s="574">
        <v>70</v>
      </c>
      <c r="M177" s="574"/>
      <c r="N177" s="574"/>
      <c r="O177" s="574"/>
      <c r="P177" s="574"/>
      <c r="Q177" s="1013"/>
      <c r="R177" s="184"/>
    </row>
    <row r="178" spans="1:18" s="91" customFormat="1" ht="15">
      <c r="A178" s="282">
        <v>170</v>
      </c>
      <c r="B178" s="179"/>
      <c r="C178" s="285"/>
      <c r="D178" s="571" t="s">
        <v>647</v>
      </c>
      <c r="E178" s="498"/>
      <c r="F178" s="486"/>
      <c r="G178" s="486"/>
      <c r="H178" s="480"/>
      <c r="I178" s="1000">
        <f t="shared" si="36"/>
        <v>160</v>
      </c>
      <c r="J178" s="574"/>
      <c r="K178" s="574"/>
      <c r="L178" s="574">
        <v>160</v>
      </c>
      <c r="M178" s="574"/>
      <c r="N178" s="574"/>
      <c r="O178" s="574"/>
      <c r="P178" s="574"/>
      <c r="Q178" s="1013"/>
      <c r="R178" s="184"/>
    </row>
    <row r="179" spans="1:18" s="91" customFormat="1" ht="15">
      <c r="A179" s="282">
        <v>171</v>
      </c>
      <c r="B179" s="179"/>
      <c r="C179" s="285"/>
      <c r="D179" s="571" t="s">
        <v>659</v>
      </c>
      <c r="E179" s="498"/>
      <c r="F179" s="486"/>
      <c r="G179" s="486"/>
      <c r="H179" s="480"/>
      <c r="I179" s="1000">
        <f t="shared" si="36"/>
        <v>100</v>
      </c>
      <c r="J179" s="574"/>
      <c r="K179" s="574"/>
      <c r="L179" s="574">
        <v>100</v>
      </c>
      <c r="M179" s="574"/>
      <c r="N179" s="574"/>
      <c r="O179" s="574"/>
      <c r="P179" s="574"/>
      <c r="Q179" s="1013"/>
      <c r="R179" s="184"/>
    </row>
    <row r="180" spans="1:18" s="91" customFormat="1" ht="15">
      <c r="A180" s="282">
        <v>172</v>
      </c>
      <c r="B180" s="179"/>
      <c r="C180" s="285"/>
      <c r="D180" s="571" t="s">
        <v>1124</v>
      </c>
      <c r="E180" s="498"/>
      <c r="F180" s="486"/>
      <c r="G180" s="486"/>
      <c r="H180" s="480"/>
      <c r="I180" s="1000">
        <f t="shared" si="36"/>
        <v>7660</v>
      </c>
      <c r="J180" s="574">
        <v>1000</v>
      </c>
      <c r="K180" s="574">
        <v>182</v>
      </c>
      <c r="L180" s="574">
        <v>6478</v>
      </c>
      <c r="M180" s="574"/>
      <c r="N180" s="574"/>
      <c r="O180" s="574"/>
      <c r="P180" s="574"/>
      <c r="Q180" s="1013"/>
      <c r="R180" s="184"/>
    </row>
    <row r="181" spans="1:18" s="94" customFormat="1" ht="15">
      <c r="A181" s="282">
        <v>173</v>
      </c>
      <c r="B181" s="383"/>
      <c r="C181" s="93"/>
      <c r="D181" s="572" t="s">
        <v>1169</v>
      </c>
      <c r="E181" s="1001"/>
      <c r="F181" s="483"/>
      <c r="G181" s="483"/>
      <c r="H181" s="483"/>
      <c r="I181" s="904">
        <f>SUM(I174:I180)</f>
        <v>365777</v>
      </c>
      <c r="J181" s="94">
        <f aca="true" t="shared" si="37" ref="J181:Q181">SUM(J174:J180)</f>
        <v>127711</v>
      </c>
      <c r="K181" s="94">
        <f t="shared" si="37"/>
        <v>37131</v>
      </c>
      <c r="L181" s="94">
        <f t="shared" si="37"/>
        <v>175535</v>
      </c>
      <c r="M181" s="94">
        <f t="shared" si="37"/>
        <v>0</v>
      </c>
      <c r="N181" s="94">
        <f t="shared" si="37"/>
        <v>0</v>
      </c>
      <c r="O181" s="94">
        <f t="shared" si="37"/>
        <v>25400</v>
      </c>
      <c r="P181" s="94">
        <f t="shared" si="37"/>
        <v>0</v>
      </c>
      <c r="Q181" s="95">
        <f t="shared" si="37"/>
        <v>0</v>
      </c>
      <c r="R181" s="286"/>
    </row>
    <row r="182" spans="1:18" s="183" customFormat="1" ht="33.75" customHeight="1">
      <c r="A182" s="1023">
        <v>174</v>
      </c>
      <c r="B182" s="92"/>
      <c r="C182" s="96">
        <v>1</v>
      </c>
      <c r="D182" s="561" t="s">
        <v>937</v>
      </c>
      <c r="E182" s="176"/>
      <c r="F182" s="176">
        <v>0</v>
      </c>
      <c r="G182" s="176">
        <v>23407</v>
      </c>
      <c r="H182" s="425">
        <v>30242</v>
      </c>
      <c r="I182" s="901"/>
      <c r="Q182" s="384"/>
      <c r="R182" s="183">
        <f>(SUM(J183:Q183))-I183</f>
        <v>0</v>
      </c>
    </row>
    <row r="183" spans="1:18" s="90" customFormat="1" ht="15">
      <c r="A183" s="282">
        <v>175</v>
      </c>
      <c r="B183" s="92"/>
      <c r="C183" s="96"/>
      <c r="D183" s="558" t="s">
        <v>1168</v>
      </c>
      <c r="E183" s="999"/>
      <c r="F183" s="480"/>
      <c r="G183" s="480"/>
      <c r="H183" s="480"/>
      <c r="I183" s="1002">
        <f>SUM(J183:Q183)</f>
        <v>0</v>
      </c>
      <c r="J183" s="494"/>
      <c r="K183" s="494"/>
      <c r="L183" s="494"/>
      <c r="M183" s="494"/>
      <c r="N183" s="494"/>
      <c r="O183" s="494"/>
      <c r="P183" s="494"/>
      <c r="Q183" s="1003"/>
      <c r="R183" s="183"/>
    </row>
    <row r="184" spans="1:18" s="91" customFormat="1" ht="15">
      <c r="A184" s="282">
        <v>176</v>
      </c>
      <c r="B184" s="179"/>
      <c r="C184" s="285"/>
      <c r="D184" s="559" t="s">
        <v>1170</v>
      </c>
      <c r="E184" s="498"/>
      <c r="F184" s="486"/>
      <c r="G184" s="486"/>
      <c r="H184" s="480"/>
      <c r="I184" s="903"/>
      <c r="Q184" s="157"/>
      <c r="R184" s="184"/>
    </row>
    <row r="185" spans="1:18" s="94" customFormat="1" ht="15">
      <c r="A185" s="282">
        <v>177</v>
      </c>
      <c r="B185" s="383"/>
      <c r="C185" s="93"/>
      <c r="D185" s="560" t="s">
        <v>1169</v>
      </c>
      <c r="E185" s="1001"/>
      <c r="F185" s="483"/>
      <c r="G185" s="483"/>
      <c r="H185" s="483"/>
      <c r="I185" s="904">
        <f>SUM(I183:I184)</f>
        <v>0</v>
      </c>
      <c r="J185" s="94">
        <f aca="true" t="shared" si="38" ref="J185:Q185">SUM(J183:J184)</f>
        <v>0</v>
      </c>
      <c r="K185" s="94">
        <f t="shared" si="38"/>
        <v>0</v>
      </c>
      <c r="L185" s="94">
        <f t="shared" si="38"/>
        <v>0</v>
      </c>
      <c r="M185" s="94">
        <f t="shared" si="38"/>
        <v>0</v>
      </c>
      <c r="N185" s="94">
        <f t="shared" si="38"/>
        <v>0</v>
      </c>
      <c r="O185" s="94">
        <f t="shared" si="38"/>
        <v>0</v>
      </c>
      <c r="P185" s="94">
        <f t="shared" si="38"/>
        <v>0</v>
      </c>
      <c r="Q185" s="95">
        <f t="shared" si="38"/>
        <v>0</v>
      </c>
      <c r="R185" s="286"/>
    </row>
    <row r="186" spans="1:18" s="183" customFormat="1" ht="33.75" customHeight="1">
      <c r="A186" s="1023">
        <v>178</v>
      </c>
      <c r="B186" s="92"/>
      <c r="C186" s="96">
        <v>2</v>
      </c>
      <c r="D186" s="561" t="s">
        <v>948</v>
      </c>
      <c r="E186" s="176"/>
      <c r="F186" s="176">
        <v>0</v>
      </c>
      <c r="G186" s="176">
        <v>14064</v>
      </c>
      <c r="H186" s="425">
        <v>15061</v>
      </c>
      <c r="I186" s="901"/>
      <c r="Q186" s="384"/>
      <c r="R186" s="183">
        <f>(SUM(J187:Q187))-I187</f>
        <v>0</v>
      </c>
    </row>
    <row r="187" spans="1:18" s="90" customFormat="1" ht="15">
      <c r="A187" s="282">
        <v>179</v>
      </c>
      <c r="B187" s="92"/>
      <c r="C187" s="96"/>
      <c r="D187" s="558" t="s">
        <v>1168</v>
      </c>
      <c r="E187" s="999"/>
      <c r="F187" s="480"/>
      <c r="G187" s="480"/>
      <c r="H187" s="480"/>
      <c r="I187" s="1002">
        <f>SUM(J187:Q187)</f>
        <v>0</v>
      </c>
      <c r="J187" s="494"/>
      <c r="K187" s="494"/>
      <c r="L187" s="494"/>
      <c r="M187" s="494"/>
      <c r="N187" s="494"/>
      <c r="O187" s="494"/>
      <c r="P187" s="494"/>
      <c r="Q187" s="1003"/>
      <c r="R187" s="183"/>
    </row>
    <row r="188" spans="1:18" s="91" customFormat="1" ht="15">
      <c r="A188" s="282">
        <v>180</v>
      </c>
      <c r="B188" s="179"/>
      <c r="C188" s="285"/>
      <c r="D188" s="559" t="s">
        <v>1170</v>
      </c>
      <c r="E188" s="498"/>
      <c r="F188" s="486"/>
      <c r="G188" s="486"/>
      <c r="H188" s="480"/>
      <c r="I188" s="903"/>
      <c r="Q188" s="157"/>
      <c r="R188" s="184"/>
    </row>
    <row r="189" spans="1:18" s="94" customFormat="1" ht="15">
      <c r="A189" s="282">
        <v>181</v>
      </c>
      <c r="B189" s="383"/>
      <c r="C189" s="93"/>
      <c r="D189" s="560" t="s">
        <v>1169</v>
      </c>
      <c r="E189" s="1001"/>
      <c r="F189" s="483"/>
      <c r="G189" s="483"/>
      <c r="H189" s="483"/>
      <c r="I189" s="904">
        <f>SUM(I187:I188)</f>
        <v>0</v>
      </c>
      <c r="J189" s="94">
        <f aca="true" t="shared" si="39" ref="J189:Q189">SUM(J187:J188)</f>
        <v>0</v>
      </c>
      <c r="K189" s="94">
        <f t="shared" si="39"/>
        <v>0</v>
      </c>
      <c r="L189" s="94">
        <f t="shared" si="39"/>
        <v>0</v>
      </c>
      <c r="M189" s="94">
        <f t="shared" si="39"/>
        <v>0</v>
      </c>
      <c r="N189" s="94">
        <f t="shared" si="39"/>
        <v>0</v>
      </c>
      <c r="O189" s="94">
        <f t="shared" si="39"/>
        <v>0</v>
      </c>
      <c r="P189" s="94">
        <f t="shared" si="39"/>
        <v>0</v>
      </c>
      <c r="Q189" s="95">
        <f t="shared" si="39"/>
        <v>0</v>
      </c>
      <c r="R189" s="286"/>
    </row>
    <row r="190" spans="1:18" s="183" customFormat="1" ht="33.75" customHeight="1">
      <c r="A190" s="1023">
        <v>182</v>
      </c>
      <c r="B190" s="92"/>
      <c r="C190" s="96">
        <v>3</v>
      </c>
      <c r="D190" s="561" t="s">
        <v>889</v>
      </c>
      <c r="E190" s="176"/>
      <c r="F190" s="176">
        <v>0</v>
      </c>
      <c r="G190" s="176">
        <v>4933</v>
      </c>
      <c r="H190" s="425">
        <v>4958</v>
      </c>
      <c r="I190" s="901"/>
      <c r="Q190" s="384"/>
      <c r="R190" s="183">
        <f>(SUM(J191:Q191))-I191</f>
        <v>0</v>
      </c>
    </row>
    <row r="191" spans="1:18" s="90" customFormat="1" ht="15">
      <c r="A191" s="282">
        <v>183</v>
      </c>
      <c r="B191" s="92"/>
      <c r="C191" s="96"/>
      <c r="D191" s="558" t="s">
        <v>1168</v>
      </c>
      <c r="E191" s="999"/>
      <c r="F191" s="480"/>
      <c r="G191" s="480"/>
      <c r="H191" s="480"/>
      <c r="I191" s="1002">
        <f>SUM(J191:Q191)</f>
        <v>2683</v>
      </c>
      <c r="J191" s="494"/>
      <c r="K191" s="494"/>
      <c r="L191" s="494">
        <v>2683</v>
      </c>
      <c r="M191" s="494"/>
      <c r="N191" s="494"/>
      <c r="O191" s="494"/>
      <c r="P191" s="494"/>
      <c r="Q191" s="1003"/>
      <c r="R191" s="183"/>
    </row>
    <row r="192" spans="1:18" s="91" customFormat="1" ht="15">
      <c r="A192" s="282">
        <v>184</v>
      </c>
      <c r="B192" s="179"/>
      <c r="C192" s="285"/>
      <c r="D192" s="559" t="s">
        <v>588</v>
      </c>
      <c r="E192" s="498"/>
      <c r="F192" s="486"/>
      <c r="G192" s="486"/>
      <c r="H192" s="480"/>
      <c r="I192" s="903">
        <v>1015</v>
      </c>
      <c r="J192" s="91">
        <v>800</v>
      </c>
      <c r="K192" s="91">
        <v>215</v>
      </c>
      <c r="Q192" s="157"/>
      <c r="R192" s="184"/>
    </row>
    <row r="193" spans="1:18" s="94" customFormat="1" ht="15">
      <c r="A193" s="282">
        <v>185</v>
      </c>
      <c r="B193" s="383"/>
      <c r="C193" s="93"/>
      <c r="D193" s="560" t="s">
        <v>1169</v>
      </c>
      <c r="E193" s="1001"/>
      <c r="F193" s="483"/>
      <c r="G193" s="483"/>
      <c r="H193" s="483"/>
      <c r="I193" s="904">
        <f>SUM(I191:I192)</f>
        <v>3698</v>
      </c>
      <c r="J193" s="94">
        <f aca="true" t="shared" si="40" ref="J193:Q193">SUM(J191:J192)</f>
        <v>800</v>
      </c>
      <c r="K193" s="94">
        <f t="shared" si="40"/>
        <v>215</v>
      </c>
      <c r="L193" s="94">
        <f t="shared" si="40"/>
        <v>2683</v>
      </c>
      <c r="M193" s="94">
        <f t="shared" si="40"/>
        <v>0</v>
      </c>
      <c r="N193" s="94">
        <f t="shared" si="40"/>
        <v>0</v>
      </c>
      <c r="O193" s="94">
        <f t="shared" si="40"/>
        <v>0</v>
      </c>
      <c r="P193" s="94">
        <f t="shared" si="40"/>
        <v>0</v>
      </c>
      <c r="Q193" s="95">
        <f t="shared" si="40"/>
        <v>0</v>
      </c>
      <c r="R193" s="286"/>
    </row>
    <row r="194" spans="1:17" s="183" customFormat="1" ht="19.5" customHeight="1">
      <c r="A194" s="282">
        <v>186</v>
      </c>
      <c r="B194" s="181"/>
      <c r="C194" s="182">
        <v>4</v>
      </c>
      <c r="D194" s="561" t="s">
        <v>464</v>
      </c>
      <c r="E194" s="176"/>
      <c r="F194" s="176"/>
      <c r="G194" s="176"/>
      <c r="H194" s="425"/>
      <c r="I194" s="901"/>
      <c r="Q194" s="384"/>
    </row>
    <row r="195" spans="1:18" s="90" customFormat="1" ht="15">
      <c r="A195" s="282">
        <v>187</v>
      </c>
      <c r="B195" s="92"/>
      <c r="C195" s="96"/>
      <c r="D195" s="558" t="s">
        <v>1168</v>
      </c>
      <c r="E195" s="999"/>
      <c r="F195" s="480"/>
      <c r="G195" s="480"/>
      <c r="H195" s="480"/>
      <c r="I195" s="1002">
        <f>SUM(J195:Q195)</f>
        <v>4054</v>
      </c>
      <c r="J195" s="494">
        <v>3568</v>
      </c>
      <c r="K195" s="494">
        <v>482</v>
      </c>
      <c r="L195" s="494">
        <v>4</v>
      </c>
      <c r="M195" s="494"/>
      <c r="N195" s="494"/>
      <c r="O195" s="494"/>
      <c r="P195" s="494"/>
      <c r="Q195" s="1003"/>
      <c r="R195" s="183"/>
    </row>
    <row r="196" spans="1:18" s="91" customFormat="1" ht="15">
      <c r="A196" s="282">
        <v>188</v>
      </c>
      <c r="B196" s="179"/>
      <c r="C196" s="285"/>
      <c r="D196" s="559" t="s">
        <v>1170</v>
      </c>
      <c r="E196" s="498"/>
      <c r="F196" s="486"/>
      <c r="G196" s="486"/>
      <c r="H196" s="480"/>
      <c r="I196" s="903"/>
      <c r="Q196" s="157"/>
      <c r="R196" s="184"/>
    </row>
    <row r="197" spans="1:18" s="94" customFormat="1" ht="15">
      <c r="A197" s="282">
        <v>189</v>
      </c>
      <c r="B197" s="383"/>
      <c r="C197" s="93"/>
      <c r="D197" s="560" t="s">
        <v>1169</v>
      </c>
      <c r="E197" s="1001"/>
      <c r="F197" s="483"/>
      <c r="G197" s="483"/>
      <c r="H197" s="483"/>
      <c r="I197" s="904">
        <f>SUM(I195:I196)</f>
        <v>4054</v>
      </c>
      <c r="J197" s="94">
        <f aca="true" t="shared" si="41" ref="J197:Q197">SUM(J195:J196)</f>
        <v>3568</v>
      </c>
      <c r="K197" s="94">
        <f t="shared" si="41"/>
        <v>482</v>
      </c>
      <c r="L197" s="94">
        <f t="shared" si="41"/>
        <v>4</v>
      </c>
      <c r="M197" s="94">
        <f t="shared" si="41"/>
        <v>0</v>
      </c>
      <c r="N197" s="94">
        <f t="shared" si="41"/>
        <v>0</v>
      </c>
      <c r="O197" s="94">
        <f t="shared" si="41"/>
        <v>0</v>
      </c>
      <c r="P197" s="94">
        <f t="shared" si="41"/>
        <v>0</v>
      </c>
      <c r="Q197" s="95">
        <f t="shared" si="41"/>
        <v>0</v>
      </c>
      <c r="R197" s="286"/>
    </row>
    <row r="198" spans="1:18" s="184" customFormat="1" ht="30" customHeight="1">
      <c r="A198" s="282">
        <v>190</v>
      </c>
      <c r="B198" s="181">
        <v>13</v>
      </c>
      <c r="C198" s="182"/>
      <c r="D198" s="176" t="s">
        <v>460</v>
      </c>
      <c r="E198" s="994" t="s">
        <v>466</v>
      </c>
      <c r="F198" s="425">
        <v>0</v>
      </c>
      <c r="G198" s="425">
        <v>169755</v>
      </c>
      <c r="H198" s="425">
        <v>249867</v>
      </c>
      <c r="I198" s="904"/>
      <c r="J198" s="94"/>
      <c r="K198" s="94"/>
      <c r="L198" s="94"/>
      <c r="M198" s="94"/>
      <c r="N198" s="94"/>
      <c r="O198" s="94"/>
      <c r="P198" s="94"/>
      <c r="Q198" s="95"/>
      <c r="R198" s="183">
        <f>(SUM(J199:Q199))-I199</f>
        <v>0</v>
      </c>
    </row>
    <row r="199" spans="1:18" s="90" customFormat="1" ht="15">
      <c r="A199" s="282">
        <v>191</v>
      </c>
      <c r="B199" s="92"/>
      <c r="C199" s="96"/>
      <c r="D199" s="386" t="s">
        <v>1168</v>
      </c>
      <c r="E199" s="999"/>
      <c r="F199" s="480"/>
      <c r="G199" s="480"/>
      <c r="H199" s="480"/>
      <c r="I199" s="901">
        <f>SUM(J199:Q199)</f>
        <v>237697</v>
      </c>
      <c r="J199" s="183">
        <v>108215</v>
      </c>
      <c r="K199" s="183">
        <v>33404</v>
      </c>
      <c r="L199" s="183">
        <v>91408</v>
      </c>
      <c r="M199" s="184"/>
      <c r="N199" s="184"/>
      <c r="O199" s="184">
        <v>4670</v>
      </c>
      <c r="P199" s="184"/>
      <c r="Q199" s="385"/>
      <c r="R199" s="183"/>
    </row>
    <row r="200" spans="1:18" s="91" customFormat="1" ht="15">
      <c r="A200" s="282">
        <v>192</v>
      </c>
      <c r="B200" s="179"/>
      <c r="C200" s="285"/>
      <c r="D200" s="571" t="s">
        <v>588</v>
      </c>
      <c r="E200" s="498"/>
      <c r="F200" s="486"/>
      <c r="G200" s="486"/>
      <c r="H200" s="480"/>
      <c r="I200" s="1000">
        <f>SUM(J200:Q200)</f>
        <v>34548</v>
      </c>
      <c r="J200" s="574">
        <v>6039</v>
      </c>
      <c r="K200" s="574">
        <v>1630</v>
      </c>
      <c r="L200" s="574">
        <f>17150+9729</f>
        <v>26879</v>
      </c>
      <c r="M200" s="574"/>
      <c r="N200" s="574"/>
      <c r="O200" s="574"/>
      <c r="P200" s="574"/>
      <c r="Q200" s="1013"/>
      <c r="R200" s="184"/>
    </row>
    <row r="201" spans="1:18" s="91" customFormat="1" ht="15">
      <c r="A201" s="282">
        <v>193</v>
      </c>
      <c r="B201" s="179"/>
      <c r="C201" s="285"/>
      <c r="D201" s="571" t="s">
        <v>595</v>
      </c>
      <c r="E201" s="498"/>
      <c r="F201" s="486"/>
      <c r="G201" s="486"/>
      <c r="H201" s="480"/>
      <c r="I201" s="1000">
        <f>SUM(J201:Q201)</f>
        <v>982</v>
      </c>
      <c r="J201" s="574">
        <v>773</v>
      </c>
      <c r="K201" s="574">
        <v>209</v>
      </c>
      <c r="L201" s="574"/>
      <c r="M201" s="574"/>
      <c r="N201" s="574"/>
      <c r="O201" s="574"/>
      <c r="P201" s="574"/>
      <c r="Q201" s="1013"/>
      <c r="R201" s="184"/>
    </row>
    <row r="202" spans="1:18" s="91" customFormat="1" ht="15">
      <c r="A202" s="282">
        <v>194</v>
      </c>
      <c r="B202" s="179"/>
      <c r="C202" s="285"/>
      <c r="D202" s="571" t="s">
        <v>441</v>
      </c>
      <c r="E202" s="498"/>
      <c r="F202" s="486"/>
      <c r="G202" s="486"/>
      <c r="H202" s="480"/>
      <c r="I202" s="1000">
        <f>SUM(J202:Q202)</f>
        <v>300</v>
      </c>
      <c r="J202" s="574"/>
      <c r="K202" s="574"/>
      <c r="L202" s="574">
        <v>300</v>
      </c>
      <c r="M202" s="574"/>
      <c r="N202" s="574"/>
      <c r="O202" s="574"/>
      <c r="P202" s="574"/>
      <c r="Q202" s="1013"/>
      <c r="R202" s="184"/>
    </row>
    <row r="203" spans="1:18" s="91" customFormat="1" ht="15">
      <c r="A203" s="282">
        <v>195</v>
      </c>
      <c r="B203" s="179"/>
      <c r="C203" s="285"/>
      <c r="D203" s="571" t="s">
        <v>673</v>
      </c>
      <c r="E203" s="498"/>
      <c r="F203" s="486"/>
      <c r="G203" s="486"/>
      <c r="H203" s="480"/>
      <c r="I203" s="1000">
        <f>SUM(J203:Q203)</f>
        <v>11175</v>
      </c>
      <c r="J203" s="574">
        <v>2860</v>
      </c>
      <c r="K203" s="574">
        <v>772</v>
      </c>
      <c r="L203" s="574">
        <v>7543</v>
      </c>
      <c r="M203" s="574"/>
      <c r="N203" s="574"/>
      <c r="O203" s="574"/>
      <c r="P203" s="574"/>
      <c r="Q203" s="1013"/>
      <c r="R203" s="184"/>
    </row>
    <row r="204" spans="1:18" s="94" customFormat="1" ht="15">
      <c r="A204" s="282">
        <v>196</v>
      </c>
      <c r="B204" s="383"/>
      <c r="C204" s="93"/>
      <c r="D204" s="572" t="s">
        <v>1169</v>
      </c>
      <c r="E204" s="1001"/>
      <c r="F204" s="483"/>
      <c r="G204" s="483"/>
      <c r="H204" s="483"/>
      <c r="I204" s="904">
        <f>SUM(I199:I203)</f>
        <v>284702</v>
      </c>
      <c r="J204" s="94">
        <f aca="true" t="shared" si="42" ref="J204:Q204">SUM(J199:J203)</f>
        <v>117887</v>
      </c>
      <c r="K204" s="94">
        <f t="shared" si="42"/>
        <v>36015</v>
      </c>
      <c r="L204" s="94">
        <f t="shared" si="42"/>
        <v>126130</v>
      </c>
      <c r="M204" s="94">
        <f t="shared" si="42"/>
        <v>0</v>
      </c>
      <c r="N204" s="94">
        <f t="shared" si="42"/>
        <v>0</v>
      </c>
      <c r="O204" s="94">
        <f t="shared" si="42"/>
        <v>4670</v>
      </c>
      <c r="P204" s="94">
        <f t="shared" si="42"/>
        <v>0</v>
      </c>
      <c r="Q204" s="95">
        <f t="shared" si="42"/>
        <v>0</v>
      </c>
      <c r="R204" s="286"/>
    </row>
    <row r="205" spans="1:18" s="183" customFormat="1" ht="33.75" customHeight="1">
      <c r="A205" s="1023">
        <v>197</v>
      </c>
      <c r="B205" s="92"/>
      <c r="C205" s="96">
        <v>1</v>
      </c>
      <c r="D205" s="561" t="s">
        <v>890</v>
      </c>
      <c r="E205" s="176"/>
      <c r="F205" s="176">
        <v>0</v>
      </c>
      <c r="G205" s="176">
        <v>14350</v>
      </c>
      <c r="H205" s="425">
        <v>11614</v>
      </c>
      <c r="I205" s="901"/>
      <c r="Q205" s="384"/>
      <c r="R205" s="183">
        <f>(SUM(J206:Q206))-I206</f>
        <v>0</v>
      </c>
    </row>
    <row r="206" spans="1:18" s="90" customFormat="1" ht="15">
      <c r="A206" s="282">
        <v>198</v>
      </c>
      <c r="B206" s="92"/>
      <c r="C206" s="96"/>
      <c r="D206" s="558" t="s">
        <v>1168</v>
      </c>
      <c r="E206" s="999"/>
      <c r="F206" s="480"/>
      <c r="G206" s="480"/>
      <c r="H206" s="480"/>
      <c r="I206" s="1002">
        <f>SUM(J206:Q206)</f>
        <v>10500</v>
      </c>
      <c r="J206" s="494">
        <v>1100</v>
      </c>
      <c r="K206" s="494">
        <v>297</v>
      </c>
      <c r="L206" s="494">
        <v>9103</v>
      </c>
      <c r="M206" s="494"/>
      <c r="N206" s="494"/>
      <c r="O206" s="494"/>
      <c r="P206" s="494"/>
      <c r="Q206" s="1003"/>
      <c r="R206" s="183"/>
    </row>
    <row r="207" spans="1:18" s="91" customFormat="1" ht="15">
      <c r="A207" s="282">
        <v>199</v>
      </c>
      <c r="B207" s="179"/>
      <c r="C207" s="285"/>
      <c r="D207" s="559" t="s">
        <v>588</v>
      </c>
      <c r="E207" s="498"/>
      <c r="F207" s="486"/>
      <c r="G207" s="486"/>
      <c r="H207" s="480"/>
      <c r="I207" s="903">
        <v>3070</v>
      </c>
      <c r="L207" s="91">
        <v>3070</v>
      </c>
      <c r="Q207" s="157"/>
      <c r="R207" s="184"/>
    </row>
    <row r="208" spans="1:18" s="94" customFormat="1" ht="15">
      <c r="A208" s="282">
        <v>200</v>
      </c>
      <c r="B208" s="383"/>
      <c r="C208" s="93"/>
      <c r="D208" s="560" t="s">
        <v>1169</v>
      </c>
      <c r="E208" s="1001"/>
      <c r="F208" s="483"/>
      <c r="G208" s="483"/>
      <c r="H208" s="483"/>
      <c r="I208" s="904">
        <f>SUM(I206:I207)</f>
        <v>13570</v>
      </c>
      <c r="J208" s="94">
        <f aca="true" t="shared" si="43" ref="J208:Q208">SUM(J206:J207)</f>
        <v>1100</v>
      </c>
      <c r="K208" s="94">
        <f t="shared" si="43"/>
        <v>297</v>
      </c>
      <c r="L208" s="94">
        <f t="shared" si="43"/>
        <v>12173</v>
      </c>
      <c r="M208" s="94">
        <f t="shared" si="43"/>
        <v>0</v>
      </c>
      <c r="N208" s="94">
        <f t="shared" si="43"/>
        <v>0</v>
      </c>
      <c r="O208" s="94">
        <f t="shared" si="43"/>
        <v>0</v>
      </c>
      <c r="P208" s="94">
        <f t="shared" si="43"/>
        <v>0</v>
      </c>
      <c r="Q208" s="95">
        <f t="shared" si="43"/>
        <v>0</v>
      </c>
      <c r="R208" s="286"/>
    </row>
    <row r="209" spans="1:18" s="183" customFormat="1" ht="33.75" customHeight="1">
      <c r="A209" s="1023">
        <v>201</v>
      </c>
      <c r="B209" s="92"/>
      <c r="C209" s="96">
        <v>2</v>
      </c>
      <c r="D209" s="561" t="s">
        <v>949</v>
      </c>
      <c r="E209" s="176"/>
      <c r="F209" s="176">
        <v>0</v>
      </c>
      <c r="G209" s="176">
        <v>24867</v>
      </c>
      <c r="H209" s="425">
        <v>14212</v>
      </c>
      <c r="I209" s="901"/>
      <c r="Q209" s="384"/>
      <c r="R209" s="183">
        <f>(SUM(J210:Q210))-I210</f>
        <v>0</v>
      </c>
    </row>
    <row r="210" spans="1:18" s="90" customFormat="1" ht="15">
      <c r="A210" s="282">
        <v>202</v>
      </c>
      <c r="B210" s="92"/>
      <c r="C210" s="96"/>
      <c r="D210" s="558" t="s">
        <v>1168</v>
      </c>
      <c r="E210" s="999"/>
      <c r="F210" s="480"/>
      <c r="G210" s="480"/>
      <c r="H210" s="480"/>
      <c r="I210" s="1002">
        <f>SUM(J210:Q210)</f>
        <v>0</v>
      </c>
      <c r="J210" s="494"/>
      <c r="K210" s="494"/>
      <c r="L210" s="494"/>
      <c r="M210" s="494"/>
      <c r="N210" s="494"/>
      <c r="O210" s="494"/>
      <c r="P210" s="494"/>
      <c r="Q210" s="1003"/>
      <c r="R210" s="183"/>
    </row>
    <row r="211" spans="1:18" s="91" customFormat="1" ht="15">
      <c r="A211" s="282">
        <v>203</v>
      </c>
      <c r="B211" s="179"/>
      <c r="C211" s="285"/>
      <c r="D211" s="559" t="s">
        <v>1170</v>
      </c>
      <c r="E211" s="498"/>
      <c r="F211" s="486"/>
      <c r="G211" s="486"/>
      <c r="H211" s="480"/>
      <c r="I211" s="903"/>
      <c r="Q211" s="157"/>
      <c r="R211" s="184"/>
    </row>
    <row r="212" spans="1:18" s="94" customFormat="1" ht="15">
      <c r="A212" s="282">
        <v>204</v>
      </c>
      <c r="B212" s="383"/>
      <c r="C212" s="93"/>
      <c r="D212" s="560" t="s">
        <v>1169</v>
      </c>
      <c r="E212" s="1001"/>
      <c r="F212" s="483"/>
      <c r="G212" s="483"/>
      <c r="H212" s="483"/>
      <c r="I212" s="904">
        <f>SUM(I210:I211)</f>
        <v>0</v>
      </c>
      <c r="J212" s="94">
        <f aca="true" t="shared" si="44" ref="J212:Q212">SUM(J210:J211)</f>
        <v>0</v>
      </c>
      <c r="K212" s="94">
        <f t="shared" si="44"/>
        <v>0</v>
      </c>
      <c r="L212" s="94">
        <f t="shared" si="44"/>
        <v>0</v>
      </c>
      <c r="M212" s="94">
        <f t="shared" si="44"/>
        <v>0</v>
      </c>
      <c r="N212" s="94">
        <f t="shared" si="44"/>
        <v>0</v>
      </c>
      <c r="O212" s="94">
        <f t="shared" si="44"/>
        <v>0</v>
      </c>
      <c r="P212" s="94">
        <f t="shared" si="44"/>
        <v>0</v>
      </c>
      <c r="Q212" s="95">
        <f t="shared" si="44"/>
        <v>0</v>
      </c>
      <c r="R212" s="286"/>
    </row>
    <row r="213" spans="1:18" s="183" customFormat="1" ht="33.75" customHeight="1">
      <c r="A213" s="1023">
        <v>205</v>
      </c>
      <c r="B213" s="92"/>
      <c r="C213" s="96">
        <v>3</v>
      </c>
      <c r="D213" s="561" t="s">
        <v>950</v>
      </c>
      <c r="E213" s="176"/>
      <c r="F213" s="176">
        <v>0</v>
      </c>
      <c r="G213" s="176">
        <v>14972</v>
      </c>
      <c r="H213" s="425">
        <v>0</v>
      </c>
      <c r="I213" s="901"/>
      <c r="Q213" s="384"/>
      <c r="R213" s="183">
        <f>(SUM(J214:Q214))-I214</f>
        <v>0</v>
      </c>
    </row>
    <row r="214" spans="1:18" s="90" customFormat="1" ht="15">
      <c r="A214" s="282">
        <v>206</v>
      </c>
      <c r="B214" s="92"/>
      <c r="C214" s="96"/>
      <c r="D214" s="558" t="s">
        <v>1168</v>
      </c>
      <c r="E214" s="999"/>
      <c r="F214" s="480"/>
      <c r="G214" s="480"/>
      <c r="H214" s="480"/>
      <c r="I214" s="1002">
        <f>SUM(J214:Q214)</f>
        <v>0</v>
      </c>
      <c r="J214" s="494"/>
      <c r="K214" s="494"/>
      <c r="L214" s="494"/>
      <c r="M214" s="494"/>
      <c r="N214" s="494"/>
      <c r="O214" s="494"/>
      <c r="P214" s="494"/>
      <c r="Q214" s="1003"/>
      <c r="R214" s="183"/>
    </row>
    <row r="215" spans="1:18" s="91" customFormat="1" ht="15">
      <c r="A215" s="282">
        <v>207</v>
      </c>
      <c r="B215" s="179"/>
      <c r="C215" s="285"/>
      <c r="D215" s="559" t="s">
        <v>1170</v>
      </c>
      <c r="E215" s="498"/>
      <c r="F215" s="486"/>
      <c r="G215" s="486"/>
      <c r="H215" s="480"/>
      <c r="I215" s="903"/>
      <c r="Q215" s="157"/>
      <c r="R215" s="184"/>
    </row>
    <row r="216" spans="1:18" s="94" customFormat="1" ht="15">
      <c r="A216" s="282">
        <v>208</v>
      </c>
      <c r="B216" s="383"/>
      <c r="C216" s="93"/>
      <c r="D216" s="560" t="s">
        <v>1169</v>
      </c>
      <c r="E216" s="1001"/>
      <c r="F216" s="483"/>
      <c r="G216" s="483"/>
      <c r="H216" s="483"/>
      <c r="I216" s="904">
        <f>SUM(I214:I215)</f>
        <v>0</v>
      </c>
      <c r="J216" s="94">
        <f aca="true" t="shared" si="45" ref="J216:Q216">SUM(J214:J215)</f>
        <v>0</v>
      </c>
      <c r="K216" s="94">
        <f t="shared" si="45"/>
        <v>0</v>
      </c>
      <c r="L216" s="94">
        <f t="shared" si="45"/>
        <v>0</v>
      </c>
      <c r="M216" s="94">
        <f t="shared" si="45"/>
        <v>0</v>
      </c>
      <c r="N216" s="94">
        <f t="shared" si="45"/>
        <v>0</v>
      </c>
      <c r="O216" s="94">
        <f t="shared" si="45"/>
        <v>0</v>
      </c>
      <c r="P216" s="94">
        <f t="shared" si="45"/>
        <v>0</v>
      </c>
      <c r="Q216" s="95">
        <f t="shared" si="45"/>
        <v>0</v>
      </c>
      <c r="R216" s="286"/>
    </row>
    <row r="217" spans="1:18" s="183" customFormat="1" ht="19.5" customHeight="1">
      <c r="A217" s="282">
        <v>209</v>
      </c>
      <c r="B217" s="181"/>
      <c r="C217" s="182">
        <v>4</v>
      </c>
      <c r="D217" s="561" t="s">
        <v>464</v>
      </c>
      <c r="E217" s="176"/>
      <c r="F217" s="176">
        <v>0</v>
      </c>
      <c r="G217" s="176">
        <v>6021</v>
      </c>
      <c r="H217" s="425">
        <v>11120</v>
      </c>
      <c r="I217" s="901"/>
      <c r="Q217" s="384"/>
      <c r="R217" s="183">
        <f>(SUM(J218:Q218))-I218</f>
        <v>0</v>
      </c>
    </row>
    <row r="218" spans="1:18" s="90" customFormat="1" ht="15">
      <c r="A218" s="282">
        <v>210</v>
      </c>
      <c r="B218" s="92"/>
      <c r="C218" s="96"/>
      <c r="D218" s="558" t="s">
        <v>1168</v>
      </c>
      <c r="E218" s="999"/>
      <c r="F218" s="480"/>
      <c r="G218" s="480"/>
      <c r="H218" s="480"/>
      <c r="I218" s="1002">
        <f>SUM(J218:Q218)</f>
        <v>23403</v>
      </c>
      <c r="J218" s="494">
        <v>21197</v>
      </c>
      <c r="K218" s="494">
        <v>1890</v>
      </c>
      <c r="L218" s="494">
        <v>316</v>
      </c>
      <c r="M218" s="494"/>
      <c r="N218" s="494"/>
      <c r="O218" s="494"/>
      <c r="P218" s="494"/>
      <c r="Q218" s="1003"/>
      <c r="R218" s="183"/>
    </row>
    <row r="219" spans="1:18" s="91" customFormat="1" ht="15">
      <c r="A219" s="282">
        <v>211</v>
      </c>
      <c r="B219" s="179"/>
      <c r="C219" s="285"/>
      <c r="D219" s="559" t="s">
        <v>1170</v>
      </c>
      <c r="E219" s="498"/>
      <c r="F219" s="486"/>
      <c r="G219" s="486"/>
      <c r="H219" s="480"/>
      <c r="I219" s="903"/>
      <c r="Q219" s="157"/>
      <c r="R219" s="184"/>
    </row>
    <row r="220" spans="1:18" s="94" customFormat="1" ht="15">
      <c r="A220" s="282">
        <v>212</v>
      </c>
      <c r="B220" s="383"/>
      <c r="C220" s="93"/>
      <c r="D220" s="560" t="s">
        <v>1169</v>
      </c>
      <c r="E220" s="1001"/>
      <c r="F220" s="483"/>
      <c r="G220" s="483"/>
      <c r="H220" s="483"/>
      <c r="I220" s="904">
        <f>SUM(I218:I219)</f>
        <v>23403</v>
      </c>
      <c r="J220" s="94">
        <f aca="true" t="shared" si="46" ref="J220:Q220">SUM(J218:J219)</f>
        <v>21197</v>
      </c>
      <c r="K220" s="94">
        <f t="shared" si="46"/>
        <v>1890</v>
      </c>
      <c r="L220" s="94">
        <f t="shared" si="46"/>
        <v>316</v>
      </c>
      <c r="M220" s="94">
        <f t="shared" si="46"/>
        <v>0</v>
      </c>
      <c r="N220" s="94">
        <f t="shared" si="46"/>
        <v>0</v>
      </c>
      <c r="O220" s="94">
        <f t="shared" si="46"/>
        <v>0</v>
      </c>
      <c r="P220" s="94">
        <f t="shared" si="46"/>
        <v>0</v>
      </c>
      <c r="Q220" s="95">
        <f t="shared" si="46"/>
        <v>0</v>
      </c>
      <c r="R220" s="286"/>
    </row>
    <row r="221" spans="1:18" s="184" customFormat="1" ht="36" customHeight="1">
      <c r="A221" s="1023">
        <v>213</v>
      </c>
      <c r="B221" s="92">
        <v>14</v>
      </c>
      <c r="C221" s="96"/>
      <c r="D221" s="176" t="s">
        <v>914</v>
      </c>
      <c r="E221" s="994" t="s">
        <v>400</v>
      </c>
      <c r="F221" s="425">
        <v>92786</v>
      </c>
      <c r="G221" s="425">
        <v>79893</v>
      </c>
      <c r="H221" s="425">
        <v>98683</v>
      </c>
      <c r="I221" s="904"/>
      <c r="J221" s="94"/>
      <c r="K221" s="94"/>
      <c r="L221" s="94"/>
      <c r="M221" s="94"/>
      <c r="N221" s="94"/>
      <c r="O221" s="94"/>
      <c r="P221" s="94"/>
      <c r="Q221" s="95"/>
      <c r="R221" s="183">
        <f>(SUM(J222:Q222))-I222</f>
        <v>0</v>
      </c>
    </row>
    <row r="222" spans="1:18" s="90" customFormat="1" ht="15">
      <c r="A222" s="282">
        <v>214</v>
      </c>
      <c r="B222" s="92"/>
      <c r="C222" s="96"/>
      <c r="D222" s="386" t="s">
        <v>1168</v>
      </c>
      <c r="E222" s="999"/>
      <c r="F222" s="480"/>
      <c r="G222" s="480"/>
      <c r="H222" s="480"/>
      <c r="I222" s="901">
        <f>SUM(J222:Q222)</f>
        <v>80499</v>
      </c>
      <c r="J222" s="183">
        <v>38202</v>
      </c>
      <c r="K222" s="183">
        <v>10700</v>
      </c>
      <c r="L222" s="183">
        <v>31297</v>
      </c>
      <c r="M222" s="184"/>
      <c r="N222" s="184"/>
      <c r="O222" s="184">
        <v>300</v>
      </c>
      <c r="P222" s="184"/>
      <c r="Q222" s="385"/>
      <c r="R222" s="183"/>
    </row>
    <row r="223" spans="1:18" s="91" customFormat="1" ht="15">
      <c r="A223" s="282">
        <v>215</v>
      </c>
      <c r="B223" s="179"/>
      <c r="C223" s="285"/>
      <c r="D223" s="571" t="s">
        <v>588</v>
      </c>
      <c r="E223" s="498"/>
      <c r="F223" s="486"/>
      <c r="G223" s="486"/>
      <c r="H223" s="480"/>
      <c r="I223" s="1000">
        <f>SUM(J223:Q223)</f>
        <v>6419</v>
      </c>
      <c r="J223" s="574"/>
      <c r="K223" s="574"/>
      <c r="L223" s="574">
        <v>6419</v>
      </c>
      <c r="M223" s="574"/>
      <c r="N223" s="574"/>
      <c r="O223" s="574"/>
      <c r="P223" s="574"/>
      <c r="Q223" s="1013"/>
      <c r="R223" s="184"/>
    </row>
    <row r="224" spans="1:18" s="91" customFormat="1" ht="15">
      <c r="A224" s="282">
        <v>216</v>
      </c>
      <c r="B224" s="179"/>
      <c r="C224" s="285"/>
      <c r="D224" s="571" t="s">
        <v>595</v>
      </c>
      <c r="E224" s="498"/>
      <c r="F224" s="486"/>
      <c r="G224" s="486"/>
      <c r="H224" s="480"/>
      <c r="I224" s="1000">
        <f>SUM(J224:Q224)</f>
        <v>389</v>
      </c>
      <c r="J224" s="574">
        <v>306</v>
      </c>
      <c r="K224" s="574">
        <v>83</v>
      </c>
      <c r="L224" s="574"/>
      <c r="M224" s="574"/>
      <c r="N224" s="574"/>
      <c r="O224" s="574"/>
      <c r="P224" s="574"/>
      <c r="Q224" s="1013"/>
      <c r="R224" s="184"/>
    </row>
    <row r="225" spans="1:18" s="94" customFormat="1" ht="15">
      <c r="A225" s="282">
        <v>217</v>
      </c>
      <c r="B225" s="383"/>
      <c r="C225" s="93"/>
      <c r="D225" s="572" t="s">
        <v>1169</v>
      </c>
      <c r="E225" s="1001"/>
      <c r="F225" s="483"/>
      <c r="G225" s="483"/>
      <c r="H225" s="483"/>
      <c r="I225" s="904">
        <f aca="true" t="shared" si="47" ref="I225:Q225">SUM(I222:I224)</f>
        <v>87307</v>
      </c>
      <c r="J225" s="94">
        <f t="shared" si="47"/>
        <v>38508</v>
      </c>
      <c r="K225" s="94">
        <f t="shared" si="47"/>
        <v>10783</v>
      </c>
      <c r="L225" s="94">
        <f t="shared" si="47"/>
        <v>37716</v>
      </c>
      <c r="M225" s="94">
        <f t="shared" si="47"/>
        <v>0</v>
      </c>
      <c r="N225" s="94">
        <f t="shared" si="47"/>
        <v>0</v>
      </c>
      <c r="O225" s="94">
        <f t="shared" si="47"/>
        <v>300</v>
      </c>
      <c r="P225" s="94">
        <f t="shared" si="47"/>
        <v>0</v>
      </c>
      <c r="Q225" s="95">
        <f t="shared" si="47"/>
        <v>0</v>
      </c>
      <c r="R225" s="286"/>
    </row>
    <row r="226" spans="1:17" s="183" customFormat="1" ht="19.5" customHeight="1">
      <c r="A226" s="282">
        <v>218</v>
      </c>
      <c r="B226" s="181"/>
      <c r="C226" s="182">
        <v>1</v>
      </c>
      <c r="D226" s="561" t="s">
        <v>464</v>
      </c>
      <c r="E226" s="176"/>
      <c r="F226" s="176"/>
      <c r="G226" s="176"/>
      <c r="H226" s="425"/>
      <c r="I226" s="901"/>
      <c r="Q226" s="384"/>
    </row>
    <row r="227" spans="1:18" s="90" customFormat="1" ht="15">
      <c r="A227" s="282">
        <v>219</v>
      </c>
      <c r="B227" s="92"/>
      <c r="C227" s="96"/>
      <c r="D227" s="558" t="s">
        <v>1168</v>
      </c>
      <c r="E227" s="999"/>
      <c r="F227" s="480"/>
      <c r="G227" s="480"/>
      <c r="H227" s="480"/>
      <c r="I227" s="1002">
        <f>SUM(J227:Q227)</f>
        <v>1350</v>
      </c>
      <c r="J227" s="494">
        <v>1189</v>
      </c>
      <c r="K227" s="494">
        <v>161</v>
      </c>
      <c r="L227" s="494"/>
      <c r="M227" s="494"/>
      <c r="N227" s="494"/>
      <c r="O227" s="494"/>
      <c r="P227" s="494"/>
      <c r="Q227" s="1003"/>
      <c r="R227" s="183"/>
    </row>
    <row r="228" spans="1:18" s="91" customFormat="1" ht="15">
      <c r="A228" s="282">
        <v>220</v>
      </c>
      <c r="B228" s="179"/>
      <c r="C228" s="285"/>
      <c r="D228" s="559" t="s">
        <v>1170</v>
      </c>
      <c r="E228" s="498"/>
      <c r="F228" s="486"/>
      <c r="G228" s="486"/>
      <c r="H228" s="480"/>
      <c r="I228" s="903"/>
      <c r="Q228" s="157"/>
      <c r="R228" s="184"/>
    </row>
    <row r="229" spans="1:18" s="94" customFormat="1" ht="15">
      <c r="A229" s="282">
        <v>221</v>
      </c>
      <c r="B229" s="383"/>
      <c r="C229" s="93"/>
      <c r="D229" s="560" t="s">
        <v>1169</v>
      </c>
      <c r="E229" s="1001"/>
      <c r="F229" s="483"/>
      <c r="G229" s="483"/>
      <c r="H229" s="483"/>
      <c r="I229" s="904">
        <f>SUM(I227:I228)</f>
        <v>1350</v>
      </c>
      <c r="J229" s="94">
        <f aca="true" t="shared" si="48" ref="J229:Q229">SUM(J227:J228)</f>
        <v>1189</v>
      </c>
      <c r="K229" s="94">
        <f t="shared" si="48"/>
        <v>161</v>
      </c>
      <c r="L229" s="94">
        <f t="shared" si="48"/>
        <v>0</v>
      </c>
      <c r="M229" s="94">
        <f t="shared" si="48"/>
        <v>0</v>
      </c>
      <c r="N229" s="94">
        <f t="shared" si="48"/>
        <v>0</v>
      </c>
      <c r="O229" s="94">
        <f t="shared" si="48"/>
        <v>0</v>
      </c>
      <c r="P229" s="94">
        <f t="shared" si="48"/>
        <v>0</v>
      </c>
      <c r="Q229" s="95">
        <f t="shared" si="48"/>
        <v>0</v>
      </c>
      <c r="R229" s="286"/>
    </row>
    <row r="230" spans="1:18" s="184" customFormat="1" ht="30" customHeight="1">
      <c r="A230" s="282">
        <v>222</v>
      </c>
      <c r="B230" s="181">
        <v>15</v>
      </c>
      <c r="C230" s="182"/>
      <c r="D230" s="176" t="s">
        <v>1104</v>
      </c>
      <c r="E230" s="994" t="s">
        <v>400</v>
      </c>
      <c r="F230" s="425">
        <v>725119</v>
      </c>
      <c r="G230" s="425">
        <v>663173</v>
      </c>
      <c r="H230" s="425">
        <v>764223</v>
      </c>
      <c r="I230" s="904"/>
      <c r="J230" s="94"/>
      <c r="K230" s="94"/>
      <c r="L230" s="94"/>
      <c r="M230" s="94"/>
      <c r="N230" s="94"/>
      <c r="O230" s="94"/>
      <c r="P230" s="94"/>
      <c r="Q230" s="95"/>
      <c r="R230" s="183">
        <f>(SUM(J231:Q231))-I231</f>
        <v>0</v>
      </c>
    </row>
    <row r="231" spans="1:18" s="90" customFormat="1" ht="15">
      <c r="A231" s="282">
        <v>223</v>
      </c>
      <c r="B231" s="92"/>
      <c r="C231" s="96"/>
      <c r="D231" s="386" t="s">
        <v>1168</v>
      </c>
      <c r="E231" s="999"/>
      <c r="F231" s="480"/>
      <c r="G231" s="480"/>
      <c r="H231" s="480"/>
      <c r="I231" s="901">
        <f>SUM(J231:Q231)</f>
        <v>697889</v>
      </c>
      <c r="J231" s="183">
        <v>289577</v>
      </c>
      <c r="K231" s="183">
        <v>76718</v>
      </c>
      <c r="L231" s="183">
        <v>303184</v>
      </c>
      <c r="M231" s="184"/>
      <c r="N231" s="184"/>
      <c r="O231" s="184">
        <v>10170</v>
      </c>
      <c r="P231" s="184">
        <v>18240</v>
      </c>
      <c r="Q231" s="385"/>
      <c r="R231" s="183"/>
    </row>
    <row r="232" spans="1:18" s="91" customFormat="1" ht="15">
      <c r="A232" s="282">
        <v>224</v>
      </c>
      <c r="B232" s="179"/>
      <c r="C232" s="285"/>
      <c r="D232" s="571" t="s">
        <v>588</v>
      </c>
      <c r="E232" s="498"/>
      <c r="F232" s="486"/>
      <c r="G232" s="486"/>
      <c r="H232" s="480"/>
      <c r="I232" s="1000">
        <f>SUM(J232:Q232)</f>
        <v>11033</v>
      </c>
      <c r="J232" s="574">
        <v>7028</v>
      </c>
      <c r="K232" s="574">
        <v>1035</v>
      </c>
      <c r="L232" s="574">
        <v>2970</v>
      </c>
      <c r="M232" s="574"/>
      <c r="N232" s="574"/>
      <c r="O232" s="574"/>
      <c r="P232" s="574"/>
      <c r="Q232" s="1013"/>
      <c r="R232" s="184"/>
    </row>
    <row r="233" spans="1:18" s="91" customFormat="1" ht="15">
      <c r="A233" s="282">
        <v>225</v>
      </c>
      <c r="B233" s="179"/>
      <c r="C233" s="285"/>
      <c r="D233" s="571" t="s">
        <v>595</v>
      </c>
      <c r="E233" s="498"/>
      <c r="F233" s="486"/>
      <c r="G233" s="486"/>
      <c r="H233" s="480"/>
      <c r="I233" s="1000">
        <f>SUM(J233:Q233)</f>
        <v>1028</v>
      </c>
      <c r="J233" s="574">
        <v>809</v>
      </c>
      <c r="K233" s="574">
        <v>219</v>
      </c>
      <c r="L233" s="574"/>
      <c r="M233" s="574"/>
      <c r="N233" s="574"/>
      <c r="O233" s="574"/>
      <c r="P233" s="574"/>
      <c r="Q233" s="1013"/>
      <c r="R233" s="184"/>
    </row>
    <row r="234" spans="1:18" s="91" customFormat="1" ht="15">
      <c r="A234" s="282">
        <v>226</v>
      </c>
      <c r="B234" s="179"/>
      <c r="C234" s="285"/>
      <c r="D234" s="571" t="s">
        <v>774</v>
      </c>
      <c r="E234" s="498"/>
      <c r="F234" s="486"/>
      <c r="G234" s="486"/>
      <c r="H234" s="480"/>
      <c r="I234" s="1000">
        <f>SUM(J234:Q234)</f>
        <v>50</v>
      </c>
      <c r="J234" s="574"/>
      <c r="K234" s="574"/>
      <c r="L234" s="574">
        <v>50</v>
      </c>
      <c r="M234" s="574"/>
      <c r="N234" s="574"/>
      <c r="O234" s="574"/>
      <c r="P234" s="574"/>
      <c r="Q234" s="1013"/>
      <c r="R234" s="184"/>
    </row>
    <row r="235" spans="1:18" s="94" customFormat="1" ht="15">
      <c r="A235" s="282">
        <v>227</v>
      </c>
      <c r="B235" s="383"/>
      <c r="C235" s="93"/>
      <c r="D235" s="572" t="s">
        <v>1169</v>
      </c>
      <c r="E235" s="1001"/>
      <c r="F235" s="483"/>
      <c r="G235" s="483"/>
      <c r="H235" s="483"/>
      <c r="I235" s="904">
        <f aca="true" t="shared" si="49" ref="I235:Q235">SUM(I231:I234)</f>
        <v>710000</v>
      </c>
      <c r="J235" s="94">
        <f t="shared" si="49"/>
        <v>297414</v>
      </c>
      <c r="K235" s="94">
        <f t="shared" si="49"/>
        <v>77972</v>
      </c>
      <c r="L235" s="94">
        <f t="shared" si="49"/>
        <v>306204</v>
      </c>
      <c r="M235" s="94">
        <f t="shared" si="49"/>
        <v>0</v>
      </c>
      <c r="N235" s="94">
        <f t="shared" si="49"/>
        <v>0</v>
      </c>
      <c r="O235" s="94">
        <f t="shared" si="49"/>
        <v>10170</v>
      </c>
      <c r="P235" s="94">
        <f t="shared" si="49"/>
        <v>18240</v>
      </c>
      <c r="Q235" s="95">
        <f t="shared" si="49"/>
        <v>0</v>
      </c>
      <c r="R235" s="286"/>
    </row>
    <row r="236" spans="1:17" s="183" customFormat="1" ht="19.5" customHeight="1">
      <c r="A236" s="282">
        <v>228</v>
      </c>
      <c r="B236" s="181"/>
      <c r="C236" s="182">
        <v>1</v>
      </c>
      <c r="D236" s="561" t="s">
        <v>464</v>
      </c>
      <c r="E236" s="176"/>
      <c r="F236" s="176"/>
      <c r="G236" s="176"/>
      <c r="H236" s="425"/>
      <c r="I236" s="901"/>
      <c r="Q236" s="384"/>
    </row>
    <row r="237" spans="1:18" s="90" customFormat="1" ht="15">
      <c r="A237" s="282">
        <v>229</v>
      </c>
      <c r="B237" s="92"/>
      <c r="C237" s="96"/>
      <c r="D237" s="558" t="s">
        <v>1168</v>
      </c>
      <c r="E237" s="999"/>
      <c r="F237" s="480"/>
      <c r="G237" s="480"/>
      <c r="H237" s="480"/>
      <c r="I237" s="1002">
        <v>1251</v>
      </c>
      <c r="J237" s="494">
        <v>1102</v>
      </c>
      <c r="K237" s="494">
        <v>149</v>
      </c>
      <c r="L237" s="494"/>
      <c r="M237" s="494"/>
      <c r="N237" s="494"/>
      <c r="O237" s="494"/>
      <c r="P237" s="494"/>
      <c r="Q237" s="1003"/>
      <c r="R237" s="183"/>
    </row>
    <row r="238" spans="1:18" s="91" customFormat="1" ht="15">
      <c r="A238" s="282">
        <v>230</v>
      </c>
      <c r="B238" s="179"/>
      <c r="C238" s="285"/>
      <c r="D238" s="559" t="s">
        <v>1170</v>
      </c>
      <c r="E238" s="498"/>
      <c r="F238" s="486"/>
      <c r="G238" s="486"/>
      <c r="H238" s="480"/>
      <c r="I238" s="903"/>
      <c r="Q238" s="157"/>
      <c r="R238" s="184"/>
    </row>
    <row r="239" spans="1:17" s="406" customFormat="1" ht="25.5" customHeight="1">
      <c r="A239" s="283">
        <v>231</v>
      </c>
      <c r="B239" s="403"/>
      <c r="C239" s="404"/>
      <c r="D239" s="586" t="s">
        <v>1169</v>
      </c>
      <c r="E239" s="1006"/>
      <c r="F239" s="897"/>
      <c r="G239" s="897"/>
      <c r="H239" s="897"/>
      <c r="I239" s="1007">
        <f>SUM(I237:I238)</f>
        <v>1251</v>
      </c>
      <c r="J239" s="406">
        <f aca="true" t="shared" si="50" ref="J239:Q239">SUM(J237:J238)</f>
        <v>1102</v>
      </c>
      <c r="K239" s="406">
        <f t="shared" si="50"/>
        <v>149</v>
      </c>
      <c r="L239" s="406">
        <f t="shared" si="50"/>
        <v>0</v>
      </c>
      <c r="M239" s="406">
        <f t="shared" si="50"/>
        <v>0</v>
      </c>
      <c r="N239" s="406">
        <f t="shared" si="50"/>
        <v>0</v>
      </c>
      <c r="O239" s="406">
        <f t="shared" si="50"/>
        <v>0</v>
      </c>
      <c r="P239" s="406">
        <f t="shared" si="50"/>
        <v>0</v>
      </c>
      <c r="Q239" s="154">
        <f t="shared" si="50"/>
        <v>0</v>
      </c>
    </row>
    <row r="240" spans="1:18" s="91" customFormat="1" ht="21.75" customHeight="1">
      <c r="A240" s="1023">
        <v>232</v>
      </c>
      <c r="B240" s="568"/>
      <c r="C240" s="562"/>
      <c r="D240" s="583" t="s">
        <v>397</v>
      </c>
      <c r="E240" s="1014"/>
      <c r="F240" s="584">
        <f>SUM(F137:F230)</f>
        <v>1239652</v>
      </c>
      <c r="G240" s="584">
        <f>SUM(G137:G230)</f>
        <v>1451392</v>
      </c>
      <c r="H240" s="584">
        <f>SUM(H230,H221,H217,H213,H226,H209,H205,H198,H194,H190,H186,H182,H173,H169,H161,H157,H137)</f>
        <v>1829058</v>
      </c>
      <c r="I240" s="1015"/>
      <c r="J240" s="1016"/>
      <c r="K240" s="1016"/>
      <c r="L240" s="1016"/>
      <c r="M240" s="1016"/>
      <c r="N240" s="1016"/>
      <c r="O240" s="1016"/>
      <c r="P240" s="1016"/>
      <c r="Q240" s="399"/>
      <c r="R240" s="90"/>
    </row>
    <row r="241" spans="1:17" s="90" customFormat="1" ht="21.75" customHeight="1">
      <c r="A241" s="1023">
        <v>233</v>
      </c>
      <c r="B241" s="92"/>
      <c r="C241" s="96"/>
      <c r="D241" s="581" t="s">
        <v>1168</v>
      </c>
      <c r="E241" s="999"/>
      <c r="F241" s="480"/>
      <c r="G241" s="480"/>
      <c r="H241" s="480"/>
      <c r="I241" s="902">
        <f aca="true" t="shared" si="51" ref="I241:Q241">SUM(I237,I231,I227,I222,I218,I214,I210,I206,I199,I195,I191,I187,I183,I174,I170,I162,I158,I138)</f>
        <v>1680884</v>
      </c>
      <c r="J241" s="90">
        <f t="shared" si="51"/>
        <v>696641</v>
      </c>
      <c r="K241" s="90">
        <f t="shared" si="51"/>
        <v>189633</v>
      </c>
      <c r="L241" s="90">
        <f t="shared" si="51"/>
        <v>719210</v>
      </c>
      <c r="M241" s="90">
        <f t="shared" si="51"/>
        <v>0</v>
      </c>
      <c r="N241" s="90">
        <f t="shared" si="51"/>
        <v>0</v>
      </c>
      <c r="O241" s="90">
        <f t="shared" si="51"/>
        <v>57160</v>
      </c>
      <c r="P241" s="90">
        <f t="shared" si="51"/>
        <v>18240</v>
      </c>
      <c r="Q241" s="98">
        <f t="shared" si="51"/>
        <v>0</v>
      </c>
    </row>
    <row r="242" spans="1:17" s="91" customFormat="1" ht="21.75" customHeight="1">
      <c r="A242" s="1023">
        <v>234</v>
      </c>
      <c r="B242" s="179"/>
      <c r="C242" s="285"/>
      <c r="D242" s="187" t="s">
        <v>662</v>
      </c>
      <c r="E242" s="498"/>
      <c r="F242" s="486"/>
      <c r="G242" s="486"/>
      <c r="H242" s="480"/>
      <c r="I242" s="903">
        <f aca="true" t="shared" si="52" ref="I242:Q242">SUM(I238,I232:I234,I228,I223:I224,I219,I215,I211,I207,I200:I203,I196,I192,I188,I184,I175:I180,I171,I163:I166,I159,I139:I142)+I155+I145+I144+I143+I167+I154+I153+I152+I151+I150+I149+I148+I147+I146</f>
        <v>143165</v>
      </c>
      <c r="J242" s="91">
        <f t="shared" si="52"/>
        <v>40039</v>
      </c>
      <c r="K242" s="91">
        <f t="shared" si="52"/>
        <v>9525</v>
      </c>
      <c r="L242" s="91">
        <f t="shared" si="52"/>
        <v>93215</v>
      </c>
      <c r="M242" s="91">
        <f t="shared" si="52"/>
        <v>0</v>
      </c>
      <c r="N242" s="91">
        <f t="shared" si="52"/>
        <v>0</v>
      </c>
      <c r="O242" s="91">
        <f t="shared" si="52"/>
        <v>386</v>
      </c>
      <c r="P242" s="91">
        <f t="shared" si="52"/>
        <v>0</v>
      </c>
      <c r="Q242" s="157">
        <f t="shared" si="52"/>
        <v>0</v>
      </c>
    </row>
    <row r="243" spans="1:17" s="94" customFormat="1" ht="21.75" customHeight="1" thickBot="1">
      <c r="A243" s="1023">
        <v>235</v>
      </c>
      <c r="B243" s="564"/>
      <c r="C243" s="565"/>
      <c r="D243" s="573" t="s">
        <v>1169</v>
      </c>
      <c r="E243" s="1009"/>
      <c r="F243" s="567"/>
      <c r="G243" s="567"/>
      <c r="H243" s="567"/>
      <c r="I243" s="905">
        <f>SUM(I241:I242)</f>
        <v>1824049</v>
      </c>
      <c r="J243" s="596">
        <f aca="true" t="shared" si="53" ref="J243:Q243">SUM(J241:J242)</f>
        <v>736680</v>
      </c>
      <c r="K243" s="596">
        <f t="shared" si="53"/>
        <v>199158</v>
      </c>
      <c r="L243" s="596">
        <f t="shared" si="53"/>
        <v>812425</v>
      </c>
      <c r="M243" s="596">
        <f t="shared" si="53"/>
        <v>0</v>
      </c>
      <c r="N243" s="596">
        <f t="shared" si="53"/>
        <v>0</v>
      </c>
      <c r="O243" s="596">
        <f t="shared" si="53"/>
        <v>57546</v>
      </c>
      <c r="P243" s="596">
        <f t="shared" si="53"/>
        <v>18240</v>
      </c>
      <c r="Q243" s="599">
        <f t="shared" si="53"/>
        <v>0</v>
      </c>
    </row>
    <row r="244" spans="1:18" s="184" customFormat="1" ht="30" customHeight="1" thickTop="1">
      <c r="A244" s="282">
        <v>236</v>
      </c>
      <c r="B244" s="181">
        <v>16</v>
      </c>
      <c r="D244" s="1043" t="s">
        <v>458</v>
      </c>
      <c r="E244" s="994" t="s">
        <v>466</v>
      </c>
      <c r="F244" s="425">
        <v>0</v>
      </c>
      <c r="G244" s="425">
        <v>1012393</v>
      </c>
      <c r="H244" s="425">
        <v>1093476</v>
      </c>
      <c r="I244" s="1005"/>
      <c r="J244" s="286"/>
      <c r="K244" s="286"/>
      <c r="L244" s="286"/>
      <c r="M244" s="286"/>
      <c r="N244" s="286"/>
      <c r="O244" s="286"/>
      <c r="P244" s="286"/>
      <c r="Q244" s="155"/>
      <c r="R244" s="183">
        <f>(SUM(J245:Q245))-I245</f>
        <v>0</v>
      </c>
    </row>
    <row r="245" spans="1:17" s="90" customFormat="1" ht="15">
      <c r="A245" s="282">
        <v>237</v>
      </c>
      <c r="B245" s="92"/>
      <c r="C245" s="96"/>
      <c r="D245" s="581" t="s">
        <v>1168</v>
      </c>
      <c r="E245" s="999"/>
      <c r="F245" s="480"/>
      <c r="G245" s="480"/>
      <c r="H245" s="480"/>
      <c r="I245" s="902">
        <f>SUM(J245:Q245)</f>
        <v>1021405</v>
      </c>
      <c r="J245" s="90">
        <v>226325</v>
      </c>
      <c r="K245" s="90">
        <v>70642</v>
      </c>
      <c r="L245" s="90">
        <v>721438</v>
      </c>
      <c r="M245" s="91"/>
      <c r="N245" s="91"/>
      <c r="O245" s="91">
        <v>3000</v>
      </c>
      <c r="P245" s="91"/>
      <c r="Q245" s="157"/>
    </row>
    <row r="246" spans="1:17" s="91" customFormat="1" ht="15">
      <c r="A246" s="282">
        <v>238</v>
      </c>
      <c r="B246" s="179"/>
      <c r="C246" s="285"/>
      <c r="D246" s="585" t="s">
        <v>588</v>
      </c>
      <c r="E246" s="498"/>
      <c r="F246" s="486"/>
      <c r="G246" s="486"/>
      <c r="H246" s="480"/>
      <c r="I246" s="903">
        <f>SUM(J246:Q246)</f>
        <v>2348</v>
      </c>
      <c r="L246" s="91">
        <v>2348</v>
      </c>
      <c r="Q246" s="157"/>
    </row>
    <row r="247" spans="1:17" s="91" customFormat="1" ht="15">
      <c r="A247" s="282">
        <v>239</v>
      </c>
      <c r="B247" s="179"/>
      <c r="C247" s="285"/>
      <c r="D247" s="585" t="s">
        <v>595</v>
      </c>
      <c r="E247" s="498"/>
      <c r="F247" s="486"/>
      <c r="G247" s="486"/>
      <c r="H247" s="480"/>
      <c r="I247" s="903">
        <f>SUM(J247:Q247)</f>
        <v>2410</v>
      </c>
      <c r="J247" s="91">
        <v>1898</v>
      </c>
      <c r="K247" s="91">
        <v>512</v>
      </c>
      <c r="Q247" s="157"/>
    </row>
    <row r="248" spans="1:17" s="406" customFormat="1" ht="30" customHeight="1" thickBot="1">
      <c r="A248" s="283">
        <v>240</v>
      </c>
      <c r="B248" s="403"/>
      <c r="C248" s="404"/>
      <c r="D248" s="582" t="s">
        <v>1169</v>
      </c>
      <c r="E248" s="1006"/>
      <c r="F248" s="897"/>
      <c r="G248" s="897"/>
      <c r="H248" s="897"/>
      <c r="I248" s="1007">
        <f aca="true" t="shared" si="54" ref="I248:Q248">SUM(I245:I247)</f>
        <v>1026163</v>
      </c>
      <c r="J248" s="406">
        <f t="shared" si="54"/>
        <v>228223</v>
      </c>
      <c r="K248" s="406">
        <f t="shared" si="54"/>
        <v>71154</v>
      </c>
      <c r="L248" s="406">
        <f t="shared" si="54"/>
        <v>723786</v>
      </c>
      <c r="M248" s="406">
        <f t="shared" si="54"/>
        <v>0</v>
      </c>
      <c r="N248" s="406">
        <f t="shared" si="54"/>
        <v>0</v>
      </c>
      <c r="O248" s="406">
        <f t="shared" si="54"/>
        <v>3000</v>
      </c>
      <c r="P248" s="406">
        <f t="shared" si="54"/>
        <v>0</v>
      </c>
      <c r="Q248" s="154">
        <f t="shared" si="54"/>
        <v>0</v>
      </c>
    </row>
    <row r="249" spans="1:18" s="91" customFormat="1" ht="24" customHeight="1">
      <c r="A249" s="1023">
        <v>241</v>
      </c>
      <c r="B249" s="257"/>
      <c r="C249" s="462"/>
      <c r="D249" s="587" t="s">
        <v>398</v>
      </c>
      <c r="E249" s="1018"/>
      <c r="F249" s="899">
        <f>SUM(F103,F133,F240,F244)</f>
        <v>3170002</v>
      </c>
      <c r="G249" s="899">
        <f>SUM(G103,G133,G240,G244)</f>
        <v>4154634</v>
      </c>
      <c r="H249" s="899">
        <f>SUM(H103,H133,H240,H244)</f>
        <v>4785013</v>
      </c>
      <c r="I249" s="1019"/>
      <c r="J249" s="287"/>
      <c r="K249" s="287"/>
      <c r="L249" s="287"/>
      <c r="M249" s="287"/>
      <c r="N249" s="287"/>
      <c r="O249" s="287"/>
      <c r="P249" s="287"/>
      <c r="Q249" s="391"/>
      <c r="R249" s="90"/>
    </row>
    <row r="250" spans="1:17" s="90" customFormat="1" ht="24" customHeight="1">
      <c r="A250" s="1023">
        <v>242</v>
      </c>
      <c r="B250" s="92"/>
      <c r="C250" s="96"/>
      <c r="D250" s="581" t="s">
        <v>1168</v>
      </c>
      <c r="E250" s="999"/>
      <c r="F250" s="480"/>
      <c r="G250" s="480"/>
      <c r="H250" s="480"/>
      <c r="I250" s="902">
        <f aca="true" t="shared" si="55" ref="I250:Q250">SUM(I104,I134,I241,I245)</f>
        <v>4798951</v>
      </c>
      <c r="J250" s="90">
        <f t="shared" si="55"/>
        <v>2185684</v>
      </c>
      <c r="K250" s="90">
        <f t="shared" si="55"/>
        <v>623990</v>
      </c>
      <c r="L250" s="90">
        <f t="shared" si="55"/>
        <v>1896659</v>
      </c>
      <c r="M250" s="91">
        <f t="shared" si="55"/>
        <v>0</v>
      </c>
      <c r="N250" s="91">
        <f t="shared" si="55"/>
        <v>0</v>
      </c>
      <c r="O250" s="91">
        <f t="shared" si="55"/>
        <v>74378</v>
      </c>
      <c r="P250" s="91">
        <f t="shared" si="55"/>
        <v>18240</v>
      </c>
      <c r="Q250" s="157">
        <f t="shared" si="55"/>
        <v>0</v>
      </c>
    </row>
    <row r="251" spans="1:17" s="91" customFormat="1" ht="24" customHeight="1">
      <c r="A251" s="1023">
        <v>243</v>
      </c>
      <c r="B251" s="179"/>
      <c r="C251" s="285"/>
      <c r="D251" s="187" t="s">
        <v>662</v>
      </c>
      <c r="E251" s="498"/>
      <c r="F251" s="486"/>
      <c r="G251" s="486"/>
      <c r="H251" s="480"/>
      <c r="I251" s="903">
        <f aca="true" t="shared" si="56" ref="I251:Q251">SUM(I246:I247,I242,I135)+I105</f>
        <v>212069</v>
      </c>
      <c r="J251" s="91">
        <f t="shared" si="56"/>
        <v>79900</v>
      </c>
      <c r="K251" s="91">
        <f t="shared" si="56"/>
        <v>19643</v>
      </c>
      <c r="L251" s="91">
        <f t="shared" si="56"/>
        <v>111210</v>
      </c>
      <c r="M251" s="91">
        <f t="shared" si="56"/>
        <v>0</v>
      </c>
      <c r="N251" s="91">
        <f t="shared" si="56"/>
        <v>0</v>
      </c>
      <c r="O251" s="91">
        <f t="shared" si="56"/>
        <v>1316</v>
      </c>
      <c r="P251" s="91">
        <f t="shared" si="56"/>
        <v>0</v>
      </c>
      <c r="Q251" s="157">
        <f t="shared" si="56"/>
        <v>0</v>
      </c>
    </row>
    <row r="252" spans="1:17" s="94" customFormat="1" ht="24" customHeight="1" thickBot="1">
      <c r="A252" s="1023">
        <v>244</v>
      </c>
      <c r="B252" s="569"/>
      <c r="C252" s="575"/>
      <c r="D252" s="576" t="s">
        <v>1169</v>
      </c>
      <c r="E252" s="1020"/>
      <c r="F252" s="900"/>
      <c r="G252" s="900"/>
      <c r="H252" s="900"/>
      <c r="I252" s="1021">
        <f>SUM(I250:I251)</f>
        <v>5011020</v>
      </c>
      <c r="J252" s="6">
        <f aca="true" t="shared" si="57" ref="J252:Q252">SUM(J250:J251)</f>
        <v>2265584</v>
      </c>
      <c r="K252" s="6">
        <f t="shared" si="57"/>
        <v>643633</v>
      </c>
      <c r="L252" s="6">
        <f t="shared" si="57"/>
        <v>2007869</v>
      </c>
      <c r="M252" s="6">
        <f t="shared" si="57"/>
        <v>0</v>
      </c>
      <c r="N252" s="6">
        <f t="shared" si="57"/>
        <v>0</v>
      </c>
      <c r="O252" s="6">
        <f t="shared" si="57"/>
        <v>75694</v>
      </c>
      <c r="P252" s="6">
        <f t="shared" si="57"/>
        <v>18240</v>
      </c>
      <c r="Q252" s="20">
        <f t="shared" si="57"/>
        <v>0</v>
      </c>
    </row>
    <row r="253" spans="1:18" s="411" customFormat="1" ht="24.75" customHeight="1">
      <c r="A253" s="282">
        <v>245</v>
      </c>
      <c r="B253" s="181">
        <v>17</v>
      </c>
      <c r="C253" s="1371" t="s">
        <v>1105</v>
      </c>
      <c r="D253" s="1371"/>
      <c r="E253" s="410" t="s">
        <v>466</v>
      </c>
      <c r="F253" s="501"/>
      <c r="G253" s="501"/>
      <c r="H253" s="501"/>
      <c r="I253" s="901"/>
      <c r="J253" s="286"/>
      <c r="K253" s="286"/>
      <c r="L253" s="286"/>
      <c r="M253" s="286"/>
      <c r="N253" s="286"/>
      <c r="O253" s="286"/>
      <c r="P253" s="286"/>
      <c r="Q253" s="155"/>
      <c r="R253" s="180">
        <f>(SUM(J254:Q254))-I254</f>
        <v>0</v>
      </c>
    </row>
    <row r="254" spans="1:18" s="180" customFormat="1" ht="15">
      <c r="A254" s="282">
        <v>246</v>
      </c>
      <c r="B254" s="181"/>
      <c r="C254" s="182">
        <v>1</v>
      </c>
      <c r="D254" s="396" t="s">
        <v>1177</v>
      </c>
      <c r="E254" s="994"/>
      <c r="F254" s="425">
        <v>1245388</v>
      </c>
      <c r="G254" s="425">
        <v>1068620</v>
      </c>
      <c r="H254" s="425">
        <v>1061858</v>
      </c>
      <c r="I254" s="901"/>
      <c r="J254" s="286"/>
      <c r="K254" s="286"/>
      <c r="L254" s="286"/>
      <c r="M254" s="286"/>
      <c r="N254" s="286"/>
      <c r="O254" s="286"/>
      <c r="P254" s="286"/>
      <c r="Q254" s="155"/>
      <c r="R254" s="180">
        <f>(SUM(J255:Q255))-I255</f>
        <v>0</v>
      </c>
    </row>
    <row r="255" spans="1:18" s="90" customFormat="1" ht="15">
      <c r="A255" s="282">
        <v>247</v>
      </c>
      <c r="B255" s="92"/>
      <c r="C255" s="96"/>
      <c r="D255" s="386" t="s">
        <v>1168</v>
      </c>
      <c r="E255" s="999"/>
      <c r="F255" s="480"/>
      <c r="G255" s="480"/>
      <c r="H255" s="480"/>
      <c r="I255" s="901">
        <f>SUM(J255:Q255)</f>
        <v>1093581</v>
      </c>
      <c r="J255" s="183">
        <v>828536</v>
      </c>
      <c r="K255" s="183">
        <v>233832</v>
      </c>
      <c r="L255" s="183">
        <v>31213</v>
      </c>
      <c r="M255" s="184"/>
      <c r="N255" s="184"/>
      <c r="O255" s="184"/>
      <c r="P255" s="184"/>
      <c r="Q255" s="385"/>
      <c r="R255" s="183"/>
    </row>
    <row r="256" spans="1:18" s="91" customFormat="1" ht="15">
      <c r="A256" s="282">
        <v>248</v>
      </c>
      <c r="B256" s="179"/>
      <c r="C256" s="285"/>
      <c r="D256" s="571" t="s">
        <v>597</v>
      </c>
      <c r="E256" s="498"/>
      <c r="F256" s="486"/>
      <c r="G256" s="486"/>
      <c r="H256" s="486"/>
      <c r="I256" s="1000">
        <f>SUM(J256:Q256)</f>
        <v>2467</v>
      </c>
      <c r="J256" s="574">
        <v>1943</v>
      </c>
      <c r="K256" s="574">
        <v>524</v>
      </c>
      <c r="L256" s="574"/>
      <c r="M256" s="574"/>
      <c r="N256" s="574"/>
      <c r="O256" s="574"/>
      <c r="P256" s="574"/>
      <c r="Q256" s="1013"/>
      <c r="R256" s="184"/>
    </row>
    <row r="257" spans="1:18" s="91" customFormat="1" ht="15">
      <c r="A257" s="282">
        <v>249</v>
      </c>
      <c r="B257" s="179"/>
      <c r="C257" s="285"/>
      <c r="D257" s="571" t="s">
        <v>619</v>
      </c>
      <c r="E257" s="498"/>
      <c r="F257" s="486"/>
      <c r="G257" s="486"/>
      <c r="H257" s="486"/>
      <c r="I257" s="1000">
        <f>SUM(J257:Q257)</f>
        <v>66450</v>
      </c>
      <c r="J257" s="574">
        <v>53598</v>
      </c>
      <c r="K257" s="574">
        <v>12852</v>
      </c>
      <c r="L257" s="574"/>
      <c r="M257" s="574"/>
      <c r="N257" s="574"/>
      <c r="O257" s="574"/>
      <c r="P257" s="574"/>
      <c r="Q257" s="1013"/>
      <c r="R257" s="184"/>
    </row>
    <row r="258" spans="1:18" s="94" customFormat="1" ht="15">
      <c r="A258" s="282">
        <v>250</v>
      </c>
      <c r="B258" s="383"/>
      <c r="C258" s="93"/>
      <c r="D258" s="572" t="s">
        <v>1169</v>
      </c>
      <c r="E258" s="1001"/>
      <c r="F258" s="483"/>
      <c r="G258" s="483"/>
      <c r="H258" s="483"/>
      <c r="I258" s="904">
        <f aca="true" t="shared" si="58" ref="I258:Q258">SUM(I255:I257)</f>
        <v>1162498</v>
      </c>
      <c r="J258" s="94">
        <f t="shared" si="58"/>
        <v>884077</v>
      </c>
      <c r="K258" s="94">
        <f t="shared" si="58"/>
        <v>247208</v>
      </c>
      <c r="L258" s="94">
        <f t="shared" si="58"/>
        <v>31213</v>
      </c>
      <c r="M258" s="94">
        <f t="shared" si="58"/>
        <v>0</v>
      </c>
      <c r="N258" s="94">
        <f t="shared" si="58"/>
        <v>0</v>
      </c>
      <c r="O258" s="94">
        <f t="shared" si="58"/>
        <v>0</v>
      </c>
      <c r="P258" s="94">
        <f t="shared" si="58"/>
        <v>0</v>
      </c>
      <c r="Q258" s="95">
        <f t="shared" si="58"/>
        <v>0</v>
      </c>
      <c r="R258" s="286"/>
    </row>
    <row r="259" spans="1:18" s="99" customFormat="1" ht="15">
      <c r="A259" s="282">
        <v>251</v>
      </c>
      <c r="B259" s="92"/>
      <c r="C259" s="96"/>
      <c r="D259" s="497" t="s">
        <v>951</v>
      </c>
      <c r="E259" s="498"/>
      <c r="F259" s="480"/>
      <c r="G259" s="486">
        <v>131843</v>
      </c>
      <c r="H259" s="480"/>
      <c r="I259" s="902"/>
      <c r="J259" s="90"/>
      <c r="K259" s="90"/>
      <c r="L259" s="90"/>
      <c r="M259" s="90"/>
      <c r="N259" s="90"/>
      <c r="O259" s="90"/>
      <c r="P259" s="90"/>
      <c r="Q259" s="98"/>
      <c r="R259" s="99">
        <f>(SUM(J260:Q260))-I260</f>
        <v>0</v>
      </c>
    </row>
    <row r="260" spans="1:17" s="99" customFormat="1" ht="15">
      <c r="A260" s="282">
        <v>252</v>
      </c>
      <c r="B260" s="92"/>
      <c r="C260" s="96"/>
      <c r="D260" s="386" t="s">
        <v>1168</v>
      </c>
      <c r="E260" s="498"/>
      <c r="F260" s="480"/>
      <c r="G260" s="486"/>
      <c r="H260" s="480"/>
      <c r="I260" s="902">
        <f>SUM(J260:Q260)</f>
        <v>0</v>
      </c>
      <c r="J260" s="90"/>
      <c r="K260" s="90"/>
      <c r="L260" s="90"/>
      <c r="M260" s="90"/>
      <c r="N260" s="90"/>
      <c r="O260" s="90"/>
      <c r="P260" s="90"/>
      <c r="Q260" s="98"/>
    </row>
    <row r="261" spans="1:17" s="177" customFormat="1" ht="15">
      <c r="A261" s="282">
        <v>253</v>
      </c>
      <c r="B261" s="179"/>
      <c r="C261" s="285"/>
      <c r="D261" s="571" t="s">
        <v>1170</v>
      </c>
      <c r="E261" s="498"/>
      <c r="F261" s="486"/>
      <c r="G261" s="486"/>
      <c r="H261" s="486"/>
      <c r="I261" s="903"/>
      <c r="J261" s="91"/>
      <c r="K261" s="91"/>
      <c r="L261" s="91"/>
      <c r="M261" s="91"/>
      <c r="N261" s="91"/>
      <c r="O261" s="91"/>
      <c r="P261" s="91"/>
      <c r="Q261" s="157"/>
    </row>
    <row r="262" spans="1:17" s="7" customFormat="1" ht="15">
      <c r="A262" s="282">
        <v>254</v>
      </c>
      <c r="B262" s="383"/>
      <c r="C262" s="93"/>
      <c r="D262" s="572" t="s">
        <v>1169</v>
      </c>
      <c r="E262" s="597"/>
      <c r="F262" s="483"/>
      <c r="G262" s="577"/>
      <c r="H262" s="483"/>
      <c r="I262" s="904">
        <f>SUM(I260:I261)</f>
        <v>0</v>
      </c>
      <c r="J262" s="94">
        <f aca="true" t="shared" si="59" ref="J262:Q262">SUM(J260:J261)</f>
        <v>0</v>
      </c>
      <c r="K262" s="94">
        <f t="shared" si="59"/>
        <v>0</v>
      </c>
      <c r="L262" s="94">
        <f t="shared" si="59"/>
        <v>0</v>
      </c>
      <c r="M262" s="94">
        <f t="shared" si="59"/>
        <v>0</v>
      </c>
      <c r="N262" s="94">
        <f t="shared" si="59"/>
        <v>0</v>
      </c>
      <c r="O262" s="94">
        <f t="shared" si="59"/>
        <v>0</v>
      </c>
      <c r="P262" s="94">
        <f t="shared" si="59"/>
        <v>0</v>
      </c>
      <c r="Q262" s="95">
        <f t="shared" si="59"/>
        <v>0</v>
      </c>
    </row>
    <row r="263" spans="1:17" s="180" customFormat="1" ht="18.75" customHeight="1">
      <c r="A263" s="282">
        <v>255</v>
      </c>
      <c r="B263" s="181"/>
      <c r="C263" s="182">
        <v>2</v>
      </c>
      <c r="D263" s="396" t="s">
        <v>385</v>
      </c>
      <c r="E263" s="994"/>
      <c r="F263" s="425"/>
      <c r="G263" s="425"/>
      <c r="H263" s="425"/>
      <c r="I263" s="901"/>
      <c r="J263" s="286"/>
      <c r="K263" s="286"/>
      <c r="L263" s="286"/>
      <c r="M263" s="286"/>
      <c r="N263" s="286"/>
      <c r="O263" s="286"/>
      <c r="P263" s="286"/>
      <c r="Q263" s="155"/>
    </row>
    <row r="264" spans="1:18" s="90" customFormat="1" ht="15">
      <c r="A264" s="282">
        <v>256</v>
      </c>
      <c r="B264" s="92"/>
      <c r="C264" s="96"/>
      <c r="D264" s="386" t="s">
        <v>1168</v>
      </c>
      <c r="E264" s="999"/>
      <c r="F264" s="480"/>
      <c r="G264" s="480"/>
      <c r="H264" s="480"/>
      <c r="I264" s="901">
        <f>SUM(J264:Q264)</f>
        <v>9173</v>
      </c>
      <c r="J264" s="183">
        <v>5660</v>
      </c>
      <c r="K264" s="183">
        <v>1784</v>
      </c>
      <c r="L264" s="183">
        <v>1729</v>
      </c>
      <c r="M264" s="184"/>
      <c r="N264" s="184"/>
      <c r="O264" s="184"/>
      <c r="P264" s="184"/>
      <c r="Q264" s="385"/>
      <c r="R264" s="183"/>
    </row>
    <row r="265" spans="1:18" s="91" customFormat="1" ht="15">
      <c r="A265" s="282">
        <v>257</v>
      </c>
      <c r="B265" s="179"/>
      <c r="C265" s="285"/>
      <c r="D265" s="571" t="s">
        <v>1170</v>
      </c>
      <c r="E265" s="498"/>
      <c r="F265" s="486"/>
      <c r="G265" s="486"/>
      <c r="H265" s="486"/>
      <c r="I265" s="1000">
        <f>SUM(J265:Q265)</f>
        <v>405</v>
      </c>
      <c r="J265" s="574">
        <v>942</v>
      </c>
      <c r="K265" s="574">
        <v>110</v>
      </c>
      <c r="L265" s="574">
        <v>-647</v>
      </c>
      <c r="M265" s="574"/>
      <c r="N265" s="574"/>
      <c r="O265" s="574"/>
      <c r="P265" s="574"/>
      <c r="Q265" s="1013"/>
      <c r="R265" s="184"/>
    </row>
    <row r="266" spans="1:18" s="94" customFormat="1" ht="15">
      <c r="A266" s="282">
        <v>258</v>
      </c>
      <c r="B266" s="383"/>
      <c r="C266" s="93"/>
      <c r="D266" s="572" t="s">
        <v>1169</v>
      </c>
      <c r="E266" s="1001"/>
      <c r="F266" s="483"/>
      <c r="G266" s="483"/>
      <c r="H266" s="483"/>
      <c r="I266" s="904">
        <f>SUM(I264:I265)</f>
        <v>9578</v>
      </c>
      <c r="J266" s="94">
        <f aca="true" t="shared" si="60" ref="J266:Q266">SUM(J264:J265)</f>
        <v>6602</v>
      </c>
      <c r="K266" s="94">
        <f t="shared" si="60"/>
        <v>1894</v>
      </c>
      <c r="L266" s="94">
        <f t="shared" si="60"/>
        <v>1082</v>
      </c>
      <c r="M266" s="94">
        <f t="shared" si="60"/>
        <v>0</v>
      </c>
      <c r="N266" s="94">
        <f t="shared" si="60"/>
        <v>0</v>
      </c>
      <c r="O266" s="94">
        <f t="shared" si="60"/>
        <v>0</v>
      </c>
      <c r="P266" s="94">
        <f t="shared" si="60"/>
        <v>0</v>
      </c>
      <c r="Q266" s="95">
        <f t="shared" si="60"/>
        <v>0</v>
      </c>
      <c r="R266" s="286"/>
    </row>
    <row r="267" spans="1:17" s="180" customFormat="1" ht="18.75" customHeight="1">
      <c r="A267" s="282">
        <v>259</v>
      </c>
      <c r="B267" s="181"/>
      <c r="C267" s="182">
        <v>3</v>
      </c>
      <c r="D267" s="396" t="s">
        <v>556</v>
      </c>
      <c r="E267" s="994"/>
      <c r="F267" s="425"/>
      <c r="G267" s="425"/>
      <c r="H267" s="425"/>
      <c r="I267" s="901"/>
      <c r="J267" s="286"/>
      <c r="K267" s="286"/>
      <c r="L267" s="286"/>
      <c r="M267" s="286"/>
      <c r="N267" s="286"/>
      <c r="O267" s="286"/>
      <c r="P267" s="286"/>
      <c r="Q267" s="155"/>
    </row>
    <row r="268" spans="1:18" s="91" customFormat="1" ht="15">
      <c r="A268" s="282">
        <v>260</v>
      </c>
      <c r="B268" s="179"/>
      <c r="C268" s="285"/>
      <c r="D268" s="571" t="s">
        <v>905</v>
      </c>
      <c r="E268" s="498"/>
      <c r="F268" s="486"/>
      <c r="G268" s="486"/>
      <c r="H268" s="486"/>
      <c r="I268" s="1000">
        <f>J268+K268+L268</f>
        <v>9207</v>
      </c>
      <c r="J268" s="574">
        <v>5660</v>
      </c>
      <c r="K268" s="574">
        <v>1784</v>
      </c>
      <c r="L268" s="574">
        <v>1763</v>
      </c>
      <c r="M268" s="574"/>
      <c r="N268" s="574"/>
      <c r="O268" s="574"/>
      <c r="P268" s="574"/>
      <c r="Q268" s="1013"/>
      <c r="R268" s="184"/>
    </row>
    <row r="269" spans="1:18" s="94" customFormat="1" ht="15">
      <c r="A269" s="282">
        <v>261</v>
      </c>
      <c r="B269" s="383"/>
      <c r="C269" s="93"/>
      <c r="D269" s="572" t="s">
        <v>1169</v>
      </c>
      <c r="E269" s="1001"/>
      <c r="F269" s="483"/>
      <c r="G269" s="483"/>
      <c r="H269" s="483"/>
      <c r="I269" s="904">
        <f>SUM(I268)</f>
        <v>9207</v>
      </c>
      <c r="J269" s="94">
        <f aca="true" t="shared" si="61" ref="J269:Q269">SUM(J268)</f>
        <v>5660</v>
      </c>
      <c r="K269" s="94">
        <f t="shared" si="61"/>
        <v>1784</v>
      </c>
      <c r="L269" s="94">
        <f t="shared" si="61"/>
        <v>1763</v>
      </c>
      <c r="M269" s="94">
        <f t="shared" si="61"/>
        <v>0</v>
      </c>
      <c r="N269" s="94">
        <f t="shared" si="61"/>
        <v>0</v>
      </c>
      <c r="O269" s="94">
        <f t="shared" si="61"/>
        <v>0</v>
      </c>
      <c r="P269" s="94">
        <f t="shared" si="61"/>
        <v>0</v>
      </c>
      <c r="Q269" s="95">
        <f t="shared" si="61"/>
        <v>0</v>
      </c>
      <c r="R269" s="286"/>
    </row>
    <row r="270" spans="1:18" s="180" customFormat="1" ht="18.75" customHeight="1">
      <c r="A270" s="282">
        <v>262</v>
      </c>
      <c r="B270" s="181"/>
      <c r="C270" s="182">
        <v>4</v>
      </c>
      <c r="D270" s="396" t="s">
        <v>1178</v>
      </c>
      <c r="E270" s="994"/>
      <c r="F270" s="425">
        <v>140738</v>
      </c>
      <c r="G270" s="425">
        <v>149000</v>
      </c>
      <c r="H270" s="425">
        <v>109284</v>
      </c>
      <c r="I270" s="901"/>
      <c r="J270" s="286"/>
      <c r="K270" s="286"/>
      <c r="L270" s="286"/>
      <c r="M270" s="286"/>
      <c r="N270" s="286"/>
      <c r="O270" s="286"/>
      <c r="P270" s="286"/>
      <c r="Q270" s="155"/>
      <c r="R270" s="180">
        <f>(SUM(J271:Q271))-I271</f>
        <v>0</v>
      </c>
    </row>
    <row r="271" spans="1:18" s="90" customFormat="1" ht="15">
      <c r="A271" s="282">
        <v>263</v>
      </c>
      <c r="B271" s="92"/>
      <c r="C271" s="96"/>
      <c r="D271" s="386" t="s">
        <v>1168</v>
      </c>
      <c r="E271" s="999"/>
      <c r="F271" s="480"/>
      <c r="G271" s="480"/>
      <c r="H271" s="480"/>
      <c r="I271" s="901">
        <f>SUM(J271:Q271)</f>
        <v>148400</v>
      </c>
      <c r="J271" s="183"/>
      <c r="K271" s="183"/>
      <c r="L271" s="183">
        <v>147975</v>
      </c>
      <c r="M271" s="184"/>
      <c r="N271" s="184"/>
      <c r="O271" s="184"/>
      <c r="P271" s="184">
        <v>425</v>
      </c>
      <c r="Q271" s="385"/>
      <c r="R271" s="183"/>
    </row>
    <row r="272" spans="1:18" s="91" customFormat="1" ht="15">
      <c r="A272" s="282">
        <v>264</v>
      </c>
      <c r="B272" s="179"/>
      <c r="C272" s="285"/>
      <c r="D272" s="571" t="s">
        <v>618</v>
      </c>
      <c r="E272" s="498"/>
      <c r="F272" s="486"/>
      <c r="G272" s="486"/>
      <c r="H272" s="486"/>
      <c r="I272" s="1000">
        <f>SUM(J272:Q272)</f>
        <v>10000</v>
      </c>
      <c r="J272" s="574"/>
      <c r="K272" s="574"/>
      <c r="L272" s="574">
        <v>10000</v>
      </c>
      <c r="M272" s="574"/>
      <c r="N272" s="574"/>
      <c r="O272" s="574"/>
      <c r="P272" s="574"/>
      <c r="Q272" s="1013"/>
      <c r="R272" s="184"/>
    </row>
    <row r="273" spans="1:18" s="94" customFormat="1" ht="15">
      <c r="A273" s="282">
        <v>265</v>
      </c>
      <c r="B273" s="383"/>
      <c r="C273" s="93"/>
      <c r="D273" s="572" t="s">
        <v>1169</v>
      </c>
      <c r="E273" s="1001"/>
      <c r="F273" s="483"/>
      <c r="G273" s="483"/>
      <c r="H273" s="483"/>
      <c r="I273" s="904">
        <f>SUM(I271:I272)</f>
        <v>158400</v>
      </c>
      <c r="J273" s="94">
        <f aca="true" t="shared" si="62" ref="J273:Q273">SUM(J271:J272)</f>
        <v>0</v>
      </c>
      <c r="K273" s="94">
        <f t="shared" si="62"/>
        <v>0</v>
      </c>
      <c r="L273" s="94">
        <f t="shared" si="62"/>
        <v>157975</v>
      </c>
      <c r="M273" s="94">
        <f t="shared" si="62"/>
        <v>0</v>
      </c>
      <c r="N273" s="94">
        <f t="shared" si="62"/>
        <v>0</v>
      </c>
      <c r="O273" s="94">
        <f t="shared" si="62"/>
        <v>0</v>
      </c>
      <c r="P273" s="94">
        <f t="shared" si="62"/>
        <v>425</v>
      </c>
      <c r="Q273" s="95">
        <f t="shared" si="62"/>
        <v>0</v>
      </c>
      <c r="R273" s="286"/>
    </row>
    <row r="274" spans="1:18" s="180" customFormat="1" ht="18.75" customHeight="1">
      <c r="A274" s="282">
        <v>266</v>
      </c>
      <c r="B274" s="181"/>
      <c r="C274" s="182">
        <v>5</v>
      </c>
      <c r="D274" s="396" t="s">
        <v>1179</v>
      </c>
      <c r="E274" s="994"/>
      <c r="F274" s="425">
        <v>76122</v>
      </c>
      <c r="G274" s="425">
        <v>74301</v>
      </c>
      <c r="H274" s="425">
        <v>72032</v>
      </c>
      <c r="I274" s="901"/>
      <c r="J274" s="286"/>
      <c r="K274" s="286"/>
      <c r="L274" s="286"/>
      <c r="M274" s="286"/>
      <c r="N274" s="286"/>
      <c r="O274" s="286"/>
      <c r="P274" s="286"/>
      <c r="Q274" s="155"/>
      <c r="R274" s="180">
        <f>(SUM(J275:Q275))-I275</f>
        <v>0</v>
      </c>
    </row>
    <row r="275" spans="1:18" s="90" customFormat="1" ht="15">
      <c r="A275" s="282">
        <v>267</v>
      </c>
      <c r="B275" s="92"/>
      <c r="C275" s="96"/>
      <c r="D275" s="386" t="s">
        <v>1168</v>
      </c>
      <c r="E275" s="999"/>
      <c r="F275" s="480"/>
      <c r="G275" s="480"/>
      <c r="H275" s="480"/>
      <c r="I275" s="901">
        <f>SUM(J275:Q275)</f>
        <v>73216</v>
      </c>
      <c r="J275" s="183"/>
      <c r="K275" s="183"/>
      <c r="L275" s="183">
        <v>53383</v>
      </c>
      <c r="M275" s="184"/>
      <c r="N275" s="184"/>
      <c r="O275" s="184">
        <v>19833</v>
      </c>
      <c r="P275" s="184"/>
      <c r="Q275" s="385"/>
      <c r="R275" s="183"/>
    </row>
    <row r="276" spans="1:18" s="91" customFormat="1" ht="15">
      <c r="A276" s="282">
        <v>268</v>
      </c>
      <c r="B276" s="179"/>
      <c r="C276" s="285"/>
      <c r="D276" s="571" t="s">
        <v>618</v>
      </c>
      <c r="E276" s="498"/>
      <c r="F276" s="486"/>
      <c r="G276" s="486"/>
      <c r="H276" s="486"/>
      <c r="I276" s="1000">
        <f>SUM(J276:Q276)</f>
        <v>17054</v>
      </c>
      <c r="J276" s="574"/>
      <c r="K276" s="574"/>
      <c r="L276" s="574">
        <v>11000</v>
      </c>
      <c r="M276" s="574"/>
      <c r="N276" s="574"/>
      <c r="O276" s="574">
        <v>6054</v>
      </c>
      <c r="P276" s="574"/>
      <c r="Q276" s="1013"/>
      <c r="R276" s="184"/>
    </row>
    <row r="277" spans="1:18" s="94" customFormat="1" ht="15">
      <c r="A277" s="282">
        <v>269</v>
      </c>
      <c r="B277" s="383"/>
      <c r="C277" s="93"/>
      <c r="D277" s="572" t="s">
        <v>1169</v>
      </c>
      <c r="E277" s="1001"/>
      <c r="F277" s="483"/>
      <c r="G277" s="483"/>
      <c r="H277" s="483"/>
      <c r="I277" s="904">
        <f>SUM(I275:I276)</f>
        <v>90270</v>
      </c>
      <c r="J277" s="94">
        <f aca="true" t="shared" si="63" ref="J277:Q277">SUM(J275:J276)</f>
        <v>0</v>
      </c>
      <c r="K277" s="94">
        <f t="shared" si="63"/>
        <v>0</v>
      </c>
      <c r="L277" s="94">
        <f t="shared" si="63"/>
        <v>64383</v>
      </c>
      <c r="M277" s="94">
        <f t="shared" si="63"/>
        <v>0</v>
      </c>
      <c r="N277" s="94">
        <f t="shared" si="63"/>
        <v>0</v>
      </c>
      <c r="O277" s="94">
        <f t="shared" si="63"/>
        <v>25887</v>
      </c>
      <c r="P277" s="94">
        <f t="shared" si="63"/>
        <v>0</v>
      </c>
      <c r="Q277" s="95">
        <f t="shared" si="63"/>
        <v>0</v>
      </c>
      <c r="R277" s="286"/>
    </row>
    <row r="278" spans="1:18" s="180" customFormat="1" ht="18.75" customHeight="1">
      <c r="A278" s="282">
        <v>270</v>
      </c>
      <c r="B278" s="181"/>
      <c r="C278" s="182">
        <v>6</v>
      </c>
      <c r="D278" s="396" t="s">
        <v>1108</v>
      </c>
      <c r="E278" s="994"/>
      <c r="F278" s="425">
        <v>1961</v>
      </c>
      <c r="G278" s="425">
        <v>2500</v>
      </c>
      <c r="H278" s="425">
        <v>1906</v>
      </c>
      <c r="I278" s="901"/>
      <c r="J278" s="286"/>
      <c r="K278" s="286"/>
      <c r="L278" s="286"/>
      <c r="M278" s="286"/>
      <c r="N278" s="286"/>
      <c r="O278" s="286"/>
      <c r="P278" s="286"/>
      <c r="Q278" s="155"/>
      <c r="R278" s="180">
        <f>(SUM(J279:Q279))-I279</f>
        <v>0</v>
      </c>
    </row>
    <row r="279" spans="1:18" s="90" customFormat="1" ht="15">
      <c r="A279" s="282">
        <v>271</v>
      </c>
      <c r="B279" s="92"/>
      <c r="C279" s="96"/>
      <c r="D279" s="386" t="s">
        <v>1168</v>
      </c>
      <c r="E279" s="999"/>
      <c r="F279" s="480"/>
      <c r="G279" s="480"/>
      <c r="H279" s="480"/>
      <c r="I279" s="901">
        <f>SUM(J279:Q279)</f>
        <v>4200</v>
      </c>
      <c r="J279" s="183"/>
      <c r="K279" s="183"/>
      <c r="L279" s="183">
        <v>4200</v>
      </c>
      <c r="M279" s="184"/>
      <c r="N279" s="184"/>
      <c r="O279" s="184"/>
      <c r="P279" s="184"/>
      <c r="Q279" s="385"/>
      <c r="R279" s="183"/>
    </row>
    <row r="280" spans="1:18" s="91" customFormat="1" ht="15">
      <c r="A280" s="282">
        <v>272</v>
      </c>
      <c r="B280" s="179"/>
      <c r="C280" s="285"/>
      <c r="D280" s="571" t="s">
        <v>1170</v>
      </c>
      <c r="E280" s="498"/>
      <c r="F280" s="486"/>
      <c r="G280" s="486"/>
      <c r="H280" s="486"/>
      <c r="I280" s="1000">
        <f>SUM(J280:Q280)</f>
        <v>0</v>
      </c>
      <c r="J280" s="574"/>
      <c r="K280" s="574"/>
      <c r="L280" s="574"/>
      <c r="M280" s="574"/>
      <c r="N280" s="574"/>
      <c r="O280" s="574"/>
      <c r="P280" s="574"/>
      <c r="Q280" s="1013"/>
      <c r="R280" s="184"/>
    </row>
    <row r="281" spans="1:18" s="94" customFormat="1" ht="15">
      <c r="A281" s="282">
        <v>273</v>
      </c>
      <c r="B281" s="383"/>
      <c r="C281" s="93"/>
      <c r="D281" s="572" t="s">
        <v>1169</v>
      </c>
      <c r="E281" s="1001"/>
      <c r="F281" s="483"/>
      <c r="G281" s="483"/>
      <c r="H281" s="483"/>
      <c r="I281" s="904">
        <f>SUM(I279:I280)</f>
        <v>4200</v>
      </c>
      <c r="J281" s="94">
        <f aca="true" t="shared" si="64" ref="J281:Q281">SUM(J279:J280)</f>
        <v>0</v>
      </c>
      <c r="K281" s="94">
        <f t="shared" si="64"/>
        <v>0</v>
      </c>
      <c r="L281" s="94">
        <f t="shared" si="64"/>
        <v>4200</v>
      </c>
      <c r="M281" s="94">
        <f t="shared" si="64"/>
        <v>0</v>
      </c>
      <c r="N281" s="94">
        <f t="shared" si="64"/>
        <v>0</v>
      </c>
      <c r="O281" s="94">
        <f t="shared" si="64"/>
        <v>0</v>
      </c>
      <c r="P281" s="94">
        <f t="shared" si="64"/>
        <v>0</v>
      </c>
      <c r="Q281" s="95">
        <f t="shared" si="64"/>
        <v>0</v>
      </c>
      <c r="R281" s="286"/>
    </row>
    <row r="282" spans="1:18" s="180" customFormat="1" ht="18.75" customHeight="1">
      <c r="A282" s="282">
        <v>274</v>
      </c>
      <c r="B282" s="181"/>
      <c r="C282" s="182">
        <v>7</v>
      </c>
      <c r="D282" s="396" t="s">
        <v>464</v>
      </c>
      <c r="E282" s="994"/>
      <c r="F282" s="425">
        <v>9451</v>
      </c>
      <c r="G282" s="425">
        <v>0</v>
      </c>
      <c r="H282" s="425">
        <v>417</v>
      </c>
      <c r="I282" s="901"/>
      <c r="J282" s="286"/>
      <c r="K282" s="286"/>
      <c r="L282" s="286"/>
      <c r="M282" s="286"/>
      <c r="N282" s="286"/>
      <c r="O282" s="286"/>
      <c r="P282" s="286"/>
      <c r="Q282" s="155"/>
      <c r="R282" s="180">
        <f>(SUM(J283:Q283))-I283</f>
        <v>0</v>
      </c>
    </row>
    <row r="283" spans="1:18" s="90" customFormat="1" ht="15">
      <c r="A283" s="282">
        <v>275</v>
      </c>
      <c r="B283" s="92"/>
      <c r="C283" s="96"/>
      <c r="D283" s="386" t="s">
        <v>1168</v>
      </c>
      <c r="E283" s="999"/>
      <c r="F283" s="480"/>
      <c r="G283" s="480"/>
      <c r="H283" s="480"/>
      <c r="I283" s="901">
        <f>SUM(J283:Q283)</f>
        <v>0</v>
      </c>
      <c r="J283" s="183"/>
      <c r="K283" s="183"/>
      <c r="L283" s="183"/>
      <c r="M283" s="184"/>
      <c r="N283" s="184"/>
      <c r="O283" s="184"/>
      <c r="P283" s="184"/>
      <c r="Q283" s="385"/>
      <c r="R283" s="183"/>
    </row>
    <row r="284" spans="1:18" s="91" customFormat="1" ht="15">
      <c r="A284" s="282">
        <v>276</v>
      </c>
      <c r="B284" s="179"/>
      <c r="C284" s="285"/>
      <c r="D284" s="571" t="s">
        <v>1170</v>
      </c>
      <c r="E284" s="498"/>
      <c r="F284" s="486"/>
      <c r="G284" s="486"/>
      <c r="H284" s="486"/>
      <c r="I284" s="1004"/>
      <c r="J284" s="574"/>
      <c r="K284" s="574"/>
      <c r="L284" s="574"/>
      <c r="M284" s="574"/>
      <c r="N284" s="574"/>
      <c r="O284" s="574"/>
      <c r="P284" s="574"/>
      <c r="Q284" s="1013"/>
      <c r="R284" s="184"/>
    </row>
    <row r="285" spans="1:18" s="94" customFormat="1" ht="15">
      <c r="A285" s="282">
        <v>277</v>
      </c>
      <c r="B285" s="383"/>
      <c r="C285" s="93"/>
      <c r="D285" s="572" t="s">
        <v>1169</v>
      </c>
      <c r="E285" s="1001"/>
      <c r="F285" s="483"/>
      <c r="G285" s="483"/>
      <c r="H285" s="483"/>
      <c r="I285" s="904">
        <f>SUM(I283:I284)</f>
        <v>0</v>
      </c>
      <c r="J285" s="94">
        <f aca="true" t="shared" si="65" ref="J285:Q285">SUM(J283:J284)</f>
        <v>0</v>
      </c>
      <c r="K285" s="94">
        <f t="shared" si="65"/>
        <v>0</v>
      </c>
      <c r="L285" s="94">
        <f t="shared" si="65"/>
        <v>0</v>
      </c>
      <c r="M285" s="94">
        <f t="shared" si="65"/>
        <v>0</v>
      </c>
      <c r="N285" s="94">
        <f t="shared" si="65"/>
        <v>0</v>
      </c>
      <c r="O285" s="94">
        <f t="shared" si="65"/>
        <v>0</v>
      </c>
      <c r="P285" s="94">
        <f t="shared" si="65"/>
        <v>0</v>
      </c>
      <c r="Q285" s="95">
        <f t="shared" si="65"/>
        <v>0</v>
      </c>
      <c r="R285" s="286"/>
    </row>
    <row r="286" spans="1:18" s="180" customFormat="1" ht="31.5" customHeight="1">
      <c r="A286" s="1023">
        <v>278</v>
      </c>
      <c r="B286" s="92"/>
      <c r="C286" s="96">
        <v>8</v>
      </c>
      <c r="D286" s="396" t="s">
        <v>952</v>
      </c>
      <c r="E286" s="994"/>
      <c r="F286" s="425">
        <v>5609</v>
      </c>
      <c r="G286" s="425">
        <v>0</v>
      </c>
      <c r="H286" s="425">
        <v>3247</v>
      </c>
      <c r="I286" s="901"/>
      <c r="J286" s="286"/>
      <c r="K286" s="286"/>
      <c r="L286" s="286"/>
      <c r="M286" s="286"/>
      <c r="N286" s="286"/>
      <c r="O286" s="286"/>
      <c r="P286" s="286"/>
      <c r="Q286" s="155"/>
      <c r="R286" s="180">
        <f>(SUM(J287:Q287))-I287</f>
        <v>0</v>
      </c>
    </row>
    <row r="287" spans="1:18" s="90" customFormat="1" ht="15">
      <c r="A287" s="282">
        <v>279</v>
      </c>
      <c r="B287" s="92"/>
      <c r="C287" s="96"/>
      <c r="D287" s="386" t="s">
        <v>1168</v>
      </c>
      <c r="E287" s="999"/>
      <c r="F287" s="480"/>
      <c r="G287" s="480"/>
      <c r="H287" s="480"/>
      <c r="I287" s="901">
        <f>SUM(J287:Q287)</f>
        <v>0</v>
      </c>
      <c r="J287" s="183"/>
      <c r="K287" s="183"/>
      <c r="L287" s="183"/>
      <c r="M287" s="184"/>
      <c r="N287" s="184"/>
      <c r="O287" s="184"/>
      <c r="P287" s="184"/>
      <c r="Q287" s="385"/>
      <c r="R287" s="183"/>
    </row>
    <row r="288" spans="1:18" s="91" customFormat="1" ht="15">
      <c r="A288" s="282">
        <v>280</v>
      </c>
      <c r="B288" s="179"/>
      <c r="C288" s="285"/>
      <c r="D288" s="571" t="s">
        <v>1170</v>
      </c>
      <c r="E288" s="498"/>
      <c r="F288" s="486"/>
      <c r="G288" s="486"/>
      <c r="H288" s="486"/>
      <c r="I288" s="1004"/>
      <c r="J288" s="574"/>
      <c r="K288" s="574"/>
      <c r="L288" s="574"/>
      <c r="M288" s="574"/>
      <c r="N288" s="574"/>
      <c r="O288" s="574"/>
      <c r="P288" s="574"/>
      <c r="Q288" s="1013"/>
      <c r="R288" s="184"/>
    </row>
    <row r="289" spans="1:18" s="94" customFormat="1" ht="15">
      <c r="A289" s="282">
        <v>281</v>
      </c>
      <c r="B289" s="383"/>
      <c r="C289" s="93"/>
      <c r="D289" s="572" t="s">
        <v>1169</v>
      </c>
      <c r="E289" s="1001"/>
      <c r="F289" s="483"/>
      <c r="G289" s="483"/>
      <c r="H289" s="483"/>
      <c r="I289" s="904">
        <f>SUM(I287:I288)</f>
        <v>0</v>
      </c>
      <c r="J289" s="94">
        <f aca="true" t="shared" si="66" ref="J289:Q289">SUM(J287:J288)</f>
        <v>0</v>
      </c>
      <c r="K289" s="94">
        <f t="shared" si="66"/>
        <v>0</v>
      </c>
      <c r="L289" s="94">
        <f t="shared" si="66"/>
        <v>0</v>
      </c>
      <c r="M289" s="94">
        <f t="shared" si="66"/>
        <v>0</v>
      </c>
      <c r="N289" s="94">
        <f t="shared" si="66"/>
        <v>0</v>
      </c>
      <c r="O289" s="94">
        <f t="shared" si="66"/>
        <v>0</v>
      </c>
      <c r="P289" s="94">
        <f t="shared" si="66"/>
        <v>0</v>
      </c>
      <c r="Q289" s="95">
        <f t="shared" si="66"/>
        <v>0</v>
      </c>
      <c r="R289" s="286"/>
    </row>
    <row r="290" spans="1:18" s="180" customFormat="1" ht="31.5" customHeight="1">
      <c r="A290" s="1023">
        <v>282</v>
      </c>
      <c r="B290" s="92"/>
      <c r="C290" s="96">
        <v>9</v>
      </c>
      <c r="D290" s="396" t="s">
        <v>961</v>
      </c>
      <c r="E290" s="994"/>
      <c r="F290" s="425">
        <v>1897</v>
      </c>
      <c r="G290" s="425">
        <v>0</v>
      </c>
      <c r="H290" s="425">
        <v>0</v>
      </c>
      <c r="I290" s="901"/>
      <c r="J290" s="286"/>
      <c r="K290" s="286"/>
      <c r="L290" s="286"/>
      <c r="M290" s="286"/>
      <c r="N290" s="286"/>
      <c r="O290" s="286"/>
      <c r="P290" s="286"/>
      <c r="Q290" s="155"/>
      <c r="R290" s="180">
        <f>(SUM(J291:Q291))-I291</f>
        <v>0</v>
      </c>
    </row>
    <row r="291" spans="1:18" s="90" customFormat="1" ht="15">
      <c r="A291" s="282">
        <v>283</v>
      </c>
      <c r="B291" s="92"/>
      <c r="C291" s="96"/>
      <c r="D291" s="386" t="s">
        <v>1168</v>
      </c>
      <c r="E291" s="999"/>
      <c r="F291" s="480"/>
      <c r="G291" s="480"/>
      <c r="H291" s="480"/>
      <c r="I291" s="901">
        <f>SUM(J291:Q291)</f>
        <v>0</v>
      </c>
      <c r="J291" s="183"/>
      <c r="K291" s="183"/>
      <c r="L291" s="183"/>
      <c r="M291" s="184"/>
      <c r="N291" s="184"/>
      <c r="O291" s="184"/>
      <c r="P291" s="184"/>
      <c r="Q291" s="385"/>
      <c r="R291" s="183"/>
    </row>
    <row r="292" spans="1:18" s="91" customFormat="1" ht="15">
      <c r="A292" s="282">
        <v>284</v>
      </c>
      <c r="B292" s="179"/>
      <c r="C292" s="285"/>
      <c r="D292" s="571" t="s">
        <v>1170</v>
      </c>
      <c r="E292" s="498"/>
      <c r="F292" s="486"/>
      <c r="G292" s="486"/>
      <c r="H292" s="486"/>
      <c r="I292" s="1004"/>
      <c r="J292" s="574"/>
      <c r="K292" s="574"/>
      <c r="L292" s="574"/>
      <c r="M292" s="574"/>
      <c r="N292" s="574"/>
      <c r="O292" s="574"/>
      <c r="P292" s="574"/>
      <c r="Q292" s="1013"/>
      <c r="R292" s="184"/>
    </row>
    <row r="293" spans="1:18" s="94" customFormat="1" ht="15">
      <c r="A293" s="282">
        <v>285</v>
      </c>
      <c r="B293" s="383"/>
      <c r="C293" s="93"/>
      <c r="D293" s="572" t="s">
        <v>1169</v>
      </c>
      <c r="E293" s="1001"/>
      <c r="F293" s="483"/>
      <c r="G293" s="483"/>
      <c r="H293" s="483"/>
      <c r="I293" s="904">
        <f>SUM(I291:I292)</f>
        <v>0</v>
      </c>
      <c r="J293" s="94">
        <f aca="true" t="shared" si="67" ref="J293:Q293">SUM(J291:J292)</f>
        <v>0</v>
      </c>
      <c r="K293" s="94">
        <f t="shared" si="67"/>
        <v>0</v>
      </c>
      <c r="L293" s="94">
        <f t="shared" si="67"/>
        <v>0</v>
      </c>
      <c r="M293" s="94">
        <f t="shared" si="67"/>
        <v>0</v>
      </c>
      <c r="N293" s="94">
        <f t="shared" si="67"/>
        <v>0</v>
      </c>
      <c r="O293" s="94">
        <f t="shared" si="67"/>
        <v>0</v>
      </c>
      <c r="P293" s="94">
        <f t="shared" si="67"/>
        <v>0</v>
      </c>
      <c r="Q293" s="95">
        <f t="shared" si="67"/>
        <v>0</v>
      </c>
      <c r="R293" s="286"/>
    </row>
    <row r="294" spans="1:18" s="180" customFormat="1" ht="31.5" customHeight="1">
      <c r="A294" s="1023">
        <v>286</v>
      </c>
      <c r="B294" s="92"/>
      <c r="C294" s="96">
        <v>10</v>
      </c>
      <c r="D294" s="396" t="s">
        <v>962</v>
      </c>
      <c r="E294" s="994"/>
      <c r="F294" s="425"/>
      <c r="G294" s="425"/>
      <c r="H294" s="425">
        <v>3560</v>
      </c>
      <c r="I294" s="901"/>
      <c r="J294" s="286"/>
      <c r="K294" s="286"/>
      <c r="L294" s="286"/>
      <c r="M294" s="286"/>
      <c r="N294" s="286"/>
      <c r="O294" s="286"/>
      <c r="P294" s="286"/>
      <c r="Q294" s="155"/>
      <c r="R294" s="180">
        <f>(SUM(J295:Q295))-I295</f>
        <v>0</v>
      </c>
    </row>
    <row r="295" spans="1:18" s="90" customFormat="1" ht="15">
      <c r="A295" s="282">
        <v>287</v>
      </c>
      <c r="B295" s="92"/>
      <c r="C295" s="96"/>
      <c r="D295" s="386" t="s">
        <v>1168</v>
      </c>
      <c r="E295" s="999"/>
      <c r="F295" s="480"/>
      <c r="G295" s="480"/>
      <c r="H295" s="480"/>
      <c r="I295" s="901">
        <f>SUM(J295:Q295)</f>
        <v>0</v>
      </c>
      <c r="J295" s="183"/>
      <c r="K295" s="183"/>
      <c r="L295" s="183"/>
      <c r="M295" s="184"/>
      <c r="N295" s="184"/>
      <c r="O295" s="184"/>
      <c r="P295" s="184"/>
      <c r="Q295" s="385"/>
      <c r="R295" s="183"/>
    </row>
    <row r="296" spans="1:18" s="91" customFormat="1" ht="15">
      <c r="A296" s="282">
        <v>288</v>
      </c>
      <c r="B296" s="179"/>
      <c r="C296" s="285"/>
      <c r="D296" s="571" t="s">
        <v>1170</v>
      </c>
      <c r="E296" s="498"/>
      <c r="F296" s="486"/>
      <c r="G296" s="486"/>
      <c r="H296" s="486"/>
      <c r="I296" s="1004"/>
      <c r="J296" s="574"/>
      <c r="K296" s="574"/>
      <c r="L296" s="574"/>
      <c r="M296" s="574"/>
      <c r="N296" s="574"/>
      <c r="O296" s="574"/>
      <c r="P296" s="574"/>
      <c r="Q296" s="1013"/>
      <c r="R296" s="184"/>
    </row>
    <row r="297" spans="1:18" s="94" customFormat="1" ht="15">
      <c r="A297" s="282">
        <v>289</v>
      </c>
      <c r="B297" s="383"/>
      <c r="C297" s="93"/>
      <c r="D297" s="572" t="s">
        <v>1169</v>
      </c>
      <c r="E297" s="1001"/>
      <c r="F297" s="483"/>
      <c r="G297" s="483"/>
      <c r="H297" s="483"/>
      <c r="I297" s="904">
        <f>SUM(I295:I296)</f>
        <v>0</v>
      </c>
      <c r="J297" s="94">
        <f aca="true" t="shared" si="68" ref="J297:Q297">SUM(J295:J296)</f>
        <v>0</v>
      </c>
      <c r="K297" s="94">
        <f t="shared" si="68"/>
        <v>0</v>
      </c>
      <c r="L297" s="94">
        <f t="shared" si="68"/>
        <v>0</v>
      </c>
      <c r="M297" s="94">
        <f t="shared" si="68"/>
        <v>0</v>
      </c>
      <c r="N297" s="94">
        <f t="shared" si="68"/>
        <v>0</v>
      </c>
      <c r="O297" s="94">
        <f t="shared" si="68"/>
        <v>0</v>
      </c>
      <c r="P297" s="94">
        <f t="shared" si="68"/>
        <v>0</v>
      </c>
      <c r="Q297" s="95">
        <f t="shared" si="68"/>
        <v>0</v>
      </c>
      <c r="R297" s="286"/>
    </row>
    <row r="298" spans="1:18" s="180" customFormat="1" ht="31.5" customHeight="1">
      <c r="A298" s="1023">
        <v>290</v>
      </c>
      <c r="B298" s="92"/>
      <c r="C298" s="96">
        <v>11</v>
      </c>
      <c r="D298" s="396" t="s">
        <v>963</v>
      </c>
      <c r="E298" s="994"/>
      <c r="F298" s="425"/>
      <c r="G298" s="425"/>
      <c r="H298" s="425">
        <v>584</v>
      </c>
      <c r="I298" s="901"/>
      <c r="J298" s="286"/>
      <c r="K298" s="286"/>
      <c r="L298" s="286"/>
      <c r="M298" s="286"/>
      <c r="N298" s="286"/>
      <c r="O298" s="286"/>
      <c r="P298" s="286"/>
      <c r="Q298" s="155"/>
      <c r="R298" s="180">
        <f>(SUM(J299:Q299))-I299</f>
        <v>0</v>
      </c>
    </row>
    <row r="299" spans="1:18" s="90" customFormat="1" ht="15">
      <c r="A299" s="282">
        <v>291</v>
      </c>
      <c r="B299" s="92"/>
      <c r="C299" s="96"/>
      <c r="D299" s="386" t="s">
        <v>1168</v>
      </c>
      <c r="E299" s="999"/>
      <c r="F299" s="480"/>
      <c r="G299" s="480"/>
      <c r="H299" s="480"/>
      <c r="I299" s="901">
        <f>SUM(J299:Q299)</f>
        <v>0</v>
      </c>
      <c r="J299" s="183"/>
      <c r="K299" s="183"/>
      <c r="L299" s="183"/>
      <c r="M299" s="184"/>
      <c r="N299" s="184"/>
      <c r="O299" s="184"/>
      <c r="P299" s="184"/>
      <c r="Q299" s="385"/>
      <c r="R299" s="183"/>
    </row>
    <row r="300" spans="1:18" s="91" customFormat="1" ht="15">
      <c r="A300" s="282">
        <v>292</v>
      </c>
      <c r="B300" s="179"/>
      <c r="C300" s="285"/>
      <c r="D300" s="571" t="s">
        <v>1170</v>
      </c>
      <c r="E300" s="498"/>
      <c r="F300" s="486"/>
      <c r="G300" s="486"/>
      <c r="H300" s="486"/>
      <c r="I300" s="1004"/>
      <c r="J300" s="574"/>
      <c r="K300" s="574"/>
      <c r="L300" s="574"/>
      <c r="M300" s="574"/>
      <c r="N300" s="574"/>
      <c r="O300" s="574"/>
      <c r="P300" s="574"/>
      <c r="Q300" s="1013"/>
      <c r="R300" s="184"/>
    </row>
    <row r="301" spans="1:18" s="94" customFormat="1" ht="15">
      <c r="A301" s="282">
        <v>293</v>
      </c>
      <c r="B301" s="383"/>
      <c r="C301" s="93"/>
      <c r="D301" s="572" t="s">
        <v>1169</v>
      </c>
      <c r="E301" s="1001"/>
      <c r="F301" s="483"/>
      <c r="G301" s="483"/>
      <c r="H301" s="483"/>
      <c r="I301" s="904">
        <f>SUM(I299:I300)</f>
        <v>0</v>
      </c>
      <c r="J301" s="94">
        <f aca="true" t="shared" si="69" ref="J301:Q301">SUM(J299:J300)</f>
        <v>0</v>
      </c>
      <c r="K301" s="94">
        <f t="shared" si="69"/>
        <v>0</v>
      </c>
      <c r="L301" s="94">
        <f t="shared" si="69"/>
        <v>0</v>
      </c>
      <c r="M301" s="94">
        <f t="shared" si="69"/>
        <v>0</v>
      </c>
      <c r="N301" s="94">
        <f t="shared" si="69"/>
        <v>0</v>
      </c>
      <c r="O301" s="94">
        <f t="shared" si="69"/>
        <v>0</v>
      </c>
      <c r="P301" s="94">
        <f t="shared" si="69"/>
        <v>0</v>
      </c>
      <c r="Q301" s="95">
        <f t="shared" si="69"/>
        <v>0</v>
      </c>
      <c r="R301" s="286"/>
    </row>
    <row r="302" spans="1:18" s="180" customFormat="1" ht="36" customHeight="1">
      <c r="A302" s="1023">
        <v>294</v>
      </c>
      <c r="B302" s="92"/>
      <c r="C302" s="96">
        <v>12</v>
      </c>
      <c r="D302" s="396" t="s">
        <v>964</v>
      </c>
      <c r="E302" s="994"/>
      <c r="F302" s="425"/>
      <c r="G302" s="425"/>
      <c r="H302" s="425">
        <v>999</v>
      </c>
      <c r="I302" s="901"/>
      <c r="J302" s="286"/>
      <c r="K302" s="286"/>
      <c r="L302" s="286"/>
      <c r="M302" s="286"/>
      <c r="N302" s="286"/>
      <c r="O302" s="286"/>
      <c r="P302" s="286"/>
      <c r="Q302" s="155"/>
      <c r="R302" s="180">
        <f>(SUM(J303:Q303))-I303</f>
        <v>0</v>
      </c>
    </row>
    <row r="303" spans="1:18" s="90" customFormat="1" ht="15">
      <c r="A303" s="282">
        <v>295</v>
      </c>
      <c r="B303" s="92"/>
      <c r="C303" s="96"/>
      <c r="D303" s="386" t="s">
        <v>1168</v>
      </c>
      <c r="E303" s="999"/>
      <c r="F303" s="480"/>
      <c r="G303" s="480"/>
      <c r="H303" s="480"/>
      <c r="I303" s="901">
        <f>SUM(J303:Q303)</f>
        <v>0</v>
      </c>
      <c r="J303" s="183"/>
      <c r="K303" s="183"/>
      <c r="L303" s="183"/>
      <c r="M303" s="184"/>
      <c r="N303" s="184"/>
      <c r="O303" s="184"/>
      <c r="P303" s="184"/>
      <c r="Q303" s="385"/>
      <c r="R303" s="183"/>
    </row>
    <row r="304" spans="1:18" s="91" customFormat="1" ht="15">
      <c r="A304" s="282">
        <v>296</v>
      </c>
      <c r="B304" s="179"/>
      <c r="C304" s="285"/>
      <c r="D304" s="571" t="s">
        <v>1170</v>
      </c>
      <c r="E304" s="498"/>
      <c r="F304" s="486"/>
      <c r="G304" s="486"/>
      <c r="H304" s="486"/>
      <c r="I304" s="1004"/>
      <c r="J304" s="574"/>
      <c r="K304" s="574"/>
      <c r="L304" s="574"/>
      <c r="M304" s="574"/>
      <c r="N304" s="574"/>
      <c r="O304" s="574"/>
      <c r="P304" s="574"/>
      <c r="Q304" s="1013"/>
      <c r="R304" s="184"/>
    </row>
    <row r="305" spans="1:18" s="94" customFormat="1" ht="15">
      <c r="A305" s="282">
        <v>297</v>
      </c>
      <c r="B305" s="383"/>
      <c r="C305" s="93"/>
      <c r="D305" s="572" t="s">
        <v>1169</v>
      </c>
      <c r="E305" s="1001"/>
      <c r="F305" s="483"/>
      <c r="G305" s="483"/>
      <c r="H305" s="483"/>
      <c r="I305" s="904">
        <f>SUM(I303:I304)</f>
        <v>0</v>
      </c>
      <c r="J305" s="94">
        <f aca="true" t="shared" si="70" ref="J305:Q305">SUM(J303:J304)</f>
        <v>0</v>
      </c>
      <c r="K305" s="94">
        <f t="shared" si="70"/>
        <v>0</v>
      </c>
      <c r="L305" s="94">
        <f t="shared" si="70"/>
        <v>0</v>
      </c>
      <c r="M305" s="94">
        <f t="shared" si="70"/>
        <v>0</v>
      </c>
      <c r="N305" s="94">
        <f t="shared" si="70"/>
        <v>0</v>
      </c>
      <c r="O305" s="94">
        <f t="shared" si="70"/>
        <v>0</v>
      </c>
      <c r="P305" s="94">
        <f t="shared" si="70"/>
        <v>0</v>
      </c>
      <c r="Q305" s="95">
        <f t="shared" si="70"/>
        <v>0</v>
      </c>
      <c r="R305" s="286"/>
    </row>
    <row r="306" spans="1:18" s="180" customFormat="1" ht="36" customHeight="1">
      <c r="A306" s="1023">
        <v>298</v>
      </c>
      <c r="B306" s="92"/>
      <c r="C306" s="96">
        <v>13</v>
      </c>
      <c r="D306" s="1351" t="s">
        <v>965</v>
      </c>
      <c r="E306" s="1351"/>
      <c r="F306" s="1351"/>
      <c r="G306" s="1351"/>
      <c r="H306" s="425">
        <v>909</v>
      </c>
      <c r="I306" s="901"/>
      <c r="J306" s="286"/>
      <c r="K306" s="286"/>
      <c r="L306" s="286"/>
      <c r="M306" s="286"/>
      <c r="N306" s="286"/>
      <c r="O306" s="286"/>
      <c r="P306" s="286"/>
      <c r="Q306" s="155"/>
      <c r="R306" s="180">
        <f>(SUM(J307:Q307))-I307</f>
        <v>0</v>
      </c>
    </row>
    <row r="307" spans="1:18" s="90" customFormat="1" ht="15">
      <c r="A307" s="282">
        <v>299</v>
      </c>
      <c r="B307" s="92"/>
      <c r="C307" s="96"/>
      <c r="D307" s="386" t="s">
        <v>1168</v>
      </c>
      <c r="E307" s="999"/>
      <c r="F307" s="480"/>
      <c r="G307" s="480"/>
      <c r="H307" s="480"/>
      <c r="I307" s="901">
        <f>SUM(J307:Q307)</f>
        <v>0</v>
      </c>
      <c r="J307" s="183"/>
      <c r="K307" s="183"/>
      <c r="L307" s="183"/>
      <c r="M307" s="184"/>
      <c r="N307" s="184"/>
      <c r="O307" s="184"/>
      <c r="P307" s="184"/>
      <c r="Q307" s="385"/>
      <c r="R307" s="183"/>
    </row>
    <row r="308" spans="1:18" s="91" customFormat="1" ht="15">
      <c r="A308" s="282">
        <v>300</v>
      </c>
      <c r="B308" s="179"/>
      <c r="C308" s="285"/>
      <c r="D308" s="571" t="s">
        <v>1170</v>
      </c>
      <c r="E308" s="498"/>
      <c r="F308" s="486"/>
      <c r="G308" s="486"/>
      <c r="H308" s="486"/>
      <c r="I308" s="1004"/>
      <c r="J308" s="574"/>
      <c r="K308" s="574"/>
      <c r="L308" s="574"/>
      <c r="M308" s="574"/>
      <c r="N308" s="574"/>
      <c r="O308" s="574"/>
      <c r="P308" s="574"/>
      <c r="Q308" s="1013"/>
      <c r="R308" s="184"/>
    </row>
    <row r="309" spans="1:18" s="94" customFormat="1" ht="15">
      <c r="A309" s="282">
        <v>301</v>
      </c>
      <c r="B309" s="383"/>
      <c r="C309" s="93"/>
      <c r="D309" s="572" t="s">
        <v>1169</v>
      </c>
      <c r="E309" s="1001"/>
      <c r="F309" s="483"/>
      <c r="G309" s="483"/>
      <c r="H309" s="483"/>
      <c r="I309" s="904">
        <f>SUM(I307:I308)</f>
        <v>0</v>
      </c>
      <c r="J309" s="94">
        <f aca="true" t="shared" si="71" ref="J309:Q309">SUM(J307:J308)</f>
        <v>0</v>
      </c>
      <c r="K309" s="94">
        <f t="shared" si="71"/>
        <v>0</v>
      </c>
      <c r="L309" s="94">
        <f t="shared" si="71"/>
        <v>0</v>
      </c>
      <c r="M309" s="94">
        <f t="shared" si="71"/>
        <v>0</v>
      </c>
      <c r="N309" s="94">
        <f t="shared" si="71"/>
        <v>0</v>
      </c>
      <c r="O309" s="94">
        <f t="shared" si="71"/>
        <v>0</v>
      </c>
      <c r="P309" s="94">
        <f t="shared" si="71"/>
        <v>0</v>
      </c>
      <c r="Q309" s="95">
        <f t="shared" si="71"/>
        <v>0</v>
      </c>
      <c r="R309" s="286"/>
    </row>
    <row r="310" spans="1:17" s="180" customFormat="1" ht="36" customHeight="1">
      <c r="A310" s="1023">
        <v>302</v>
      </c>
      <c r="B310" s="92"/>
      <c r="C310" s="96">
        <v>14</v>
      </c>
      <c r="D310" s="396" t="s">
        <v>966</v>
      </c>
      <c r="E310" s="994"/>
      <c r="F310" s="425"/>
      <c r="G310" s="425"/>
      <c r="H310" s="425">
        <v>2105</v>
      </c>
      <c r="I310" s="901"/>
      <c r="J310" s="286"/>
      <c r="K310" s="286"/>
      <c r="L310" s="286"/>
      <c r="M310" s="286"/>
      <c r="N310" s="286"/>
      <c r="O310" s="286"/>
      <c r="P310" s="286"/>
      <c r="Q310" s="155"/>
    </row>
    <row r="311" spans="1:18" s="90" customFormat="1" ht="15">
      <c r="A311" s="282">
        <v>303</v>
      </c>
      <c r="B311" s="92"/>
      <c r="C311" s="96"/>
      <c r="D311" s="386" t="s">
        <v>1168</v>
      </c>
      <c r="E311" s="999"/>
      <c r="F311" s="480"/>
      <c r="G311" s="480"/>
      <c r="H311" s="480"/>
      <c r="I311" s="901">
        <f>SUM(J311:Q311)</f>
        <v>0</v>
      </c>
      <c r="J311" s="183"/>
      <c r="K311" s="183"/>
      <c r="L311" s="183"/>
      <c r="M311" s="184"/>
      <c r="N311" s="184"/>
      <c r="O311" s="184"/>
      <c r="P311" s="184"/>
      <c r="Q311" s="385"/>
      <c r="R311" s="183"/>
    </row>
    <row r="312" spans="1:18" s="91" customFormat="1" ht="15">
      <c r="A312" s="282">
        <v>304</v>
      </c>
      <c r="B312" s="179"/>
      <c r="C312" s="285"/>
      <c r="D312" s="571" t="s">
        <v>1170</v>
      </c>
      <c r="E312" s="498"/>
      <c r="F312" s="486"/>
      <c r="G312" s="486"/>
      <c r="H312" s="486"/>
      <c r="I312" s="1004"/>
      <c r="J312" s="574"/>
      <c r="K312" s="574"/>
      <c r="L312" s="574"/>
      <c r="M312" s="574"/>
      <c r="N312" s="574"/>
      <c r="O312" s="574"/>
      <c r="P312" s="574"/>
      <c r="Q312" s="1013"/>
      <c r="R312" s="184"/>
    </row>
    <row r="313" spans="1:18" s="94" customFormat="1" ht="15">
      <c r="A313" s="282">
        <v>305</v>
      </c>
      <c r="B313" s="383"/>
      <c r="C313" s="93"/>
      <c r="D313" s="572" t="s">
        <v>1169</v>
      </c>
      <c r="E313" s="1001"/>
      <c r="F313" s="483"/>
      <c r="G313" s="483"/>
      <c r="H313" s="483"/>
      <c r="I313" s="904">
        <f>SUM(I311:I312)</f>
        <v>0</v>
      </c>
      <c r="J313" s="94">
        <f aca="true" t="shared" si="72" ref="J313:Q313">SUM(J311:J312)</f>
        <v>0</v>
      </c>
      <c r="K313" s="94">
        <f t="shared" si="72"/>
        <v>0</v>
      </c>
      <c r="L313" s="94">
        <f t="shared" si="72"/>
        <v>0</v>
      </c>
      <c r="M313" s="94">
        <f t="shared" si="72"/>
        <v>0</v>
      </c>
      <c r="N313" s="94">
        <f t="shared" si="72"/>
        <v>0</v>
      </c>
      <c r="O313" s="94">
        <f t="shared" si="72"/>
        <v>0</v>
      </c>
      <c r="P313" s="94">
        <f t="shared" si="72"/>
        <v>0</v>
      </c>
      <c r="Q313" s="95">
        <f t="shared" si="72"/>
        <v>0</v>
      </c>
      <c r="R313" s="286"/>
    </row>
    <row r="314" spans="1:17" s="180" customFormat="1" ht="21.75" customHeight="1">
      <c r="A314" s="282">
        <v>306</v>
      </c>
      <c r="B314" s="181"/>
      <c r="C314" s="182">
        <v>15</v>
      </c>
      <c r="D314" s="1351" t="s">
        <v>752</v>
      </c>
      <c r="E314" s="1351"/>
      <c r="F314" s="1351"/>
      <c r="G314" s="1351"/>
      <c r="H314" s="1374"/>
      <c r="I314" s="901"/>
      <c r="J314" s="286"/>
      <c r="K314" s="286"/>
      <c r="L314" s="286"/>
      <c r="M314" s="286"/>
      <c r="N314" s="286"/>
      <c r="O314" s="286"/>
      <c r="P314" s="286"/>
      <c r="Q314" s="155"/>
    </row>
    <row r="315" spans="1:18" s="91" customFormat="1" ht="15">
      <c r="A315" s="282">
        <v>307</v>
      </c>
      <c r="B315" s="179"/>
      <c r="C315" s="285"/>
      <c r="D315" s="571" t="s">
        <v>753</v>
      </c>
      <c r="E315" s="498"/>
      <c r="F315" s="486"/>
      <c r="G315" s="486"/>
      <c r="H315" s="486"/>
      <c r="I315" s="1000">
        <v>5262</v>
      </c>
      <c r="J315" s="574">
        <v>4143</v>
      </c>
      <c r="K315" s="574">
        <v>1119</v>
      </c>
      <c r="L315" s="574"/>
      <c r="M315" s="574"/>
      <c r="N315" s="574"/>
      <c r="O315" s="574"/>
      <c r="P315" s="574"/>
      <c r="Q315" s="1013"/>
      <c r="R315" s="184"/>
    </row>
    <row r="316" spans="1:18" s="94" customFormat="1" ht="15">
      <c r="A316" s="282">
        <v>308</v>
      </c>
      <c r="B316" s="383"/>
      <c r="C316" s="93"/>
      <c r="D316" s="572" t="s">
        <v>1169</v>
      </c>
      <c r="E316" s="1001"/>
      <c r="F316" s="483"/>
      <c r="G316" s="483"/>
      <c r="H316" s="483"/>
      <c r="I316" s="904">
        <v>5262</v>
      </c>
      <c r="J316" s="94">
        <f>SUM(J315)</f>
        <v>4143</v>
      </c>
      <c r="K316" s="94">
        <f aca="true" t="shared" si="73" ref="K316:Q316">SUM(K315)</f>
        <v>1119</v>
      </c>
      <c r="L316" s="94">
        <f t="shared" si="73"/>
        <v>0</v>
      </c>
      <c r="M316" s="94">
        <f t="shared" si="73"/>
        <v>0</v>
      </c>
      <c r="N316" s="94">
        <f t="shared" si="73"/>
        <v>0</v>
      </c>
      <c r="O316" s="94">
        <f t="shared" si="73"/>
        <v>0</v>
      </c>
      <c r="P316" s="94">
        <f t="shared" si="73"/>
        <v>0</v>
      </c>
      <c r="Q316" s="95">
        <f t="shared" si="73"/>
        <v>0</v>
      </c>
      <c r="R316" s="286"/>
    </row>
    <row r="317" spans="1:17" s="180" customFormat="1" ht="36" customHeight="1">
      <c r="A317" s="1023">
        <v>309</v>
      </c>
      <c r="B317" s="92"/>
      <c r="C317" s="96">
        <v>16</v>
      </c>
      <c r="D317" s="396" t="s">
        <v>967</v>
      </c>
      <c r="E317" s="994"/>
      <c r="F317" s="425"/>
      <c r="G317" s="425"/>
      <c r="H317" s="425">
        <v>1712</v>
      </c>
      <c r="I317" s="901"/>
      <c r="J317" s="286"/>
      <c r="K317" s="286"/>
      <c r="L317" s="286"/>
      <c r="M317" s="286"/>
      <c r="N317" s="286"/>
      <c r="O317" s="286"/>
      <c r="P317" s="286"/>
      <c r="Q317" s="155"/>
    </row>
    <row r="318" spans="1:18" s="90" customFormat="1" ht="15">
      <c r="A318" s="282">
        <v>310</v>
      </c>
      <c r="B318" s="92"/>
      <c r="C318" s="96"/>
      <c r="D318" s="386" t="s">
        <v>1168</v>
      </c>
      <c r="E318" s="999"/>
      <c r="F318" s="480"/>
      <c r="G318" s="480"/>
      <c r="H318" s="480"/>
      <c r="I318" s="901">
        <f>SUM(J318:Q318)</f>
        <v>0</v>
      </c>
      <c r="J318" s="183"/>
      <c r="K318" s="183"/>
      <c r="L318" s="183"/>
      <c r="M318" s="184"/>
      <c r="N318" s="184"/>
      <c r="O318" s="184"/>
      <c r="P318" s="184"/>
      <c r="Q318" s="385"/>
      <c r="R318" s="183"/>
    </row>
    <row r="319" spans="1:18" s="91" customFormat="1" ht="15">
      <c r="A319" s="282">
        <v>311</v>
      </c>
      <c r="B319" s="179"/>
      <c r="C319" s="285"/>
      <c r="D319" s="571" t="s">
        <v>753</v>
      </c>
      <c r="E319" s="498"/>
      <c r="F319" s="486"/>
      <c r="G319" s="486"/>
      <c r="H319" s="486"/>
      <c r="I319" s="1000">
        <f>SUM(J319:Q319)</f>
        <v>1617</v>
      </c>
      <c r="J319" s="574">
        <v>1273</v>
      </c>
      <c r="K319" s="574">
        <v>344</v>
      </c>
      <c r="L319" s="574"/>
      <c r="M319" s="574"/>
      <c r="N319" s="574"/>
      <c r="O319" s="574"/>
      <c r="P319" s="574"/>
      <c r="Q319" s="1013"/>
      <c r="R319" s="184"/>
    </row>
    <row r="320" spans="1:18" s="94" customFormat="1" ht="15">
      <c r="A320" s="282">
        <v>312</v>
      </c>
      <c r="B320" s="383"/>
      <c r="C320" s="93"/>
      <c r="D320" s="572" t="s">
        <v>1169</v>
      </c>
      <c r="E320" s="1001"/>
      <c r="F320" s="483"/>
      <c r="G320" s="483"/>
      <c r="H320" s="483"/>
      <c r="I320" s="1005">
        <f>SUM(J320:Q320)</f>
        <v>1617</v>
      </c>
      <c r="J320" s="94">
        <f aca="true" t="shared" si="74" ref="J320:Q320">SUM(J318:J319)</f>
        <v>1273</v>
      </c>
      <c r="K320" s="94">
        <f t="shared" si="74"/>
        <v>344</v>
      </c>
      <c r="L320" s="94">
        <f t="shared" si="74"/>
        <v>0</v>
      </c>
      <c r="M320" s="94">
        <f t="shared" si="74"/>
        <v>0</v>
      </c>
      <c r="N320" s="94">
        <f t="shared" si="74"/>
        <v>0</v>
      </c>
      <c r="O320" s="94">
        <f t="shared" si="74"/>
        <v>0</v>
      </c>
      <c r="P320" s="94">
        <f t="shared" si="74"/>
        <v>0</v>
      </c>
      <c r="Q320" s="95">
        <f t="shared" si="74"/>
        <v>0</v>
      </c>
      <c r="R320" s="286"/>
    </row>
    <row r="321" spans="1:17" s="180" customFormat="1" ht="36" customHeight="1">
      <c r="A321" s="1023">
        <v>313</v>
      </c>
      <c r="B321" s="92"/>
      <c r="C321" s="96">
        <v>17</v>
      </c>
      <c r="D321" s="1351" t="s">
        <v>968</v>
      </c>
      <c r="E321" s="1351"/>
      <c r="F321" s="1351"/>
      <c r="G321" s="1351"/>
      <c r="H321" s="425">
        <v>864</v>
      </c>
      <c r="I321" s="901"/>
      <c r="J321" s="286"/>
      <c r="K321" s="286"/>
      <c r="L321" s="286"/>
      <c r="M321" s="286"/>
      <c r="N321" s="286"/>
      <c r="O321" s="286"/>
      <c r="P321" s="286"/>
      <c r="Q321" s="155"/>
    </row>
    <row r="322" spans="1:18" s="90" customFormat="1" ht="15">
      <c r="A322" s="282">
        <v>314</v>
      </c>
      <c r="B322" s="92"/>
      <c r="C322" s="96"/>
      <c r="D322" s="386" t="s">
        <v>1168</v>
      </c>
      <c r="E322" s="999"/>
      <c r="F322" s="480"/>
      <c r="G322" s="480"/>
      <c r="H322" s="480"/>
      <c r="I322" s="901">
        <f>SUM(J322:Q322)</f>
        <v>0</v>
      </c>
      <c r="J322" s="183"/>
      <c r="K322" s="183"/>
      <c r="L322" s="183"/>
      <c r="M322" s="184"/>
      <c r="N322" s="184"/>
      <c r="O322" s="184"/>
      <c r="P322" s="184"/>
      <c r="Q322" s="385"/>
      <c r="R322" s="183"/>
    </row>
    <row r="323" spans="1:18" s="91" customFormat="1" ht="15">
      <c r="A323" s="282">
        <v>315</v>
      </c>
      <c r="B323" s="179"/>
      <c r="C323" s="285"/>
      <c r="D323" s="571" t="s">
        <v>1170</v>
      </c>
      <c r="E323" s="498"/>
      <c r="F323" s="486"/>
      <c r="G323" s="486"/>
      <c r="H323" s="486"/>
      <c r="I323" s="1004"/>
      <c r="J323" s="574"/>
      <c r="K323" s="574"/>
      <c r="L323" s="574"/>
      <c r="M323" s="574"/>
      <c r="N323" s="574"/>
      <c r="O323" s="574"/>
      <c r="P323" s="574"/>
      <c r="Q323" s="1013"/>
      <c r="R323" s="184"/>
    </row>
    <row r="324" spans="1:18" s="94" customFormat="1" ht="15">
      <c r="A324" s="282">
        <v>316</v>
      </c>
      <c r="B324" s="383"/>
      <c r="C324" s="93"/>
      <c r="D324" s="572" t="s">
        <v>1169</v>
      </c>
      <c r="E324" s="1001"/>
      <c r="F324" s="483"/>
      <c r="G324" s="483"/>
      <c r="H324" s="483"/>
      <c r="I324" s="904">
        <f>SUM(I322:I323)</f>
        <v>0</v>
      </c>
      <c r="J324" s="94">
        <f aca="true" t="shared" si="75" ref="J324:Q324">SUM(J322:J323)</f>
        <v>0</v>
      </c>
      <c r="K324" s="94">
        <f t="shared" si="75"/>
        <v>0</v>
      </c>
      <c r="L324" s="94">
        <f t="shared" si="75"/>
        <v>0</v>
      </c>
      <c r="M324" s="94">
        <f t="shared" si="75"/>
        <v>0</v>
      </c>
      <c r="N324" s="94">
        <f t="shared" si="75"/>
        <v>0</v>
      </c>
      <c r="O324" s="94">
        <f t="shared" si="75"/>
        <v>0</v>
      </c>
      <c r="P324" s="94">
        <f t="shared" si="75"/>
        <v>0</v>
      </c>
      <c r="Q324" s="95">
        <f t="shared" si="75"/>
        <v>0</v>
      </c>
      <c r="R324" s="286"/>
    </row>
    <row r="325" spans="1:18" s="180" customFormat="1" ht="45" customHeight="1">
      <c r="A325" s="1023">
        <v>317</v>
      </c>
      <c r="B325" s="92"/>
      <c r="C325" s="96">
        <v>18</v>
      </c>
      <c r="D325" s="1351" t="s">
        <v>969</v>
      </c>
      <c r="E325" s="1351"/>
      <c r="F325" s="1351"/>
      <c r="G325" s="1351"/>
      <c r="H325" s="425">
        <v>2869</v>
      </c>
      <c r="I325" s="901"/>
      <c r="J325" s="286"/>
      <c r="K325" s="286"/>
      <c r="L325" s="286"/>
      <c r="M325" s="286"/>
      <c r="N325" s="286"/>
      <c r="O325" s="286"/>
      <c r="P325" s="286"/>
      <c r="Q325" s="155"/>
      <c r="R325" s="180">
        <f>(SUM(J326:Q326))-I326</f>
        <v>0</v>
      </c>
    </row>
    <row r="326" spans="1:18" s="90" customFormat="1" ht="15">
      <c r="A326" s="282">
        <v>318</v>
      </c>
      <c r="B326" s="92"/>
      <c r="C326" s="96"/>
      <c r="D326" s="386" t="s">
        <v>1168</v>
      </c>
      <c r="E326" s="999"/>
      <c r="F326" s="480"/>
      <c r="G326" s="480"/>
      <c r="H326" s="480"/>
      <c r="I326" s="901">
        <f>SUM(J326:Q326)</f>
        <v>0</v>
      </c>
      <c r="J326" s="183"/>
      <c r="K326" s="183"/>
      <c r="L326" s="183"/>
      <c r="M326" s="184"/>
      <c r="N326" s="184"/>
      <c r="O326" s="184"/>
      <c r="P326" s="184"/>
      <c r="Q326" s="385"/>
      <c r="R326" s="183"/>
    </row>
    <row r="327" spans="1:18" s="91" customFormat="1" ht="15">
      <c r="A327" s="282">
        <v>319</v>
      </c>
      <c r="B327" s="179"/>
      <c r="C327" s="285"/>
      <c r="D327" s="571" t="s">
        <v>552</v>
      </c>
      <c r="E327" s="498"/>
      <c r="F327" s="486"/>
      <c r="G327" s="486"/>
      <c r="H327" s="486"/>
      <c r="I327" s="901">
        <f>SUM(J327:Q327)</f>
        <v>12131</v>
      </c>
      <c r="J327" s="574"/>
      <c r="K327" s="574"/>
      <c r="L327" s="574">
        <v>12131</v>
      </c>
      <c r="M327" s="574"/>
      <c r="N327" s="574"/>
      <c r="O327" s="574"/>
      <c r="P327" s="574"/>
      <c r="Q327" s="1013"/>
      <c r="R327" s="184"/>
    </row>
    <row r="328" spans="1:18" s="94" customFormat="1" ht="15">
      <c r="A328" s="282">
        <v>320</v>
      </c>
      <c r="B328" s="383"/>
      <c r="C328" s="93"/>
      <c r="D328" s="572" t="s">
        <v>1169</v>
      </c>
      <c r="E328" s="1001"/>
      <c r="F328" s="483"/>
      <c r="G328" s="483"/>
      <c r="H328" s="483"/>
      <c r="I328" s="904">
        <f>SUM(I326:I327)</f>
        <v>12131</v>
      </c>
      <c r="J328" s="94">
        <f aca="true" t="shared" si="76" ref="J328:Q328">SUM(J326:J327)</f>
        <v>0</v>
      </c>
      <c r="K328" s="94">
        <f t="shared" si="76"/>
        <v>0</v>
      </c>
      <c r="L328" s="94">
        <f t="shared" si="76"/>
        <v>12131</v>
      </c>
      <c r="M328" s="94">
        <f t="shared" si="76"/>
        <v>0</v>
      </c>
      <c r="N328" s="94">
        <f t="shared" si="76"/>
        <v>0</v>
      </c>
      <c r="O328" s="94">
        <f t="shared" si="76"/>
        <v>0</v>
      </c>
      <c r="P328" s="94">
        <f t="shared" si="76"/>
        <v>0</v>
      </c>
      <c r="Q328" s="95">
        <f t="shared" si="76"/>
        <v>0</v>
      </c>
      <c r="R328" s="286"/>
    </row>
    <row r="329" spans="1:18" s="7" customFormat="1" ht="19.5" customHeight="1">
      <c r="A329" s="1023">
        <v>321</v>
      </c>
      <c r="B329" s="568"/>
      <c r="C329" s="1377" t="s">
        <v>399</v>
      </c>
      <c r="D329" s="1377"/>
      <c r="E329" s="593"/>
      <c r="F329" s="584">
        <f>SUM(F254:F325)</f>
        <v>1481166</v>
      </c>
      <c r="G329" s="584">
        <f>SUM(G254:G325)</f>
        <v>1426264</v>
      </c>
      <c r="H329" s="584">
        <f>SUM(H254:H325)</f>
        <v>1262346</v>
      </c>
      <c r="I329" s="1008"/>
      <c r="J329" s="563"/>
      <c r="K329" s="563"/>
      <c r="L329" s="563"/>
      <c r="M329" s="563"/>
      <c r="N329" s="563"/>
      <c r="O329" s="563"/>
      <c r="P329" s="563"/>
      <c r="Q329" s="992"/>
      <c r="R329" s="99">
        <f>(SUM(J330:Q330))-I330</f>
        <v>0</v>
      </c>
    </row>
    <row r="330" spans="1:17" s="99" customFormat="1" ht="19.5" customHeight="1">
      <c r="A330" s="1023">
        <v>322</v>
      </c>
      <c r="B330" s="92"/>
      <c r="C330" s="588"/>
      <c r="D330" s="581" t="s">
        <v>1168</v>
      </c>
      <c r="E330" s="589"/>
      <c r="F330" s="480"/>
      <c r="G330" s="480"/>
      <c r="H330" s="480"/>
      <c r="I330" s="902">
        <f aca="true" t="shared" si="77" ref="I330:Q330">SUM(I326,I322,I318,I311,I307,I303,I299,I295,I291,I287,I283,I279,I275,I271,I264,I260,I255)</f>
        <v>1328570</v>
      </c>
      <c r="J330" s="90">
        <f t="shared" si="77"/>
        <v>834196</v>
      </c>
      <c r="K330" s="90">
        <f t="shared" si="77"/>
        <v>235616</v>
      </c>
      <c r="L330" s="90">
        <f t="shared" si="77"/>
        <v>238500</v>
      </c>
      <c r="M330" s="90">
        <f t="shared" si="77"/>
        <v>0</v>
      </c>
      <c r="N330" s="90">
        <f t="shared" si="77"/>
        <v>0</v>
      </c>
      <c r="O330" s="90">
        <f t="shared" si="77"/>
        <v>19833</v>
      </c>
      <c r="P330" s="90">
        <f t="shared" si="77"/>
        <v>425</v>
      </c>
      <c r="Q330" s="98">
        <f t="shared" si="77"/>
        <v>0</v>
      </c>
    </row>
    <row r="331" spans="1:18" s="592" customFormat="1" ht="19.5" customHeight="1">
      <c r="A331" s="1023">
        <v>323</v>
      </c>
      <c r="B331" s="179"/>
      <c r="C331" s="590"/>
      <c r="D331" s="187" t="s">
        <v>662</v>
      </c>
      <c r="E331" s="591"/>
      <c r="F331" s="577"/>
      <c r="G331" s="577"/>
      <c r="H331" s="577"/>
      <c r="I331" s="903">
        <f aca="true" t="shared" si="78" ref="I331:Q331">SUM(I327,I323,I319,I312,I308,I304,I300,I296,I292,I288,I284,I280:I280,I276:I276,I272:I272,I265:I265,I261,I256:I257)+I315+I268</f>
        <v>124593</v>
      </c>
      <c r="J331" s="91">
        <f t="shared" si="78"/>
        <v>67559</v>
      </c>
      <c r="K331" s="91">
        <f t="shared" si="78"/>
        <v>16733</v>
      </c>
      <c r="L331" s="91">
        <f t="shared" si="78"/>
        <v>34247</v>
      </c>
      <c r="M331" s="91">
        <f t="shared" si="78"/>
        <v>0</v>
      </c>
      <c r="N331" s="91">
        <f t="shared" si="78"/>
        <v>0</v>
      </c>
      <c r="O331" s="91">
        <f t="shared" si="78"/>
        <v>6054</v>
      </c>
      <c r="P331" s="91">
        <f t="shared" si="78"/>
        <v>0</v>
      </c>
      <c r="Q331" s="157">
        <f t="shared" si="78"/>
        <v>0</v>
      </c>
      <c r="R331" s="177"/>
    </row>
    <row r="332" spans="1:17" s="7" customFormat="1" ht="19.5" customHeight="1" thickBot="1">
      <c r="A332" s="1023">
        <v>324</v>
      </c>
      <c r="B332" s="564"/>
      <c r="C332" s="594"/>
      <c r="D332" s="573" t="s">
        <v>1169</v>
      </c>
      <c r="E332" s="595"/>
      <c r="F332" s="567"/>
      <c r="G332" s="567"/>
      <c r="H332" s="567"/>
      <c r="I332" s="905">
        <f>SUM(I330:I331)</f>
        <v>1453163</v>
      </c>
      <c r="J332" s="596">
        <f aca="true" t="shared" si="79" ref="J332:Q332">SUM(J330:J331)</f>
        <v>901755</v>
      </c>
      <c r="K332" s="596">
        <f t="shared" si="79"/>
        <v>252349</v>
      </c>
      <c r="L332" s="596">
        <f t="shared" si="79"/>
        <v>272747</v>
      </c>
      <c r="M332" s="596">
        <f t="shared" si="79"/>
        <v>0</v>
      </c>
      <c r="N332" s="596">
        <f t="shared" si="79"/>
        <v>0</v>
      </c>
      <c r="O332" s="596">
        <f t="shared" si="79"/>
        <v>25887</v>
      </c>
      <c r="P332" s="596">
        <f t="shared" si="79"/>
        <v>425</v>
      </c>
      <c r="Q332" s="599">
        <f t="shared" si="79"/>
        <v>0</v>
      </c>
    </row>
    <row r="333" spans="1:18" s="7" customFormat="1" ht="21.75" customHeight="1" thickTop="1">
      <c r="A333" s="1023">
        <v>325</v>
      </c>
      <c r="B333" s="1375" t="s">
        <v>3</v>
      </c>
      <c r="C333" s="1376"/>
      <c r="D333" s="1376"/>
      <c r="E333" s="93"/>
      <c r="F333" s="483">
        <f>SUM(F249,F329)</f>
        <v>4651168</v>
      </c>
      <c r="G333" s="483">
        <f>SUM(G249,G329)</f>
        <v>5580898</v>
      </c>
      <c r="H333" s="483">
        <f>SUM(H249,H329)</f>
        <v>6047359</v>
      </c>
      <c r="I333" s="902"/>
      <c r="J333" s="94"/>
      <c r="K333" s="94"/>
      <c r="L333" s="94"/>
      <c r="M333" s="94"/>
      <c r="N333" s="94"/>
      <c r="O333" s="94"/>
      <c r="P333" s="94"/>
      <c r="Q333" s="95"/>
      <c r="R333" s="99">
        <f>(SUM(J334:Q334))-I334</f>
        <v>0</v>
      </c>
    </row>
    <row r="334" spans="1:17" s="99" customFormat="1" ht="21.75" customHeight="1">
      <c r="A334" s="1023">
        <v>326</v>
      </c>
      <c r="B334" s="92"/>
      <c r="C334" s="96"/>
      <c r="D334" s="581" t="s">
        <v>1168</v>
      </c>
      <c r="E334" s="96"/>
      <c r="F334" s="480"/>
      <c r="G334" s="480"/>
      <c r="H334" s="480"/>
      <c r="I334" s="902">
        <f aca="true" t="shared" si="80" ref="I334:Q334">SUM(I250,I330)</f>
        <v>6127521</v>
      </c>
      <c r="J334" s="90">
        <f t="shared" si="80"/>
        <v>3019880</v>
      </c>
      <c r="K334" s="90">
        <f t="shared" si="80"/>
        <v>859606</v>
      </c>
      <c r="L334" s="90">
        <f t="shared" si="80"/>
        <v>2135159</v>
      </c>
      <c r="M334" s="90">
        <f t="shared" si="80"/>
        <v>0</v>
      </c>
      <c r="N334" s="90">
        <f t="shared" si="80"/>
        <v>0</v>
      </c>
      <c r="O334" s="90">
        <f t="shared" si="80"/>
        <v>94211</v>
      </c>
      <c r="P334" s="90">
        <f t="shared" si="80"/>
        <v>18665</v>
      </c>
      <c r="Q334" s="98">
        <f t="shared" si="80"/>
        <v>0</v>
      </c>
    </row>
    <row r="335" spans="1:17" s="177" customFormat="1" ht="21.75" customHeight="1">
      <c r="A335" s="1023">
        <v>327</v>
      </c>
      <c r="B335" s="179"/>
      <c r="C335" s="285"/>
      <c r="D335" s="187" t="s">
        <v>662</v>
      </c>
      <c r="E335" s="285"/>
      <c r="F335" s="486"/>
      <c r="G335" s="486"/>
      <c r="H335" s="486"/>
      <c r="I335" s="903">
        <f aca="true" t="shared" si="81" ref="I335:Q335">SUM(I331,I251)</f>
        <v>336662</v>
      </c>
      <c r="J335" s="91">
        <f t="shared" si="81"/>
        <v>147459</v>
      </c>
      <c r="K335" s="91">
        <f t="shared" si="81"/>
        <v>36376</v>
      </c>
      <c r="L335" s="91">
        <f t="shared" si="81"/>
        <v>145457</v>
      </c>
      <c r="M335" s="91">
        <f t="shared" si="81"/>
        <v>0</v>
      </c>
      <c r="N335" s="91">
        <f t="shared" si="81"/>
        <v>0</v>
      </c>
      <c r="O335" s="91">
        <f t="shared" si="81"/>
        <v>7370</v>
      </c>
      <c r="P335" s="91">
        <f t="shared" si="81"/>
        <v>0</v>
      </c>
      <c r="Q335" s="157">
        <f t="shared" si="81"/>
        <v>0</v>
      </c>
    </row>
    <row r="336" spans="1:17" s="7" customFormat="1" ht="21.75" customHeight="1" thickBot="1">
      <c r="A336" s="1023">
        <v>328</v>
      </c>
      <c r="B336" s="569"/>
      <c r="C336" s="575"/>
      <c r="D336" s="576" t="s">
        <v>1169</v>
      </c>
      <c r="E336" s="575"/>
      <c r="F336" s="900"/>
      <c r="G336" s="900"/>
      <c r="H336" s="900"/>
      <c r="I336" s="1021">
        <f>SUM(I334:I335)</f>
        <v>6464183</v>
      </c>
      <c r="J336" s="6">
        <f aca="true" t="shared" si="82" ref="J336:Q336">SUM(J334:J335)</f>
        <v>3167339</v>
      </c>
      <c r="K336" s="6">
        <f t="shared" si="82"/>
        <v>895982</v>
      </c>
      <c r="L336" s="6">
        <f t="shared" si="82"/>
        <v>2280616</v>
      </c>
      <c r="M336" s="6">
        <f t="shared" si="82"/>
        <v>0</v>
      </c>
      <c r="N336" s="6">
        <f t="shared" si="82"/>
        <v>0</v>
      </c>
      <c r="O336" s="6">
        <f t="shared" si="82"/>
        <v>101581</v>
      </c>
      <c r="P336" s="6">
        <f t="shared" si="82"/>
        <v>18665</v>
      </c>
      <c r="Q336" s="20">
        <f t="shared" si="82"/>
        <v>0</v>
      </c>
    </row>
    <row r="337" spans="1:18" s="7" customFormat="1" ht="33" customHeight="1" thickBot="1">
      <c r="A337" s="1023">
        <v>329</v>
      </c>
      <c r="B337" s="257"/>
      <c r="C337" s="1378" t="s">
        <v>938</v>
      </c>
      <c r="D337" s="1378"/>
      <c r="E337" s="538"/>
      <c r="F337" s="503">
        <v>5939050</v>
      </c>
      <c r="G337" s="503">
        <v>128434</v>
      </c>
      <c r="H337" s="503">
        <v>0</v>
      </c>
      <c r="I337" s="906"/>
      <c r="J337" s="287"/>
      <c r="K337" s="287"/>
      <c r="L337" s="287"/>
      <c r="M337" s="287"/>
      <c r="N337" s="287"/>
      <c r="O337" s="287"/>
      <c r="P337" s="287"/>
      <c r="Q337" s="391"/>
      <c r="R337" s="99" t="e">
        <f>(SUM(#REF!))-#REF!</f>
        <v>#REF!</v>
      </c>
    </row>
    <row r="338" spans="1:18" s="7" customFormat="1" ht="19.5" customHeight="1" thickBot="1">
      <c r="A338" s="282">
        <v>330</v>
      </c>
      <c r="B338" s="1379" t="s">
        <v>3</v>
      </c>
      <c r="C338" s="1380"/>
      <c r="D338" s="1380"/>
      <c r="E338" s="500"/>
      <c r="F338" s="484">
        <f>SUM(F333:F337)</f>
        <v>10590218</v>
      </c>
      <c r="G338" s="484">
        <f>SUM(G333:G337)</f>
        <v>5709332</v>
      </c>
      <c r="H338" s="484">
        <f>SUM(H333:H337)</f>
        <v>6047359</v>
      </c>
      <c r="I338" s="907"/>
      <c r="J338" s="499"/>
      <c r="K338" s="499"/>
      <c r="L338" s="499"/>
      <c r="M338" s="499"/>
      <c r="N338" s="499"/>
      <c r="O338" s="499"/>
      <c r="P338" s="499"/>
      <c r="Q338" s="485"/>
      <c r="R338" s="99">
        <f>(SUM(J339:Q339))-I339</f>
        <v>0</v>
      </c>
    </row>
    <row r="339" spans="1:17" s="99" customFormat="1" ht="19.5" customHeight="1" hidden="1">
      <c r="A339" s="282">
        <v>331</v>
      </c>
      <c r="B339" s="92"/>
      <c r="C339" s="96">
        <v>7</v>
      </c>
      <c r="D339" s="97" t="s">
        <v>424</v>
      </c>
      <c r="E339" s="999"/>
      <c r="F339" s="480">
        <v>189589</v>
      </c>
      <c r="G339" s="480"/>
      <c r="H339" s="480"/>
      <c r="I339" s="902">
        <f aca="true" t="shared" si="83" ref="I339:Q339">SUM(I334:I337)</f>
        <v>12928366</v>
      </c>
      <c r="J339" s="94">
        <f t="shared" si="83"/>
        <v>6334678</v>
      </c>
      <c r="K339" s="94">
        <f t="shared" si="83"/>
        <v>1791964</v>
      </c>
      <c r="L339" s="94">
        <f t="shared" si="83"/>
        <v>4561232</v>
      </c>
      <c r="M339" s="94">
        <f t="shared" si="83"/>
        <v>0</v>
      </c>
      <c r="N339" s="94">
        <f t="shared" si="83"/>
        <v>0</v>
      </c>
      <c r="O339" s="94">
        <f t="shared" si="83"/>
        <v>203162</v>
      </c>
      <c r="P339" s="94">
        <f t="shared" si="83"/>
        <v>37330</v>
      </c>
      <c r="Q339" s="95">
        <f t="shared" si="83"/>
        <v>0</v>
      </c>
    </row>
    <row r="340" spans="1:17" s="99" customFormat="1" ht="19.5" customHeight="1" hidden="1">
      <c r="A340" s="282">
        <v>332</v>
      </c>
      <c r="B340" s="92"/>
      <c r="C340" s="96">
        <v>8</v>
      </c>
      <c r="D340" s="97" t="s">
        <v>425</v>
      </c>
      <c r="E340" s="999"/>
      <c r="F340" s="480">
        <v>236889</v>
      </c>
      <c r="G340" s="480"/>
      <c r="H340" s="480"/>
      <c r="I340" s="902"/>
      <c r="J340" s="90"/>
      <c r="K340" s="90"/>
      <c r="L340" s="90"/>
      <c r="M340" s="90"/>
      <c r="N340" s="90"/>
      <c r="O340" s="90"/>
      <c r="P340" s="90"/>
      <c r="Q340" s="98"/>
    </row>
    <row r="341" spans="1:17" s="99" customFormat="1" ht="19.5" customHeight="1" hidden="1">
      <c r="A341" s="282">
        <v>333</v>
      </c>
      <c r="B341" s="92"/>
      <c r="C341" s="96">
        <v>9</v>
      </c>
      <c r="D341" s="97" t="s">
        <v>426</v>
      </c>
      <c r="E341" s="999"/>
      <c r="F341" s="480">
        <v>294235</v>
      </c>
      <c r="G341" s="480"/>
      <c r="H341" s="480"/>
      <c r="I341" s="902"/>
      <c r="J341" s="90"/>
      <c r="K341" s="90"/>
      <c r="L341" s="90"/>
      <c r="M341" s="90"/>
      <c r="N341" s="90"/>
      <c r="O341" s="90"/>
      <c r="P341" s="90"/>
      <c r="Q341" s="98"/>
    </row>
    <row r="342" spans="1:17" s="99" customFormat="1" ht="19.5" customHeight="1" hidden="1">
      <c r="A342" s="282">
        <v>334</v>
      </c>
      <c r="B342" s="92"/>
      <c r="C342" s="96">
        <v>10</v>
      </c>
      <c r="D342" s="97" t="s">
        <v>427</v>
      </c>
      <c r="E342" s="999"/>
      <c r="F342" s="480">
        <v>354237</v>
      </c>
      <c r="G342" s="480"/>
      <c r="H342" s="480"/>
      <c r="I342" s="902"/>
      <c r="J342" s="90"/>
      <c r="K342" s="90"/>
      <c r="L342" s="90"/>
      <c r="M342" s="90"/>
      <c r="N342" s="90"/>
      <c r="O342" s="90"/>
      <c r="P342" s="90"/>
      <c r="Q342" s="98"/>
    </row>
    <row r="343" spans="1:17" s="99" customFormat="1" ht="19.5" customHeight="1" hidden="1">
      <c r="A343" s="282">
        <v>335</v>
      </c>
      <c r="B343" s="92"/>
      <c r="C343" s="96">
        <v>11</v>
      </c>
      <c r="D343" s="97" t="s">
        <v>429</v>
      </c>
      <c r="E343" s="999"/>
      <c r="F343" s="480">
        <v>306784</v>
      </c>
      <c r="G343" s="480"/>
      <c r="H343" s="480"/>
      <c r="I343" s="902"/>
      <c r="J343" s="90"/>
      <c r="K343" s="90"/>
      <c r="L343" s="90"/>
      <c r="M343" s="90"/>
      <c r="N343" s="90"/>
      <c r="O343" s="90"/>
      <c r="P343" s="90"/>
      <c r="Q343" s="98"/>
    </row>
    <row r="344" spans="1:17" s="177" customFormat="1" ht="19.5" customHeight="1" hidden="1">
      <c r="A344" s="282">
        <v>336</v>
      </c>
      <c r="B344" s="179"/>
      <c r="C344" s="285"/>
      <c r="D344" s="187" t="s">
        <v>430</v>
      </c>
      <c r="E344" s="498"/>
      <c r="F344" s="486">
        <v>30407</v>
      </c>
      <c r="G344" s="486"/>
      <c r="H344" s="480"/>
      <c r="I344" s="902"/>
      <c r="J344" s="90"/>
      <c r="K344" s="90"/>
      <c r="L344" s="90"/>
      <c r="M344" s="90"/>
      <c r="N344" s="90"/>
      <c r="O344" s="90"/>
      <c r="P344" s="90"/>
      <c r="Q344" s="98"/>
    </row>
    <row r="345" spans="1:17" s="99" customFormat="1" ht="19.5" customHeight="1" hidden="1">
      <c r="A345" s="282">
        <v>337</v>
      </c>
      <c r="B345" s="92"/>
      <c r="C345" s="96">
        <v>12</v>
      </c>
      <c r="D345" s="97" t="s">
        <v>431</v>
      </c>
      <c r="E345" s="999"/>
      <c r="F345" s="480">
        <v>319970</v>
      </c>
      <c r="G345" s="480"/>
      <c r="H345" s="480"/>
      <c r="I345" s="902"/>
      <c r="J345" s="91"/>
      <c r="K345" s="91"/>
      <c r="L345" s="91"/>
      <c r="M345" s="91"/>
      <c r="N345" s="91"/>
      <c r="O345" s="91"/>
      <c r="P345" s="91"/>
      <c r="Q345" s="157"/>
    </row>
    <row r="346" spans="1:17" s="99" customFormat="1" ht="19.5" customHeight="1" hidden="1">
      <c r="A346" s="282">
        <v>338</v>
      </c>
      <c r="B346" s="92"/>
      <c r="C346" s="96">
        <v>13</v>
      </c>
      <c r="D346" s="496" t="s">
        <v>1102</v>
      </c>
      <c r="E346" s="1017"/>
      <c r="F346" s="480">
        <v>172257</v>
      </c>
      <c r="G346" s="480"/>
      <c r="H346" s="480"/>
      <c r="I346" s="902"/>
      <c r="J346" s="90"/>
      <c r="K346" s="90"/>
      <c r="L346" s="90"/>
      <c r="M346" s="90"/>
      <c r="N346" s="90"/>
      <c r="O346" s="90"/>
      <c r="P346" s="90"/>
      <c r="Q346" s="98"/>
    </row>
    <row r="347" spans="1:17" s="99" customFormat="1" ht="19.5" customHeight="1" hidden="1">
      <c r="A347" s="282">
        <v>339</v>
      </c>
      <c r="B347" s="92"/>
      <c r="C347" s="96">
        <v>14</v>
      </c>
      <c r="D347" s="97" t="s">
        <v>432</v>
      </c>
      <c r="E347" s="999"/>
      <c r="F347" s="480">
        <v>209657</v>
      </c>
      <c r="G347" s="480"/>
      <c r="H347" s="480"/>
      <c r="I347" s="902"/>
      <c r="J347" s="90"/>
      <c r="K347" s="90"/>
      <c r="L347" s="90"/>
      <c r="M347" s="90"/>
      <c r="N347" s="90"/>
      <c r="O347" s="90"/>
      <c r="P347" s="90"/>
      <c r="Q347" s="98"/>
    </row>
    <row r="348" spans="1:17" s="99" customFormat="1" ht="19.5" customHeight="1" hidden="1">
      <c r="A348" s="282">
        <v>340</v>
      </c>
      <c r="B348" s="92"/>
      <c r="C348" s="96">
        <v>15</v>
      </c>
      <c r="D348" s="496" t="s">
        <v>433</v>
      </c>
      <c r="E348" s="1017"/>
      <c r="F348" s="480">
        <v>263845</v>
      </c>
      <c r="G348" s="480"/>
      <c r="H348" s="480"/>
      <c r="I348" s="902"/>
      <c r="J348" s="90"/>
      <c r="K348" s="90"/>
      <c r="L348" s="90"/>
      <c r="M348" s="90"/>
      <c r="N348" s="90"/>
      <c r="O348" s="90"/>
      <c r="P348" s="90"/>
      <c r="Q348" s="98"/>
    </row>
    <row r="349" spans="1:17" s="99" customFormat="1" ht="19.5" customHeight="1" hidden="1">
      <c r="A349" s="282">
        <v>341</v>
      </c>
      <c r="B349" s="92"/>
      <c r="C349" s="96">
        <v>16</v>
      </c>
      <c r="D349" s="496" t="s">
        <v>434</v>
      </c>
      <c r="E349" s="1017"/>
      <c r="F349" s="480">
        <v>107696</v>
      </c>
      <c r="G349" s="480"/>
      <c r="H349" s="480"/>
      <c r="I349" s="902"/>
      <c r="J349" s="90"/>
      <c r="K349" s="90"/>
      <c r="L349" s="90"/>
      <c r="M349" s="90"/>
      <c r="N349" s="90"/>
      <c r="O349" s="90"/>
      <c r="P349" s="90"/>
      <c r="Q349" s="98"/>
    </row>
    <row r="350" spans="1:17" s="99" customFormat="1" ht="19.5" customHeight="1" hidden="1">
      <c r="A350" s="282">
        <v>342</v>
      </c>
      <c r="B350" s="92"/>
      <c r="C350" s="96">
        <v>17</v>
      </c>
      <c r="D350" s="97" t="s">
        <v>435</v>
      </c>
      <c r="E350" s="999"/>
      <c r="F350" s="480">
        <v>144807</v>
      </c>
      <c r="G350" s="480"/>
      <c r="H350" s="480"/>
      <c r="I350" s="902"/>
      <c r="J350" s="90"/>
      <c r="K350" s="90"/>
      <c r="L350" s="90"/>
      <c r="M350" s="90"/>
      <c r="N350" s="90"/>
      <c r="O350" s="90"/>
      <c r="P350" s="90"/>
      <c r="Q350" s="98"/>
    </row>
    <row r="351" spans="1:17" s="177" customFormat="1" ht="19.5" customHeight="1" hidden="1">
      <c r="A351" s="282">
        <v>343</v>
      </c>
      <c r="B351" s="179"/>
      <c r="C351" s="91"/>
      <c r="D351" s="91" t="s">
        <v>436</v>
      </c>
      <c r="E351" s="285"/>
      <c r="F351" s="486">
        <f>SUM(F339:F343,F345:F350)</f>
        <v>2599966</v>
      </c>
      <c r="G351" s="486">
        <f>SUM(G339:G343,G345:G350)</f>
        <v>0</v>
      </c>
      <c r="H351" s="480">
        <f>SUM(H339:H343,H345:H350)</f>
        <v>0</v>
      </c>
      <c r="I351" s="902"/>
      <c r="J351" s="90"/>
      <c r="K351" s="90"/>
      <c r="L351" s="90"/>
      <c r="M351" s="90"/>
      <c r="N351" s="90"/>
      <c r="O351" s="90"/>
      <c r="P351" s="90"/>
      <c r="Q351" s="98"/>
    </row>
    <row r="352" spans="1:17" s="99" customFormat="1" ht="19.5" customHeight="1" hidden="1">
      <c r="A352" s="282">
        <v>344</v>
      </c>
      <c r="B352" s="92"/>
      <c r="C352" s="96">
        <v>18</v>
      </c>
      <c r="D352" s="97" t="s">
        <v>437</v>
      </c>
      <c r="E352" s="999"/>
      <c r="F352" s="480">
        <v>121932</v>
      </c>
      <c r="G352" s="480"/>
      <c r="H352" s="480"/>
      <c r="I352" s="903">
        <f>SUM(I340:I344,I346:I351)</f>
        <v>0</v>
      </c>
      <c r="J352" s="91"/>
      <c r="K352" s="91"/>
      <c r="L352" s="91"/>
      <c r="M352" s="91"/>
      <c r="N352" s="91"/>
      <c r="O352" s="91"/>
      <c r="P352" s="91"/>
      <c r="Q352" s="157"/>
    </row>
    <row r="353" spans="1:17" s="177" customFormat="1" ht="19.5" customHeight="1" hidden="1">
      <c r="A353" s="282">
        <v>345</v>
      </c>
      <c r="B353" s="179"/>
      <c r="C353" s="285"/>
      <c r="D353" s="91" t="s">
        <v>1106</v>
      </c>
      <c r="E353" s="285"/>
      <c r="F353" s="486">
        <f>SUM(F103+F351+F352)</f>
        <v>3873989</v>
      </c>
      <c r="G353" s="486">
        <f>SUM(G103+G351+G352)</f>
        <v>1000045</v>
      </c>
      <c r="H353" s="480">
        <f>SUM(H103+H351+H352)</f>
        <v>1118328</v>
      </c>
      <c r="I353" s="902"/>
      <c r="J353" s="90"/>
      <c r="K353" s="90"/>
      <c r="L353" s="90"/>
      <c r="M353" s="90"/>
      <c r="N353" s="90"/>
      <c r="O353" s="90"/>
      <c r="P353" s="90"/>
      <c r="Q353" s="98"/>
    </row>
    <row r="354" spans="1:17" s="99" customFormat="1" ht="19.5" customHeight="1" hidden="1">
      <c r="A354" s="282">
        <v>346</v>
      </c>
      <c r="B354" s="92"/>
      <c r="C354" s="96">
        <v>23</v>
      </c>
      <c r="D354" s="90" t="s">
        <v>445</v>
      </c>
      <c r="E354" s="96"/>
      <c r="F354" s="480">
        <v>175989</v>
      </c>
      <c r="G354" s="480"/>
      <c r="H354" s="480"/>
      <c r="I354" s="903">
        <f>SUM(I104+I352+I353)</f>
        <v>1440666</v>
      </c>
      <c r="J354" s="91"/>
      <c r="K354" s="91"/>
      <c r="L354" s="91"/>
      <c r="M354" s="91"/>
      <c r="N354" s="91"/>
      <c r="O354" s="91"/>
      <c r="P354" s="91"/>
      <c r="Q354" s="157"/>
    </row>
    <row r="355" spans="1:17" s="99" customFormat="1" ht="19.5" customHeight="1" hidden="1">
      <c r="A355" s="282">
        <v>347</v>
      </c>
      <c r="B355" s="92">
        <v>1</v>
      </c>
      <c r="C355" s="90" t="s">
        <v>446</v>
      </c>
      <c r="D355" s="94"/>
      <c r="E355" s="93"/>
      <c r="F355" s="483">
        <f>SUM(F353+F133+F354)</f>
        <v>4828237</v>
      </c>
      <c r="G355" s="483">
        <f>SUM(G353+G133+G354)</f>
        <v>1690849</v>
      </c>
      <c r="H355" s="483">
        <f>SUM(H353+H133+H354)</f>
        <v>1862479</v>
      </c>
      <c r="I355" s="902"/>
      <c r="J355" s="90"/>
      <c r="K355" s="90"/>
      <c r="L355" s="90"/>
      <c r="M355" s="90"/>
      <c r="N355" s="90"/>
      <c r="O355" s="90"/>
      <c r="P355" s="90"/>
      <c r="Q355" s="98"/>
    </row>
    <row r="356" spans="1:17" s="7" customFormat="1" ht="19.5" customHeight="1" hidden="1">
      <c r="A356" s="282">
        <v>348</v>
      </c>
      <c r="B356" s="92"/>
      <c r="C356" s="90" t="s">
        <v>447</v>
      </c>
      <c r="D356" s="94"/>
      <c r="E356" s="93"/>
      <c r="F356" s="483"/>
      <c r="G356" s="483"/>
      <c r="H356" s="483"/>
      <c r="I356" s="902">
        <f>SUM(I354+I134+I355)</f>
        <v>2096662</v>
      </c>
      <c r="J356" s="90"/>
      <c r="K356" s="90"/>
      <c r="L356" s="90"/>
      <c r="M356" s="90"/>
      <c r="N356" s="90"/>
      <c r="O356" s="90"/>
      <c r="P356" s="90"/>
      <c r="Q356" s="98"/>
    </row>
    <row r="357" spans="1:17" s="99" customFormat="1" ht="19.5" customHeight="1" hidden="1">
      <c r="A357" s="282">
        <v>349</v>
      </c>
      <c r="B357" s="92">
        <v>2</v>
      </c>
      <c r="C357" s="598"/>
      <c r="D357" s="90" t="s">
        <v>448</v>
      </c>
      <c r="E357" s="96"/>
      <c r="F357" s="480">
        <v>345976</v>
      </c>
      <c r="G357" s="480"/>
      <c r="H357" s="480"/>
      <c r="I357" s="902"/>
      <c r="J357" s="94"/>
      <c r="K357" s="94"/>
      <c r="L357" s="94"/>
      <c r="M357" s="94"/>
      <c r="N357" s="94"/>
      <c r="O357" s="94"/>
      <c r="P357" s="94"/>
      <c r="Q357" s="95"/>
    </row>
    <row r="358" spans="1:17" s="99" customFormat="1" ht="19.5" customHeight="1" hidden="1">
      <c r="A358" s="282">
        <v>350</v>
      </c>
      <c r="B358" s="92">
        <v>3</v>
      </c>
      <c r="C358" s="598"/>
      <c r="D358" s="90" t="s">
        <v>449</v>
      </c>
      <c r="E358" s="96"/>
      <c r="F358" s="480">
        <v>355751</v>
      </c>
      <c r="G358" s="480"/>
      <c r="H358" s="480"/>
      <c r="I358" s="902"/>
      <c r="J358" s="90"/>
      <c r="K358" s="90"/>
      <c r="L358" s="90"/>
      <c r="M358" s="90"/>
      <c r="N358" s="90"/>
      <c r="O358" s="90"/>
      <c r="P358" s="90"/>
      <c r="Q358" s="98"/>
    </row>
    <row r="359" spans="1:17" s="7" customFormat="1" ht="19.5" customHeight="1" hidden="1">
      <c r="A359" s="282">
        <v>351</v>
      </c>
      <c r="B359" s="92">
        <v>4</v>
      </c>
      <c r="C359" s="598"/>
      <c r="D359" s="90" t="s">
        <v>450</v>
      </c>
      <c r="E359" s="96"/>
      <c r="F359" s="480">
        <v>345673</v>
      </c>
      <c r="G359" s="480"/>
      <c r="H359" s="480"/>
      <c r="I359" s="902"/>
      <c r="J359" s="90"/>
      <c r="K359" s="90"/>
      <c r="L359" s="90"/>
      <c r="M359" s="90"/>
      <c r="N359" s="90"/>
      <c r="O359" s="90"/>
      <c r="P359" s="90"/>
      <c r="Q359" s="98"/>
    </row>
    <row r="360" spans="1:17" s="7" customFormat="1" ht="19.5" customHeight="1" hidden="1">
      <c r="A360" s="282">
        <v>352</v>
      </c>
      <c r="B360" s="92">
        <v>5</v>
      </c>
      <c r="C360" s="598"/>
      <c r="D360" s="496" t="s">
        <v>451</v>
      </c>
      <c r="E360" s="1017"/>
      <c r="F360" s="480">
        <v>454560</v>
      </c>
      <c r="G360" s="480"/>
      <c r="H360" s="480"/>
      <c r="I360" s="902"/>
      <c r="J360" s="94"/>
      <c r="K360" s="94"/>
      <c r="L360" s="94"/>
      <c r="M360" s="94"/>
      <c r="N360" s="94"/>
      <c r="O360" s="94"/>
      <c r="P360" s="94"/>
      <c r="Q360" s="95"/>
    </row>
    <row r="361" spans="1:17" s="7" customFormat="1" ht="19.5" customHeight="1" hidden="1">
      <c r="A361" s="282">
        <v>353</v>
      </c>
      <c r="B361" s="92">
        <v>6</v>
      </c>
      <c r="C361" s="598"/>
      <c r="D361" s="90" t="s">
        <v>1107</v>
      </c>
      <c r="E361" s="96"/>
      <c r="F361" s="480">
        <v>388665</v>
      </c>
      <c r="G361" s="480"/>
      <c r="H361" s="480"/>
      <c r="I361" s="902"/>
      <c r="J361" s="94"/>
      <c r="K361" s="94"/>
      <c r="L361" s="94"/>
      <c r="M361" s="94"/>
      <c r="N361" s="94"/>
      <c r="O361" s="94"/>
      <c r="P361" s="94"/>
      <c r="Q361" s="95"/>
    </row>
    <row r="362" spans="1:17" s="7" customFormat="1" ht="19.5" customHeight="1" hidden="1">
      <c r="A362" s="282">
        <v>354</v>
      </c>
      <c r="B362" s="92">
        <v>7</v>
      </c>
      <c r="C362" s="90" t="s">
        <v>1103</v>
      </c>
      <c r="D362" s="94"/>
      <c r="E362" s="93"/>
      <c r="F362" s="483"/>
      <c r="G362" s="483"/>
      <c r="H362" s="483"/>
      <c r="I362" s="902"/>
      <c r="J362" s="94"/>
      <c r="K362" s="94"/>
      <c r="L362" s="94"/>
      <c r="M362" s="94"/>
      <c r="N362" s="94"/>
      <c r="O362" s="94"/>
      <c r="P362" s="94"/>
      <c r="Q362" s="95"/>
    </row>
    <row r="363" spans="1:17" s="99" customFormat="1" ht="19.5" customHeight="1" hidden="1">
      <c r="A363" s="282">
        <v>355</v>
      </c>
      <c r="B363" s="92"/>
      <c r="C363" s="96">
        <v>1</v>
      </c>
      <c r="D363" s="90" t="s">
        <v>452</v>
      </c>
      <c r="E363" s="96"/>
      <c r="F363" s="480">
        <v>194122</v>
      </c>
      <c r="G363" s="480"/>
      <c r="H363" s="480"/>
      <c r="I363" s="902"/>
      <c r="J363" s="94"/>
      <c r="K363" s="94"/>
      <c r="L363" s="94"/>
      <c r="M363" s="94"/>
      <c r="N363" s="94"/>
      <c r="O363" s="94"/>
      <c r="P363" s="94"/>
      <c r="Q363" s="95"/>
    </row>
    <row r="364" spans="1:17" s="99" customFormat="1" ht="19.5" customHeight="1" hidden="1">
      <c r="A364" s="282">
        <v>356</v>
      </c>
      <c r="B364" s="92"/>
      <c r="C364" s="96">
        <v>2</v>
      </c>
      <c r="D364" s="496" t="s">
        <v>453</v>
      </c>
      <c r="E364" s="1017"/>
      <c r="F364" s="480">
        <v>88269</v>
      </c>
      <c r="G364" s="480"/>
      <c r="H364" s="480"/>
      <c r="I364" s="902"/>
      <c r="J364" s="90"/>
      <c r="K364" s="90"/>
      <c r="L364" s="90"/>
      <c r="M364" s="90"/>
      <c r="N364" s="90"/>
      <c r="O364" s="90"/>
      <c r="P364" s="90"/>
      <c r="Q364" s="98"/>
    </row>
    <row r="365" spans="1:17" s="99" customFormat="1" ht="19.5" customHeight="1" hidden="1">
      <c r="A365" s="282">
        <v>357</v>
      </c>
      <c r="B365" s="92"/>
      <c r="C365" s="96">
        <v>3</v>
      </c>
      <c r="D365" s="496" t="s">
        <v>454</v>
      </c>
      <c r="E365" s="1017"/>
      <c r="F365" s="480">
        <v>370523</v>
      </c>
      <c r="G365" s="480"/>
      <c r="H365" s="480"/>
      <c r="I365" s="902"/>
      <c r="J365" s="90"/>
      <c r="K365" s="90"/>
      <c r="L365" s="90"/>
      <c r="M365" s="90"/>
      <c r="N365" s="90"/>
      <c r="O365" s="90"/>
      <c r="P365" s="90"/>
      <c r="Q365" s="98"/>
    </row>
    <row r="366" spans="1:17" s="99" customFormat="1" ht="19.5" customHeight="1" hidden="1">
      <c r="A366" s="282">
        <v>358</v>
      </c>
      <c r="B366" s="92"/>
      <c r="C366" s="96">
        <v>4</v>
      </c>
      <c r="D366" s="496" t="s">
        <v>463</v>
      </c>
      <c r="E366" s="1017"/>
      <c r="F366" s="480">
        <v>163913</v>
      </c>
      <c r="G366" s="480"/>
      <c r="H366" s="480"/>
      <c r="I366" s="902"/>
      <c r="J366" s="90"/>
      <c r="K366" s="90"/>
      <c r="L366" s="90"/>
      <c r="M366" s="90"/>
      <c r="N366" s="90"/>
      <c r="O366" s="90"/>
      <c r="P366" s="90"/>
      <c r="Q366" s="98"/>
    </row>
    <row r="367" spans="1:17" s="99" customFormat="1" ht="19.5" customHeight="1" hidden="1">
      <c r="A367" s="282">
        <v>359</v>
      </c>
      <c r="B367" s="92"/>
      <c r="C367" s="96">
        <v>5</v>
      </c>
      <c r="D367" s="496" t="s">
        <v>455</v>
      </c>
      <c r="E367" s="1017"/>
      <c r="F367" s="480">
        <v>201248</v>
      </c>
      <c r="G367" s="480"/>
      <c r="H367" s="480"/>
      <c r="I367" s="902"/>
      <c r="J367" s="90"/>
      <c r="K367" s="90"/>
      <c r="L367" s="90"/>
      <c r="M367" s="90"/>
      <c r="N367" s="90"/>
      <c r="O367" s="90"/>
      <c r="P367" s="90"/>
      <c r="Q367" s="98"/>
    </row>
    <row r="368" spans="1:17" s="177" customFormat="1" ht="19.5" customHeight="1" hidden="1">
      <c r="A368" s="282">
        <v>360</v>
      </c>
      <c r="B368" s="92">
        <v>7</v>
      </c>
      <c r="C368" s="90" t="s">
        <v>456</v>
      </c>
      <c r="D368" s="91"/>
      <c r="E368" s="285"/>
      <c r="F368" s="486">
        <f>SUM(F363:F367)</f>
        <v>1018075</v>
      </c>
      <c r="G368" s="486">
        <f>SUM(G363,G364,G365,G367)</f>
        <v>0</v>
      </c>
      <c r="H368" s="480">
        <f>SUM(H363,H364,H365,H367)</f>
        <v>0</v>
      </c>
      <c r="I368" s="902"/>
      <c r="J368" s="90"/>
      <c r="K368" s="90"/>
      <c r="L368" s="90"/>
      <c r="M368" s="90"/>
      <c r="N368" s="90"/>
      <c r="O368" s="90"/>
      <c r="P368" s="90"/>
      <c r="Q368" s="98"/>
    </row>
    <row r="369" spans="1:17" s="7" customFormat="1" ht="19.5" customHeight="1" hidden="1">
      <c r="A369" s="282">
        <v>361</v>
      </c>
      <c r="B369" s="92"/>
      <c r="C369" s="90" t="s">
        <v>457</v>
      </c>
      <c r="D369" s="94"/>
      <c r="E369" s="93"/>
      <c r="F369" s="483">
        <f>SUM(F368,F357:F361)</f>
        <v>2908700</v>
      </c>
      <c r="G369" s="483">
        <f>SUM(G357+G358+G359+G360+G361+G363+G364+G365+G367)</f>
        <v>0</v>
      </c>
      <c r="H369" s="483">
        <f>SUM(H357+H358+H359+H360+H361+H363+H364+H365+H367)</f>
        <v>0</v>
      </c>
      <c r="I369" s="903">
        <f>SUM(I364,I365,I366,I368)</f>
        <v>0</v>
      </c>
      <c r="J369" s="91"/>
      <c r="K369" s="91"/>
      <c r="L369" s="91"/>
      <c r="M369" s="91"/>
      <c r="N369" s="91"/>
      <c r="O369" s="91"/>
      <c r="P369" s="91"/>
      <c r="Q369" s="157"/>
    </row>
    <row r="370" spans="1:17" s="94" customFormat="1" ht="15">
      <c r="A370" s="282">
        <v>362</v>
      </c>
      <c r="B370" s="1372" t="s">
        <v>366</v>
      </c>
      <c r="C370" s="1373"/>
      <c r="D370" s="1373"/>
      <c r="E370" s="93"/>
      <c r="F370" s="483"/>
      <c r="G370" s="483"/>
      <c r="H370" s="483"/>
      <c r="I370" s="902"/>
      <c r="Q370" s="95"/>
    </row>
    <row r="371" spans="1:18" s="90" customFormat="1" ht="15">
      <c r="A371" s="282">
        <v>363</v>
      </c>
      <c r="B371" s="1382" t="s">
        <v>389</v>
      </c>
      <c r="C371" s="1383"/>
      <c r="D371" s="1383"/>
      <c r="E371" s="1383"/>
      <c r="F371" s="480">
        <f>SUM(F137:F217,F133,F103,F244)+F337</f>
        <v>8291147</v>
      </c>
      <c r="G371" s="480">
        <f>SUM(G137:G217,G133,G103,G244)+G337</f>
        <v>3540002</v>
      </c>
      <c r="H371" s="480">
        <f>SUM(H137:H217,H133,H103,H244)</f>
        <v>3922107</v>
      </c>
      <c r="I371" s="902"/>
      <c r="J371" s="94"/>
      <c r="K371" s="94"/>
      <c r="L371" s="94"/>
      <c r="M371" s="94"/>
      <c r="N371" s="94"/>
      <c r="O371" s="94"/>
      <c r="P371" s="94"/>
      <c r="Q371" s="95"/>
      <c r="R371" s="502">
        <f>(SUM(J372:Q372))-I372</f>
        <v>0</v>
      </c>
    </row>
    <row r="372" spans="1:18" s="90" customFormat="1" ht="15">
      <c r="A372" s="282">
        <v>364</v>
      </c>
      <c r="B372" s="92"/>
      <c r="C372" s="96"/>
      <c r="D372" s="386" t="s">
        <v>1168</v>
      </c>
      <c r="E372" s="999"/>
      <c r="F372" s="480"/>
      <c r="G372" s="480"/>
      <c r="H372" s="480"/>
      <c r="I372" s="901">
        <f>SUM(I245+I218+I214+I210+I206+I199+I195+I191+I187+I183+I174+I170+I162+I158+I138+I134+I104)</f>
        <v>4017962</v>
      </c>
      <c r="J372" s="183">
        <f aca="true" t="shared" si="84" ref="J372:Q372">SUM(J245+J218+J214+J210+J206+J199+J195+J191+J187+J183+J174+J170+J162+J158+J138+J134+J104)</f>
        <v>1855614</v>
      </c>
      <c r="K372" s="183">
        <f t="shared" si="84"/>
        <v>536262</v>
      </c>
      <c r="L372" s="183">
        <f t="shared" si="84"/>
        <v>1562178</v>
      </c>
      <c r="M372" s="183">
        <f t="shared" si="84"/>
        <v>0</v>
      </c>
      <c r="N372" s="183">
        <f t="shared" si="84"/>
        <v>0</v>
      </c>
      <c r="O372" s="183">
        <f t="shared" si="84"/>
        <v>63908</v>
      </c>
      <c r="P372" s="183">
        <f t="shared" si="84"/>
        <v>0</v>
      </c>
      <c r="Q372" s="384">
        <f t="shared" si="84"/>
        <v>0</v>
      </c>
      <c r="R372" s="183"/>
    </row>
    <row r="373" spans="1:18" s="91" customFormat="1" ht="15">
      <c r="A373" s="282">
        <v>365</v>
      </c>
      <c r="B373" s="179"/>
      <c r="C373" s="285"/>
      <c r="D373" s="571" t="s">
        <v>1170</v>
      </c>
      <c r="E373" s="498"/>
      <c r="F373" s="486"/>
      <c r="G373" s="486"/>
      <c r="H373" s="486"/>
      <c r="I373" s="1004">
        <f>SUM(I246:I247,I219,I215,I211,I207,I200:I203,I196,I192,I188,I184,I175:I180,I171,I163:I167,I159,I140:I155,I139,I135,I105)</f>
        <v>193150</v>
      </c>
      <c r="J373" s="574">
        <f aca="true" t="shared" si="85" ref="J373:Q373">SUM(J246:J247,J219,J215,J211,J207,J200:J203,J196,J192,J188,J184,J175:J180,J171,J163:J167,J159,J140:J155,J139,J135,J105)</f>
        <v>71757</v>
      </c>
      <c r="K373" s="574">
        <f t="shared" si="85"/>
        <v>18306</v>
      </c>
      <c r="L373" s="574">
        <f t="shared" si="85"/>
        <v>101771</v>
      </c>
      <c r="M373" s="574">
        <f t="shared" si="85"/>
        <v>0</v>
      </c>
      <c r="N373" s="574">
        <f t="shared" si="85"/>
        <v>0</v>
      </c>
      <c r="O373" s="574">
        <f t="shared" si="85"/>
        <v>1316</v>
      </c>
      <c r="P373" s="574">
        <f t="shared" si="85"/>
        <v>0</v>
      </c>
      <c r="Q373" s="1013">
        <f t="shared" si="85"/>
        <v>0</v>
      </c>
      <c r="R373" s="184"/>
    </row>
    <row r="374" spans="1:18" s="94" customFormat="1" ht="15">
      <c r="A374" s="282">
        <v>366</v>
      </c>
      <c r="B374" s="383"/>
      <c r="C374" s="93"/>
      <c r="D374" s="572" t="s">
        <v>1169</v>
      </c>
      <c r="E374" s="1001"/>
      <c r="F374" s="483"/>
      <c r="G374" s="483"/>
      <c r="H374" s="483"/>
      <c r="I374" s="904">
        <f>SUM(I372:I373)</f>
        <v>4211112</v>
      </c>
      <c r="J374" s="94">
        <f aca="true" t="shared" si="86" ref="J374:Q374">SUM(J372:J373)</f>
        <v>1927371</v>
      </c>
      <c r="K374" s="94">
        <f t="shared" si="86"/>
        <v>554568</v>
      </c>
      <c r="L374" s="94">
        <f t="shared" si="86"/>
        <v>1663949</v>
      </c>
      <c r="M374" s="94">
        <f t="shared" si="86"/>
        <v>0</v>
      </c>
      <c r="N374" s="94">
        <f t="shared" si="86"/>
        <v>0</v>
      </c>
      <c r="O374" s="94">
        <f t="shared" si="86"/>
        <v>65224</v>
      </c>
      <c r="P374" s="94">
        <f t="shared" si="86"/>
        <v>0</v>
      </c>
      <c r="Q374" s="95">
        <f t="shared" si="86"/>
        <v>0</v>
      </c>
      <c r="R374" s="286"/>
    </row>
    <row r="375" spans="1:18" s="90" customFormat="1" ht="15">
      <c r="A375" s="282">
        <v>367</v>
      </c>
      <c r="B375" s="1382" t="s">
        <v>366</v>
      </c>
      <c r="C375" s="1383"/>
      <c r="D375" s="1383"/>
      <c r="E375" s="589"/>
      <c r="F375" s="480"/>
      <c r="G375" s="480"/>
      <c r="H375" s="480"/>
      <c r="I375" s="902"/>
      <c r="Q375" s="98"/>
      <c r="R375" s="502"/>
    </row>
    <row r="376" spans="1:18" s="90" customFormat="1" ht="15">
      <c r="A376" s="282">
        <v>368</v>
      </c>
      <c r="B376" s="1382" t="s">
        <v>367</v>
      </c>
      <c r="C376" s="1383"/>
      <c r="D376" s="1383"/>
      <c r="E376" s="1383"/>
      <c r="F376" s="480">
        <f>SUM(F221:F230)</f>
        <v>817905</v>
      </c>
      <c r="G376" s="480">
        <f>SUM(G221:G230)</f>
        <v>743066</v>
      </c>
      <c r="H376" s="480">
        <f>SUM(H221:H230)</f>
        <v>862906</v>
      </c>
      <c r="I376" s="902"/>
      <c r="Q376" s="98"/>
      <c r="R376" s="502">
        <f>(SUM(J377:Q377))-I377</f>
        <v>0</v>
      </c>
    </row>
    <row r="377" spans="1:18" s="90" customFormat="1" ht="15">
      <c r="A377" s="282">
        <v>369</v>
      </c>
      <c r="B377" s="92"/>
      <c r="C377" s="96"/>
      <c r="D377" s="386" t="s">
        <v>1168</v>
      </c>
      <c r="E377" s="999"/>
      <c r="F377" s="480"/>
      <c r="G377" s="480"/>
      <c r="H377" s="480"/>
      <c r="I377" s="901">
        <f>SUM(I222,I227,I231,I237)</f>
        <v>780989</v>
      </c>
      <c r="J377" s="183">
        <f aca="true" t="shared" si="87" ref="J377:Q377">SUM(J222,J227,J231,J237)</f>
        <v>330070</v>
      </c>
      <c r="K377" s="183">
        <f t="shared" si="87"/>
        <v>87728</v>
      </c>
      <c r="L377" s="183">
        <f t="shared" si="87"/>
        <v>334481</v>
      </c>
      <c r="M377" s="183">
        <f t="shared" si="87"/>
        <v>0</v>
      </c>
      <c r="N377" s="183">
        <f t="shared" si="87"/>
        <v>0</v>
      </c>
      <c r="O377" s="183">
        <f t="shared" si="87"/>
        <v>10470</v>
      </c>
      <c r="P377" s="183">
        <f t="shared" si="87"/>
        <v>18240</v>
      </c>
      <c r="Q377" s="384">
        <f t="shared" si="87"/>
        <v>0</v>
      </c>
      <c r="R377" s="183"/>
    </row>
    <row r="378" spans="1:18" s="91" customFormat="1" ht="15">
      <c r="A378" s="282">
        <v>370</v>
      </c>
      <c r="B378" s="179"/>
      <c r="C378" s="285"/>
      <c r="D378" s="571" t="s">
        <v>1170</v>
      </c>
      <c r="E378" s="498"/>
      <c r="F378" s="486"/>
      <c r="G378" s="486"/>
      <c r="H378" s="486"/>
      <c r="I378" s="1004">
        <f>SUM(I223:I224,I228,I232:I234,I238)</f>
        <v>18919</v>
      </c>
      <c r="J378" s="574">
        <f aca="true" t="shared" si="88" ref="J378:Q378">SUM(J223:J224,J228,J232:J234,J238)</f>
        <v>8143</v>
      </c>
      <c r="K378" s="574">
        <f t="shared" si="88"/>
        <v>1337</v>
      </c>
      <c r="L378" s="574">
        <f t="shared" si="88"/>
        <v>9439</v>
      </c>
      <c r="M378" s="574">
        <f t="shared" si="88"/>
        <v>0</v>
      </c>
      <c r="N378" s="574">
        <f t="shared" si="88"/>
        <v>0</v>
      </c>
      <c r="O378" s="574">
        <f t="shared" si="88"/>
        <v>0</v>
      </c>
      <c r="P378" s="574">
        <f t="shared" si="88"/>
        <v>0</v>
      </c>
      <c r="Q378" s="1013">
        <f t="shared" si="88"/>
        <v>0</v>
      </c>
      <c r="R378" s="184"/>
    </row>
    <row r="379" spans="1:18" s="94" customFormat="1" ht="15">
      <c r="A379" s="282">
        <v>371</v>
      </c>
      <c r="B379" s="383"/>
      <c r="C379" s="93"/>
      <c r="D379" s="572" t="s">
        <v>1169</v>
      </c>
      <c r="E379" s="1001"/>
      <c r="F379" s="483"/>
      <c r="G379" s="483"/>
      <c r="H379" s="483"/>
      <c r="I379" s="904">
        <f>SUM(I377:I378)</f>
        <v>799908</v>
      </c>
      <c r="J379" s="94">
        <f aca="true" t="shared" si="89" ref="J379:Q379">SUM(J377:J378)</f>
        <v>338213</v>
      </c>
      <c r="K379" s="94">
        <f t="shared" si="89"/>
        <v>89065</v>
      </c>
      <c r="L379" s="94">
        <f t="shared" si="89"/>
        <v>343920</v>
      </c>
      <c r="M379" s="94">
        <f t="shared" si="89"/>
        <v>0</v>
      </c>
      <c r="N379" s="94">
        <f t="shared" si="89"/>
        <v>0</v>
      </c>
      <c r="O379" s="94">
        <f t="shared" si="89"/>
        <v>10470</v>
      </c>
      <c r="P379" s="94">
        <f t="shared" si="89"/>
        <v>18240</v>
      </c>
      <c r="Q379" s="95">
        <f t="shared" si="89"/>
        <v>0</v>
      </c>
      <c r="R379" s="286"/>
    </row>
    <row r="380" spans="1:18" s="90" customFormat="1" ht="15">
      <c r="A380" s="282">
        <v>372</v>
      </c>
      <c r="B380" s="1382" t="s">
        <v>366</v>
      </c>
      <c r="C380" s="1383"/>
      <c r="D380" s="1383"/>
      <c r="E380" s="589"/>
      <c r="F380" s="480"/>
      <c r="G380" s="480"/>
      <c r="H380" s="480"/>
      <c r="I380" s="902"/>
      <c r="J380" s="94"/>
      <c r="K380" s="94"/>
      <c r="L380" s="94"/>
      <c r="M380" s="94"/>
      <c r="N380" s="94"/>
      <c r="O380" s="94"/>
      <c r="P380" s="94"/>
      <c r="Q380" s="95"/>
      <c r="R380" s="502"/>
    </row>
    <row r="381" spans="1:18" s="494" customFormat="1" ht="15">
      <c r="A381" s="282">
        <v>373</v>
      </c>
      <c r="B381" s="1384" t="s">
        <v>368</v>
      </c>
      <c r="C381" s="1385"/>
      <c r="D381" s="1385"/>
      <c r="E381" s="1385"/>
      <c r="F381" s="908">
        <f>SUM(F329)</f>
        <v>1481166</v>
      </c>
      <c r="G381" s="908">
        <f>SUM(G329)</f>
        <v>1426264</v>
      </c>
      <c r="H381" s="908">
        <f>SUM(H329)</f>
        <v>1262346</v>
      </c>
      <c r="I381" s="902"/>
      <c r="J381" s="90"/>
      <c r="K381" s="90"/>
      <c r="L381" s="90"/>
      <c r="M381" s="90"/>
      <c r="N381" s="90"/>
      <c r="O381" s="90"/>
      <c r="P381" s="90"/>
      <c r="Q381" s="98"/>
      <c r="R381" s="502">
        <f>(SUM(J382:Q382))-I382</f>
        <v>0</v>
      </c>
    </row>
    <row r="382" spans="1:18" s="90" customFormat="1" ht="15">
      <c r="A382" s="282">
        <v>374</v>
      </c>
      <c r="B382" s="92"/>
      <c r="C382" s="96"/>
      <c r="D382" s="386" t="s">
        <v>1168</v>
      </c>
      <c r="E382" s="999"/>
      <c r="F382" s="480"/>
      <c r="G382" s="480"/>
      <c r="H382" s="480"/>
      <c r="I382" s="901">
        <f aca="true" t="shared" si="90" ref="I382:Q382">SUM(I330)</f>
        <v>1328570</v>
      </c>
      <c r="J382" s="183">
        <f t="shared" si="90"/>
        <v>834196</v>
      </c>
      <c r="K382" s="183">
        <f t="shared" si="90"/>
        <v>235616</v>
      </c>
      <c r="L382" s="183">
        <f t="shared" si="90"/>
        <v>238500</v>
      </c>
      <c r="M382" s="184">
        <f t="shared" si="90"/>
        <v>0</v>
      </c>
      <c r="N382" s="184">
        <f t="shared" si="90"/>
        <v>0</v>
      </c>
      <c r="O382" s="184">
        <f t="shared" si="90"/>
        <v>19833</v>
      </c>
      <c r="P382" s="184">
        <f t="shared" si="90"/>
        <v>425</v>
      </c>
      <c r="Q382" s="385">
        <f t="shared" si="90"/>
        <v>0</v>
      </c>
      <c r="R382" s="183"/>
    </row>
    <row r="383" spans="1:18" s="91" customFormat="1" ht="15">
      <c r="A383" s="282">
        <v>375</v>
      </c>
      <c r="B383" s="179"/>
      <c r="C383" s="285"/>
      <c r="D383" s="571" t="s">
        <v>1170</v>
      </c>
      <c r="E383" s="498"/>
      <c r="F383" s="486"/>
      <c r="G383" s="486"/>
      <c r="H383" s="486"/>
      <c r="I383" s="1004">
        <f>SUM(I331)</f>
        <v>124593</v>
      </c>
      <c r="J383" s="574">
        <f aca="true" t="shared" si="91" ref="J383:Q383">SUM(J331)</f>
        <v>67559</v>
      </c>
      <c r="K383" s="574">
        <f t="shared" si="91"/>
        <v>16733</v>
      </c>
      <c r="L383" s="574">
        <f t="shared" si="91"/>
        <v>34247</v>
      </c>
      <c r="M383" s="574">
        <f t="shared" si="91"/>
        <v>0</v>
      </c>
      <c r="N383" s="574">
        <f t="shared" si="91"/>
        <v>0</v>
      </c>
      <c r="O383" s="574">
        <f t="shared" si="91"/>
        <v>6054</v>
      </c>
      <c r="P383" s="574">
        <f t="shared" si="91"/>
        <v>0</v>
      </c>
      <c r="Q383" s="1013">
        <f t="shared" si="91"/>
        <v>0</v>
      </c>
      <c r="R383" s="184"/>
    </row>
    <row r="384" spans="1:18" s="94" customFormat="1" ht="15.75" thickBot="1">
      <c r="A384" s="282">
        <v>376</v>
      </c>
      <c r="B384" s="569"/>
      <c r="C384" s="575"/>
      <c r="D384" s="576" t="s">
        <v>1169</v>
      </c>
      <c r="E384" s="1020"/>
      <c r="F384" s="900"/>
      <c r="G384" s="900"/>
      <c r="H384" s="900"/>
      <c r="I384" s="1021">
        <f>SUM(I382:I383)</f>
        <v>1453163</v>
      </c>
      <c r="J384" s="6">
        <f aca="true" t="shared" si="92" ref="J384:Q384">SUM(J382:J383)</f>
        <v>901755</v>
      </c>
      <c r="K384" s="6">
        <f t="shared" si="92"/>
        <v>252349</v>
      </c>
      <c r="L384" s="6">
        <f t="shared" si="92"/>
        <v>272747</v>
      </c>
      <c r="M384" s="6">
        <f t="shared" si="92"/>
        <v>0</v>
      </c>
      <c r="N384" s="6">
        <f t="shared" si="92"/>
        <v>0</v>
      </c>
      <c r="O384" s="6">
        <f t="shared" si="92"/>
        <v>25887</v>
      </c>
      <c r="P384" s="6">
        <f t="shared" si="92"/>
        <v>425</v>
      </c>
      <c r="Q384" s="20">
        <f t="shared" si="92"/>
        <v>0</v>
      </c>
      <c r="R384" s="286"/>
    </row>
    <row r="385" spans="2:4" ht="15">
      <c r="B385" s="1386" t="s">
        <v>402</v>
      </c>
      <c r="C385" s="1386"/>
      <c r="D385" s="1386"/>
    </row>
    <row r="386" spans="2:9" ht="15">
      <c r="B386" s="1381" t="s">
        <v>494</v>
      </c>
      <c r="C386" s="1381"/>
      <c r="D386" s="1381"/>
      <c r="E386" s="1381"/>
      <c r="F386" s="1381"/>
      <c r="G386" s="1381"/>
      <c r="H386" s="1381"/>
      <c r="I386" s="1381"/>
    </row>
    <row r="387" spans="2:4" ht="15">
      <c r="B387" s="1381" t="s">
        <v>495</v>
      </c>
      <c r="C387" s="1381"/>
      <c r="D387" s="1381"/>
    </row>
  </sheetData>
  <sheetProtection/>
  <mergeCells count="43">
    <mergeCell ref="H7:H8"/>
    <mergeCell ref="D33:G33"/>
    <mergeCell ref="D49:G49"/>
    <mergeCell ref="D69:G69"/>
    <mergeCell ref="D17:G17"/>
    <mergeCell ref="D83:G83"/>
    <mergeCell ref="D99:G99"/>
    <mergeCell ref="D123:G123"/>
    <mergeCell ref="D79:G79"/>
    <mergeCell ref="O7:Q7"/>
    <mergeCell ref="F7:F8"/>
    <mergeCell ref="B376:E376"/>
    <mergeCell ref="B371:E371"/>
    <mergeCell ref="D306:G306"/>
    <mergeCell ref="D95:G95"/>
    <mergeCell ref="I7:I8"/>
    <mergeCell ref="E7:E8"/>
    <mergeCell ref="D65:G65"/>
    <mergeCell ref="B375:D375"/>
    <mergeCell ref="B386:I386"/>
    <mergeCell ref="B387:D387"/>
    <mergeCell ref="B380:D380"/>
    <mergeCell ref="B381:E381"/>
    <mergeCell ref="B385:D385"/>
    <mergeCell ref="C253:D253"/>
    <mergeCell ref="B370:D370"/>
    <mergeCell ref="D325:G325"/>
    <mergeCell ref="D321:G321"/>
    <mergeCell ref="D314:H314"/>
    <mergeCell ref="B333:D333"/>
    <mergeCell ref="C329:D329"/>
    <mergeCell ref="C337:D337"/>
    <mergeCell ref="B338:D338"/>
    <mergeCell ref="B1:F1"/>
    <mergeCell ref="G7:G8"/>
    <mergeCell ref="B7:B8"/>
    <mergeCell ref="B2:Q2"/>
    <mergeCell ref="B3:Q3"/>
    <mergeCell ref="J7:N7"/>
    <mergeCell ref="D7:D8"/>
    <mergeCell ref="B4:Q4"/>
    <mergeCell ref="P5:Q5"/>
    <mergeCell ref="C7:C8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60" r:id="rId1"/>
  <rowBreaks count="1" manualBreakCount="1">
    <brk id="22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N759"/>
  <sheetViews>
    <sheetView view="pageBreakPreview" zoomScale="85" zoomScaleNormal="75" zoomScaleSheetLayoutView="85" workbookViewId="0" topLeftCell="A1">
      <selection activeCell="B1" sqref="B1:D1"/>
    </sheetView>
  </sheetViews>
  <sheetFormatPr defaultColWidth="9.00390625" defaultRowHeight="12.75"/>
  <cols>
    <col min="1" max="1" width="3.75390625" style="1044" bestFit="1" customWidth="1"/>
    <col min="2" max="2" width="4.75390625" style="28" bestFit="1" customWidth="1"/>
    <col min="3" max="3" width="4.00390625" style="28" bestFit="1" customWidth="1"/>
    <col min="4" max="4" width="85.75390625" style="162" customWidth="1"/>
    <col min="5" max="5" width="5.375" style="60" customWidth="1"/>
    <col min="6" max="6" width="11.75390625" style="162" customWidth="1"/>
    <col min="7" max="7" width="11.75390625" style="610" customWidth="1"/>
    <col min="8" max="8" width="11.75390625" style="162" customWidth="1"/>
    <col min="9" max="9" width="12.75390625" style="79" customWidth="1"/>
    <col min="10" max="14" width="12.75390625" style="619" customWidth="1"/>
    <col min="15" max="16384" width="9.125" style="162" customWidth="1"/>
  </cols>
  <sheetData>
    <row r="1" spans="2:14" ht="17.25">
      <c r="B1" s="1397" t="s">
        <v>802</v>
      </c>
      <c r="C1" s="1397"/>
      <c r="D1" s="1397"/>
      <c r="H1" s="1402"/>
      <c r="I1" s="1402"/>
      <c r="J1" s="159"/>
      <c r="K1" s="159"/>
      <c r="L1" s="159"/>
      <c r="M1" s="159"/>
      <c r="N1" s="159"/>
    </row>
    <row r="2" spans="2:14" ht="17.25">
      <c r="B2" s="1395" t="s">
        <v>1010</v>
      </c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</row>
    <row r="3" spans="4:14" ht="17.25">
      <c r="D3" s="611"/>
      <c r="E3" s="161"/>
      <c r="I3" s="162"/>
      <c r="J3" s="159"/>
      <c r="K3" s="159"/>
      <c r="L3" s="159"/>
      <c r="M3" s="1402" t="s">
        <v>861</v>
      </c>
      <c r="N3" s="1402"/>
    </row>
    <row r="4" spans="1:14" s="60" customFormat="1" ht="17.25" thickBot="1">
      <c r="A4" s="1044"/>
      <c r="B4" s="28" t="s">
        <v>873</v>
      </c>
      <c r="C4" s="508" t="s">
        <v>874</v>
      </c>
      <c r="D4" s="67" t="s">
        <v>875</v>
      </c>
      <c r="E4" s="67" t="s">
        <v>876</v>
      </c>
      <c r="F4" s="60" t="s">
        <v>877</v>
      </c>
      <c r="G4" s="60" t="s">
        <v>878</v>
      </c>
      <c r="H4" s="60" t="s">
        <v>879</v>
      </c>
      <c r="I4" s="67" t="s">
        <v>518</v>
      </c>
      <c r="J4" s="67" t="s">
        <v>519</v>
      </c>
      <c r="K4" s="67" t="s">
        <v>465</v>
      </c>
      <c r="L4" s="67" t="s">
        <v>466</v>
      </c>
      <c r="M4" s="67" t="s">
        <v>467</v>
      </c>
      <c r="N4" s="67" t="s">
        <v>468</v>
      </c>
    </row>
    <row r="5" spans="1:14" s="158" customFormat="1" ht="15">
      <c r="A5" s="1058"/>
      <c r="B5" s="1398" t="s">
        <v>391</v>
      </c>
      <c r="C5" s="1405" t="s">
        <v>1184</v>
      </c>
      <c r="D5" s="1400" t="s">
        <v>862</v>
      </c>
      <c r="E5" s="1413" t="s">
        <v>401</v>
      </c>
      <c r="F5" s="1407" t="s">
        <v>941</v>
      </c>
      <c r="G5" s="1407" t="s">
        <v>929</v>
      </c>
      <c r="H5" s="1411" t="s">
        <v>585</v>
      </c>
      <c r="I5" s="1403" t="s">
        <v>880</v>
      </c>
      <c r="J5" s="1409" t="s">
        <v>497</v>
      </c>
      <c r="K5" s="1409"/>
      <c r="L5" s="1409"/>
      <c r="M5" s="1409"/>
      <c r="N5" s="1410"/>
    </row>
    <row r="6" spans="1:14" s="158" customFormat="1" ht="45.75" thickBot="1">
      <c r="A6" s="1058"/>
      <c r="B6" s="1399"/>
      <c r="C6" s="1406"/>
      <c r="D6" s="1401"/>
      <c r="E6" s="1414"/>
      <c r="F6" s="1408"/>
      <c r="G6" s="1408"/>
      <c r="H6" s="1412"/>
      <c r="I6" s="1404"/>
      <c r="J6" s="175" t="s">
        <v>476</v>
      </c>
      <c r="K6" s="175" t="s">
        <v>474</v>
      </c>
      <c r="L6" s="175" t="s">
        <v>477</v>
      </c>
      <c r="M6" s="175" t="s">
        <v>496</v>
      </c>
      <c r="N6" s="632" t="s">
        <v>478</v>
      </c>
    </row>
    <row r="7" spans="1:14" s="60" customFormat="1" ht="24" customHeight="1" thickTop="1">
      <c r="A7" s="1044">
        <v>1</v>
      </c>
      <c r="B7" s="504">
        <v>18</v>
      </c>
      <c r="C7" s="505">
        <v>1</v>
      </c>
      <c r="D7" s="506" t="s">
        <v>582</v>
      </c>
      <c r="E7" s="507" t="s">
        <v>466</v>
      </c>
      <c r="F7" s="620">
        <v>775</v>
      </c>
      <c r="G7" s="620">
        <v>2000</v>
      </c>
      <c r="H7" s="664">
        <v>635</v>
      </c>
      <c r="I7" s="674"/>
      <c r="J7" s="413"/>
      <c r="K7" s="413"/>
      <c r="L7" s="413"/>
      <c r="M7" s="413"/>
      <c r="N7" s="424"/>
    </row>
    <row r="8" spans="1:14" s="60" customFormat="1" ht="16.5">
      <c r="A8" s="1044">
        <v>2</v>
      </c>
      <c r="B8" s="504"/>
      <c r="C8" s="505"/>
      <c r="D8" s="506" t="s">
        <v>1168</v>
      </c>
      <c r="E8" s="507"/>
      <c r="F8" s="509"/>
      <c r="G8" s="509"/>
      <c r="H8" s="665"/>
      <c r="I8" s="675">
        <f>SUM(J8:N8)</f>
        <v>5000</v>
      </c>
      <c r="J8" s="170">
        <v>500</v>
      </c>
      <c r="K8" s="170">
        <v>200</v>
      </c>
      <c r="L8" s="170">
        <v>1800</v>
      </c>
      <c r="M8" s="170"/>
      <c r="N8" s="414">
        <v>2500</v>
      </c>
    </row>
    <row r="9" spans="1:14" s="412" customFormat="1" ht="17.25">
      <c r="A9" s="1044">
        <v>3</v>
      </c>
      <c r="B9" s="621"/>
      <c r="C9" s="622"/>
      <c r="D9" s="623" t="s">
        <v>1170</v>
      </c>
      <c r="E9" s="624"/>
      <c r="F9" s="511"/>
      <c r="G9" s="511"/>
      <c r="H9" s="666"/>
      <c r="I9" s="676">
        <f aca="true" t="shared" si="0" ref="I9:I76">SUM(J9:N9)</f>
        <v>0</v>
      </c>
      <c r="J9" s="417"/>
      <c r="K9" s="417"/>
      <c r="L9" s="417"/>
      <c r="M9" s="417"/>
      <c r="N9" s="418"/>
    </row>
    <row r="10" spans="1:14" s="59" customFormat="1" ht="17.25">
      <c r="A10" s="1044">
        <v>4</v>
      </c>
      <c r="B10" s="422"/>
      <c r="C10" s="423"/>
      <c r="D10" s="419" t="s">
        <v>1169</v>
      </c>
      <c r="E10" s="420"/>
      <c r="F10" s="510"/>
      <c r="G10" s="510"/>
      <c r="H10" s="667"/>
      <c r="I10" s="677">
        <f t="shared" si="0"/>
        <v>5000</v>
      </c>
      <c r="J10" s="510">
        <f>SUM(J8:J9)</f>
        <v>500</v>
      </c>
      <c r="K10" s="510">
        <f>SUM(K8:K9)</f>
        <v>200</v>
      </c>
      <c r="L10" s="510">
        <f>SUM(L8:L9)</f>
        <v>1800</v>
      </c>
      <c r="M10" s="510">
        <f>SUM(M8:M9)</f>
        <v>0</v>
      </c>
      <c r="N10" s="637">
        <f>SUM(N8:N9)</f>
        <v>2500</v>
      </c>
    </row>
    <row r="11" spans="1:14" s="60" customFormat="1" ht="24" customHeight="1">
      <c r="A11" s="1044">
        <v>5</v>
      </c>
      <c r="B11" s="172"/>
      <c r="C11" s="167">
        <v>2</v>
      </c>
      <c r="D11" s="168" t="s">
        <v>791</v>
      </c>
      <c r="E11" s="169" t="s">
        <v>466</v>
      </c>
      <c r="F11" s="509">
        <v>4719</v>
      </c>
      <c r="G11" s="509">
        <v>8000</v>
      </c>
      <c r="H11" s="665">
        <v>6813</v>
      </c>
      <c r="I11" s="675"/>
      <c r="J11" s="169"/>
      <c r="K11" s="169"/>
      <c r="L11" s="169"/>
      <c r="M11" s="169"/>
      <c r="N11" s="638"/>
    </row>
    <row r="12" spans="1:14" s="60" customFormat="1" ht="16.5">
      <c r="A12" s="1044">
        <v>6</v>
      </c>
      <c r="B12" s="172"/>
      <c r="C12" s="167"/>
      <c r="D12" s="168" t="s">
        <v>1168</v>
      </c>
      <c r="E12" s="169"/>
      <c r="F12" s="509"/>
      <c r="G12" s="509"/>
      <c r="H12" s="665"/>
      <c r="I12" s="675">
        <f t="shared" si="0"/>
        <v>4000</v>
      </c>
      <c r="J12" s="170"/>
      <c r="K12" s="170"/>
      <c r="L12" s="170">
        <v>2500</v>
      </c>
      <c r="M12" s="170"/>
      <c r="N12" s="414">
        <v>1500</v>
      </c>
    </row>
    <row r="13" spans="1:14" s="412" customFormat="1" ht="17.25">
      <c r="A13" s="1044">
        <v>7</v>
      </c>
      <c r="B13" s="174"/>
      <c r="C13" s="421"/>
      <c r="D13" s="415" t="s">
        <v>1170</v>
      </c>
      <c r="E13" s="416"/>
      <c r="F13" s="511"/>
      <c r="G13" s="511"/>
      <c r="H13" s="666"/>
      <c r="I13" s="676">
        <f t="shared" si="0"/>
        <v>-700</v>
      </c>
      <c r="J13" s="417"/>
      <c r="K13" s="417"/>
      <c r="L13" s="417"/>
      <c r="M13" s="417"/>
      <c r="N13" s="418">
        <v>-700</v>
      </c>
    </row>
    <row r="14" spans="1:14" s="59" customFormat="1" ht="17.25">
      <c r="A14" s="1044">
        <v>8</v>
      </c>
      <c r="B14" s="422"/>
      <c r="C14" s="423"/>
      <c r="D14" s="419" t="s">
        <v>1169</v>
      </c>
      <c r="E14" s="420"/>
      <c r="F14" s="510"/>
      <c r="G14" s="510"/>
      <c r="H14" s="667"/>
      <c r="I14" s="677">
        <f t="shared" si="0"/>
        <v>3300</v>
      </c>
      <c r="J14" s="510">
        <f>SUM(J12:J13)</f>
        <v>0</v>
      </c>
      <c r="K14" s="510">
        <f>SUM(K12:K13)</f>
        <v>0</v>
      </c>
      <c r="L14" s="510">
        <f>SUM(L12:L13)</f>
        <v>2500</v>
      </c>
      <c r="M14" s="510">
        <f>SUM(M12:M13)</f>
        <v>0</v>
      </c>
      <c r="N14" s="637">
        <f>SUM(N12:N13)</f>
        <v>800</v>
      </c>
    </row>
    <row r="15" spans="1:14" s="60" customFormat="1" ht="24" customHeight="1">
      <c r="A15" s="1044">
        <v>9</v>
      </c>
      <c r="B15" s="172"/>
      <c r="C15" s="167">
        <v>3</v>
      </c>
      <c r="D15" s="168" t="s">
        <v>891</v>
      </c>
      <c r="E15" s="169" t="s">
        <v>466</v>
      </c>
      <c r="F15" s="509">
        <v>800</v>
      </c>
      <c r="G15" s="509">
        <v>8000</v>
      </c>
      <c r="H15" s="665">
        <v>9050</v>
      </c>
      <c r="I15" s="675"/>
      <c r="J15" s="169"/>
      <c r="K15" s="169"/>
      <c r="L15" s="169"/>
      <c r="M15" s="169"/>
      <c r="N15" s="638"/>
    </row>
    <row r="16" spans="1:14" s="60" customFormat="1" ht="16.5">
      <c r="A16" s="1044">
        <v>10</v>
      </c>
      <c r="B16" s="172"/>
      <c r="C16" s="167"/>
      <c r="D16" s="168" t="s">
        <v>1168</v>
      </c>
      <c r="E16" s="169"/>
      <c r="F16" s="509"/>
      <c r="G16" s="509"/>
      <c r="H16" s="665"/>
      <c r="I16" s="675">
        <f t="shared" si="0"/>
        <v>8000</v>
      </c>
      <c r="J16" s="170"/>
      <c r="K16" s="170"/>
      <c r="L16" s="170"/>
      <c r="M16" s="170"/>
      <c r="N16" s="414">
        <v>8000</v>
      </c>
    </row>
    <row r="17" spans="1:14" s="412" customFormat="1" ht="17.25">
      <c r="A17" s="1044">
        <v>11</v>
      </c>
      <c r="B17" s="174"/>
      <c r="C17" s="421"/>
      <c r="D17" s="415" t="s">
        <v>1170</v>
      </c>
      <c r="E17" s="416"/>
      <c r="F17" s="511"/>
      <c r="G17" s="511"/>
      <c r="H17" s="666"/>
      <c r="I17" s="676">
        <f t="shared" si="0"/>
        <v>0</v>
      </c>
      <c r="J17" s="417"/>
      <c r="K17" s="417"/>
      <c r="L17" s="417"/>
      <c r="M17" s="417"/>
      <c r="N17" s="418"/>
    </row>
    <row r="18" spans="1:14" s="59" customFormat="1" ht="17.25">
      <c r="A18" s="1044">
        <v>12</v>
      </c>
      <c r="B18" s="422"/>
      <c r="C18" s="423"/>
      <c r="D18" s="419" t="s">
        <v>1169</v>
      </c>
      <c r="E18" s="420"/>
      <c r="F18" s="510"/>
      <c r="G18" s="510"/>
      <c r="H18" s="667"/>
      <c r="I18" s="677">
        <f t="shared" si="0"/>
        <v>8000</v>
      </c>
      <c r="J18" s="510">
        <f>SUM(J16:J17)</f>
        <v>0</v>
      </c>
      <c r="K18" s="510">
        <f>SUM(K16:K17)</f>
        <v>0</v>
      </c>
      <c r="L18" s="510">
        <f>SUM(L16:L17)</f>
        <v>0</v>
      </c>
      <c r="M18" s="510">
        <f>SUM(M16:M17)</f>
        <v>0</v>
      </c>
      <c r="N18" s="637">
        <f>SUM(N16:N17)</f>
        <v>8000</v>
      </c>
    </row>
    <row r="19" spans="1:14" s="60" customFormat="1" ht="24" customHeight="1">
      <c r="A19" s="1044">
        <v>13</v>
      </c>
      <c r="B19" s="172"/>
      <c r="C19" s="167">
        <v>4</v>
      </c>
      <c r="D19" s="168" t="s">
        <v>916</v>
      </c>
      <c r="E19" s="169" t="s">
        <v>400</v>
      </c>
      <c r="F19" s="509">
        <v>4834</v>
      </c>
      <c r="G19" s="509">
        <v>5000</v>
      </c>
      <c r="H19" s="665">
        <v>6175</v>
      </c>
      <c r="I19" s="675"/>
      <c r="J19" s="169"/>
      <c r="K19" s="169"/>
      <c r="L19" s="169"/>
      <c r="M19" s="169"/>
      <c r="N19" s="638"/>
    </row>
    <row r="20" spans="1:14" s="60" customFormat="1" ht="16.5">
      <c r="A20" s="1044">
        <v>14</v>
      </c>
      <c r="B20" s="172"/>
      <c r="C20" s="167"/>
      <c r="D20" s="168" t="s">
        <v>1168</v>
      </c>
      <c r="E20" s="169"/>
      <c r="F20" s="509"/>
      <c r="G20" s="509"/>
      <c r="H20" s="665"/>
      <c r="I20" s="675">
        <f t="shared" si="0"/>
        <v>6000</v>
      </c>
      <c r="J20" s="170"/>
      <c r="K20" s="170"/>
      <c r="L20" s="170">
        <v>6000</v>
      </c>
      <c r="M20" s="170"/>
      <c r="N20" s="414"/>
    </row>
    <row r="21" spans="1:14" s="412" customFormat="1" ht="17.25">
      <c r="A21" s="1044">
        <v>15</v>
      </c>
      <c r="B21" s="174"/>
      <c r="C21" s="421"/>
      <c r="D21" s="415" t="s">
        <v>766</v>
      </c>
      <c r="E21" s="416"/>
      <c r="F21" s="511"/>
      <c r="G21" s="511"/>
      <c r="H21" s="666"/>
      <c r="I21" s="676">
        <f t="shared" si="0"/>
        <v>2470</v>
      </c>
      <c r="J21" s="417"/>
      <c r="K21" s="417"/>
      <c r="L21" s="417">
        <v>2470</v>
      </c>
      <c r="M21" s="417"/>
      <c r="N21" s="418"/>
    </row>
    <row r="22" spans="1:14" s="59" customFormat="1" ht="17.25">
      <c r="A22" s="1044">
        <v>16</v>
      </c>
      <c r="B22" s="422"/>
      <c r="C22" s="423"/>
      <c r="D22" s="419" t="s">
        <v>1169</v>
      </c>
      <c r="E22" s="420"/>
      <c r="F22" s="510"/>
      <c r="G22" s="510"/>
      <c r="H22" s="667"/>
      <c r="I22" s="677">
        <f t="shared" si="0"/>
        <v>8470</v>
      </c>
      <c r="J22" s="510">
        <f>SUM(J20:J21)</f>
        <v>0</v>
      </c>
      <c r="K22" s="510">
        <f>SUM(K20:K21)</f>
        <v>0</v>
      </c>
      <c r="L22" s="510">
        <f>SUM(L20:L21)</f>
        <v>8470</v>
      </c>
      <c r="M22" s="510">
        <f>SUM(M20:M21)</f>
        <v>0</v>
      </c>
      <c r="N22" s="637">
        <f>SUM(N20:N21)</f>
        <v>0</v>
      </c>
    </row>
    <row r="23" spans="1:14" s="60" customFormat="1" ht="24" customHeight="1">
      <c r="A23" s="1044">
        <v>17</v>
      </c>
      <c r="B23" s="172"/>
      <c r="C23" s="167">
        <v>5</v>
      </c>
      <c r="D23" s="168" t="s">
        <v>919</v>
      </c>
      <c r="E23" s="169" t="s">
        <v>400</v>
      </c>
      <c r="F23" s="509">
        <v>6079</v>
      </c>
      <c r="G23" s="509">
        <v>5000</v>
      </c>
      <c r="H23" s="665">
        <v>5434</v>
      </c>
      <c r="I23" s="675"/>
      <c r="J23" s="169"/>
      <c r="K23" s="169"/>
      <c r="L23" s="169"/>
      <c r="M23" s="169"/>
      <c r="N23" s="638"/>
    </row>
    <row r="24" spans="1:14" s="60" customFormat="1" ht="16.5">
      <c r="A24" s="1044">
        <v>18</v>
      </c>
      <c r="B24" s="172"/>
      <c r="C24" s="167"/>
      <c r="D24" s="168" t="s">
        <v>1168</v>
      </c>
      <c r="E24" s="169"/>
      <c r="F24" s="509"/>
      <c r="G24" s="509"/>
      <c r="H24" s="665"/>
      <c r="I24" s="675">
        <f t="shared" si="0"/>
        <v>8000</v>
      </c>
      <c r="J24" s="170"/>
      <c r="K24" s="170"/>
      <c r="L24" s="170">
        <v>8000</v>
      </c>
      <c r="M24" s="170"/>
      <c r="N24" s="414"/>
    </row>
    <row r="25" spans="1:14" s="412" customFormat="1" ht="17.25">
      <c r="A25" s="1044">
        <v>19</v>
      </c>
      <c r="B25" s="174"/>
      <c r="C25" s="421"/>
      <c r="D25" s="415" t="s">
        <v>1170</v>
      </c>
      <c r="E25" s="416"/>
      <c r="F25" s="511"/>
      <c r="G25" s="511"/>
      <c r="H25" s="666"/>
      <c r="I25" s="676">
        <f t="shared" si="0"/>
        <v>0</v>
      </c>
      <c r="J25" s="417"/>
      <c r="K25" s="417"/>
      <c r="L25" s="417"/>
      <c r="M25" s="417"/>
      <c r="N25" s="418"/>
    </row>
    <row r="26" spans="1:14" s="59" customFormat="1" ht="17.25">
      <c r="A26" s="1044">
        <v>20</v>
      </c>
      <c r="B26" s="422"/>
      <c r="C26" s="423"/>
      <c r="D26" s="419" t="s">
        <v>1169</v>
      </c>
      <c r="E26" s="420"/>
      <c r="F26" s="510"/>
      <c r="G26" s="510"/>
      <c r="H26" s="667"/>
      <c r="I26" s="677">
        <f t="shared" si="0"/>
        <v>8000</v>
      </c>
      <c r="J26" s="510">
        <f>SUM(J24:J25)</f>
        <v>0</v>
      </c>
      <c r="K26" s="510">
        <f>SUM(K24:K25)</f>
        <v>0</v>
      </c>
      <c r="L26" s="510">
        <f>SUM(L24:L25)</f>
        <v>8000</v>
      </c>
      <c r="M26" s="510">
        <f>SUM(M24:M25)</f>
        <v>0</v>
      </c>
      <c r="N26" s="637">
        <f>SUM(N24:N25)</f>
        <v>0</v>
      </c>
    </row>
    <row r="27" spans="1:14" s="60" customFormat="1" ht="24" customHeight="1">
      <c r="A27" s="1044">
        <v>21</v>
      </c>
      <c r="B27" s="172"/>
      <c r="C27" s="167">
        <v>6</v>
      </c>
      <c r="D27" s="168" t="s">
        <v>917</v>
      </c>
      <c r="E27" s="169" t="s">
        <v>400</v>
      </c>
      <c r="F27" s="509">
        <v>7820</v>
      </c>
      <c r="G27" s="509">
        <v>5500</v>
      </c>
      <c r="H27" s="665">
        <v>8587</v>
      </c>
      <c r="I27" s="675"/>
      <c r="J27" s="169"/>
      <c r="K27" s="169"/>
      <c r="L27" s="169"/>
      <c r="M27" s="169"/>
      <c r="N27" s="638"/>
    </row>
    <row r="28" spans="1:14" s="60" customFormat="1" ht="16.5">
      <c r="A28" s="1044">
        <v>22</v>
      </c>
      <c r="B28" s="172"/>
      <c r="C28" s="167"/>
      <c r="D28" s="168" t="s">
        <v>1168</v>
      </c>
      <c r="E28" s="169"/>
      <c r="F28" s="509"/>
      <c r="G28" s="509"/>
      <c r="H28" s="665"/>
      <c r="I28" s="675">
        <f t="shared" si="0"/>
        <v>7000</v>
      </c>
      <c r="J28" s="170">
        <v>2800</v>
      </c>
      <c r="K28" s="170">
        <v>2000</v>
      </c>
      <c r="L28" s="170">
        <v>2200</v>
      </c>
      <c r="M28" s="170"/>
      <c r="N28" s="414"/>
    </row>
    <row r="29" spans="1:14" s="412" customFormat="1" ht="17.25">
      <c r="A29" s="1044">
        <v>23</v>
      </c>
      <c r="B29" s="174"/>
      <c r="C29" s="421"/>
      <c r="D29" s="415" t="s">
        <v>618</v>
      </c>
      <c r="E29" s="416"/>
      <c r="F29" s="511"/>
      <c r="G29" s="511"/>
      <c r="H29" s="666"/>
      <c r="I29" s="676">
        <f t="shared" si="0"/>
        <v>1200</v>
      </c>
      <c r="J29" s="417"/>
      <c r="K29" s="417"/>
      <c r="L29" s="417">
        <v>1200</v>
      </c>
      <c r="M29" s="417"/>
      <c r="N29" s="418"/>
    </row>
    <row r="30" spans="1:14" s="59" customFormat="1" ht="17.25">
      <c r="A30" s="1044">
        <v>24</v>
      </c>
      <c r="B30" s="422"/>
      <c r="C30" s="423"/>
      <c r="D30" s="419" t="s">
        <v>1169</v>
      </c>
      <c r="E30" s="420"/>
      <c r="F30" s="510"/>
      <c r="G30" s="510"/>
      <c r="H30" s="667"/>
      <c r="I30" s="677">
        <f t="shared" si="0"/>
        <v>8200</v>
      </c>
      <c r="J30" s="510">
        <f>SUM(J28:J29)</f>
        <v>2800</v>
      </c>
      <c r="K30" s="510">
        <f>SUM(K28:K29)</f>
        <v>2000</v>
      </c>
      <c r="L30" s="510">
        <f>SUM(L28:L29)</f>
        <v>3400</v>
      </c>
      <c r="M30" s="510">
        <f>SUM(M28:M29)</f>
        <v>0</v>
      </c>
      <c r="N30" s="637">
        <f>SUM(N28:N29)</f>
        <v>0</v>
      </c>
    </row>
    <row r="31" spans="1:14" s="60" customFormat="1" ht="24" customHeight="1">
      <c r="A31" s="1044">
        <v>25</v>
      </c>
      <c r="B31" s="172"/>
      <c r="C31" s="167">
        <v>7</v>
      </c>
      <c r="D31" s="168" t="s">
        <v>918</v>
      </c>
      <c r="E31" s="169" t="s">
        <v>400</v>
      </c>
      <c r="F31" s="509">
        <v>196</v>
      </c>
      <c r="G31" s="509">
        <v>1000</v>
      </c>
      <c r="H31" s="665">
        <v>3385</v>
      </c>
      <c r="I31" s="675"/>
      <c r="J31" s="169"/>
      <c r="K31" s="169"/>
      <c r="L31" s="169"/>
      <c r="M31" s="169"/>
      <c r="N31" s="638"/>
    </row>
    <row r="32" spans="1:14" s="60" customFormat="1" ht="16.5">
      <c r="A32" s="1044">
        <v>26</v>
      </c>
      <c r="B32" s="172"/>
      <c r="C32" s="167"/>
      <c r="D32" s="168" t="s">
        <v>1168</v>
      </c>
      <c r="E32" s="169"/>
      <c r="F32" s="509"/>
      <c r="G32" s="509"/>
      <c r="H32" s="665"/>
      <c r="I32" s="675">
        <f t="shared" si="0"/>
        <v>2000</v>
      </c>
      <c r="J32" s="170"/>
      <c r="K32" s="170"/>
      <c r="L32" s="170"/>
      <c r="M32" s="170"/>
      <c r="N32" s="414">
        <v>2000</v>
      </c>
    </row>
    <row r="33" spans="1:14" s="412" customFormat="1" ht="17.25">
      <c r="A33" s="1044">
        <v>27</v>
      </c>
      <c r="B33" s="174"/>
      <c r="C33" s="421"/>
      <c r="D33" s="415" t="s">
        <v>768</v>
      </c>
      <c r="E33" s="416"/>
      <c r="F33" s="511"/>
      <c r="G33" s="511"/>
      <c r="H33" s="666"/>
      <c r="I33" s="676">
        <f t="shared" si="0"/>
        <v>1500</v>
      </c>
      <c r="J33" s="417"/>
      <c r="K33" s="417"/>
      <c r="L33" s="417"/>
      <c r="M33" s="417"/>
      <c r="N33" s="418">
        <v>1500</v>
      </c>
    </row>
    <row r="34" spans="1:14" s="59" customFormat="1" ht="17.25">
      <c r="A34" s="1044">
        <v>28</v>
      </c>
      <c r="B34" s="422"/>
      <c r="C34" s="423"/>
      <c r="D34" s="419" t="s">
        <v>1169</v>
      </c>
      <c r="E34" s="420"/>
      <c r="F34" s="510"/>
      <c r="G34" s="510"/>
      <c r="H34" s="667"/>
      <c r="I34" s="677">
        <f t="shared" si="0"/>
        <v>3500</v>
      </c>
      <c r="J34" s="510">
        <f>SUM(J32:J33)</f>
        <v>0</v>
      </c>
      <c r="K34" s="510">
        <f>SUM(K32:K33)</f>
        <v>0</v>
      </c>
      <c r="L34" s="510">
        <f>SUM(L32:L33)</f>
        <v>0</v>
      </c>
      <c r="M34" s="510">
        <f>SUM(M32:M33)</f>
        <v>0</v>
      </c>
      <c r="N34" s="637">
        <f>SUM(N32:N33)</f>
        <v>3500</v>
      </c>
    </row>
    <row r="35" spans="1:14" s="60" customFormat="1" ht="24" customHeight="1">
      <c r="A35" s="1044">
        <v>29</v>
      </c>
      <c r="B35" s="172"/>
      <c r="C35" s="167">
        <v>8</v>
      </c>
      <c r="D35" s="168" t="s">
        <v>1</v>
      </c>
      <c r="E35" s="169" t="s">
        <v>400</v>
      </c>
      <c r="F35" s="509">
        <f>SUM(F39:F51)</f>
        <v>32696</v>
      </c>
      <c r="G35" s="509">
        <f>SUM(G39:G51)</f>
        <v>35000</v>
      </c>
      <c r="H35" s="665">
        <f>SUM(H39:H51)</f>
        <v>29933</v>
      </c>
      <c r="I35" s="675"/>
      <c r="J35" s="169"/>
      <c r="K35" s="169"/>
      <c r="L35" s="169"/>
      <c r="M35" s="169"/>
      <c r="N35" s="638"/>
    </row>
    <row r="36" spans="1:14" s="60" customFormat="1" ht="16.5">
      <c r="A36" s="1044">
        <v>30</v>
      </c>
      <c r="B36" s="172"/>
      <c r="C36" s="167"/>
      <c r="D36" s="168" t="s">
        <v>1168</v>
      </c>
      <c r="E36" s="169"/>
      <c r="F36" s="509"/>
      <c r="G36" s="509"/>
      <c r="H36" s="665"/>
      <c r="I36" s="675">
        <f t="shared" si="0"/>
        <v>42300</v>
      </c>
      <c r="J36" s="509">
        <f aca="true" t="shared" si="1" ref="J36:N37">SUM(J40,J44,J48,J52,J56)</f>
        <v>0</v>
      </c>
      <c r="K36" s="509">
        <f t="shared" si="1"/>
        <v>0</v>
      </c>
      <c r="L36" s="509">
        <f t="shared" si="1"/>
        <v>10300</v>
      </c>
      <c r="M36" s="509">
        <f t="shared" si="1"/>
        <v>0</v>
      </c>
      <c r="N36" s="634">
        <f t="shared" si="1"/>
        <v>32000</v>
      </c>
    </row>
    <row r="37" spans="1:14" s="412" customFormat="1" ht="17.25">
      <c r="A37" s="1044">
        <v>31</v>
      </c>
      <c r="B37" s="174"/>
      <c r="C37" s="421"/>
      <c r="D37" s="415" t="s">
        <v>1170</v>
      </c>
      <c r="E37" s="416"/>
      <c r="F37" s="511"/>
      <c r="G37" s="511"/>
      <c r="H37" s="666"/>
      <c r="I37" s="676">
        <f t="shared" si="0"/>
        <v>0</v>
      </c>
      <c r="J37" s="511">
        <f t="shared" si="1"/>
        <v>0</v>
      </c>
      <c r="K37" s="511">
        <f t="shared" si="1"/>
        <v>0</v>
      </c>
      <c r="L37" s="511">
        <f t="shared" si="1"/>
        <v>0</v>
      </c>
      <c r="M37" s="511">
        <f t="shared" si="1"/>
        <v>0</v>
      </c>
      <c r="N37" s="635">
        <f t="shared" si="1"/>
        <v>0</v>
      </c>
    </row>
    <row r="38" spans="1:14" s="59" customFormat="1" ht="17.25">
      <c r="A38" s="1044">
        <v>32</v>
      </c>
      <c r="B38" s="422"/>
      <c r="C38" s="423"/>
      <c r="D38" s="419" t="s">
        <v>1169</v>
      </c>
      <c r="E38" s="420"/>
      <c r="F38" s="510"/>
      <c r="G38" s="510"/>
      <c r="H38" s="667"/>
      <c r="I38" s="677">
        <f t="shared" si="0"/>
        <v>42300</v>
      </c>
      <c r="J38" s="510">
        <f>SUM(J36:J37)</f>
        <v>0</v>
      </c>
      <c r="K38" s="510">
        <f>SUM(K36:K37)</f>
        <v>0</v>
      </c>
      <c r="L38" s="510">
        <f>SUM(L36:L37)</f>
        <v>10300</v>
      </c>
      <c r="M38" s="510">
        <f>SUM(M36:M37)</f>
        <v>0</v>
      </c>
      <c r="N38" s="637">
        <f>SUM(N36:N37)</f>
        <v>32000</v>
      </c>
    </row>
    <row r="39" spans="1:14" s="60" customFormat="1" ht="17.25">
      <c r="A39" s="1044">
        <v>33</v>
      </c>
      <c r="B39" s="172"/>
      <c r="C39" s="167"/>
      <c r="D39" s="415" t="s">
        <v>521</v>
      </c>
      <c r="E39" s="416"/>
      <c r="F39" s="511">
        <v>22000</v>
      </c>
      <c r="G39" s="511">
        <v>20000</v>
      </c>
      <c r="H39" s="666">
        <v>20000</v>
      </c>
      <c r="I39" s="676"/>
      <c r="J39" s="417"/>
      <c r="K39" s="417"/>
      <c r="L39" s="417"/>
      <c r="M39" s="417"/>
      <c r="N39" s="418"/>
    </row>
    <row r="40" spans="1:14" s="60" customFormat="1" ht="17.25">
      <c r="A40" s="1044">
        <v>34</v>
      </c>
      <c r="B40" s="172"/>
      <c r="C40" s="167"/>
      <c r="D40" s="626" t="s">
        <v>1168</v>
      </c>
      <c r="E40" s="416"/>
      <c r="F40" s="511"/>
      <c r="G40" s="511"/>
      <c r="H40" s="666"/>
      <c r="I40" s="676">
        <f t="shared" si="0"/>
        <v>22000</v>
      </c>
      <c r="J40" s="417"/>
      <c r="K40" s="417"/>
      <c r="L40" s="417"/>
      <c r="M40" s="417"/>
      <c r="N40" s="418">
        <v>22000</v>
      </c>
    </row>
    <row r="41" spans="1:14" s="412" customFormat="1" ht="17.25">
      <c r="A41" s="1044">
        <v>35</v>
      </c>
      <c r="B41" s="174"/>
      <c r="C41" s="421"/>
      <c r="D41" s="627" t="s">
        <v>1170</v>
      </c>
      <c r="E41" s="416"/>
      <c r="F41" s="511"/>
      <c r="G41" s="511"/>
      <c r="H41" s="666"/>
      <c r="I41" s="676">
        <f t="shared" si="0"/>
        <v>0</v>
      </c>
      <c r="J41" s="417"/>
      <c r="K41" s="417"/>
      <c r="L41" s="417"/>
      <c r="M41" s="417"/>
      <c r="N41" s="418"/>
    </row>
    <row r="42" spans="1:14" s="59" customFormat="1" ht="17.25">
      <c r="A42" s="1044">
        <v>36</v>
      </c>
      <c r="B42" s="422"/>
      <c r="C42" s="423"/>
      <c r="D42" s="625" t="s">
        <v>1169</v>
      </c>
      <c r="E42" s="633"/>
      <c r="F42" s="512"/>
      <c r="G42" s="512"/>
      <c r="H42" s="668"/>
      <c r="I42" s="678">
        <f t="shared" si="0"/>
        <v>22000</v>
      </c>
      <c r="J42" s="512">
        <f>SUM(J40:J41)</f>
        <v>0</v>
      </c>
      <c r="K42" s="512">
        <f>SUM(K40:K41)</f>
        <v>0</v>
      </c>
      <c r="L42" s="512">
        <f>SUM(L40:L41)</f>
        <v>0</v>
      </c>
      <c r="M42" s="512">
        <f>SUM(M40:M41)</f>
        <v>0</v>
      </c>
      <c r="N42" s="639">
        <f>SUM(N40:N41)</f>
        <v>22000</v>
      </c>
    </row>
    <row r="43" spans="1:14" s="60" customFormat="1" ht="17.25">
      <c r="A43" s="1044">
        <v>37</v>
      </c>
      <c r="B43" s="172"/>
      <c r="C43" s="167"/>
      <c r="D43" s="415" t="s">
        <v>583</v>
      </c>
      <c r="E43" s="416"/>
      <c r="F43" s="511">
        <v>696</v>
      </c>
      <c r="G43" s="511">
        <v>6000</v>
      </c>
      <c r="H43" s="666">
        <v>933</v>
      </c>
      <c r="I43" s="676"/>
      <c r="J43" s="417"/>
      <c r="K43" s="417"/>
      <c r="L43" s="417"/>
      <c r="M43" s="417"/>
      <c r="N43" s="418"/>
    </row>
    <row r="44" spans="1:14" s="60" customFormat="1" ht="17.25">
      <c r="A44" s="1044">
        <v>38</v>
      </c>
      <c r="B44" s="172"/>
      <c r="C44" s="167"/>
      <c r="D44" s="626" t="s">
        <v>1168</v>
      </c>
      <c r="E44" s="416"/>
      <c r="F44" s="511"/>
      <c r="G44" s="511"/>
      <c r="H44" s="666"/>
      <c r="I44" s="676">
        <f t="shared" si="0"/>
        <v>8300</v>
      </c>
      <c r="J44" s="417"/>
      <c r="K44" s="417"/>
      <c r="L44" s="417">
        <v>8300</v>
      </c>
      <c r="M44" s="417"/>
      <c r="N44" s="418"/>
    </row>
    <row r="45" spans="1:14" s="412" customFormat="1" ht="17.25">
      <c r="A45" s="1044">
        <v>39</v>
      </c>
      <c r="B45" s="174"/>
      <c r="C45" s="421"/>
      <c r="D45" s="627" t="s">
        <v>1170</v>
      </c>
      <c r="E45" s="416"/>
      <c r="F45" s="511"/>
      <c r="G45" s="511"/>
      <c r="H45" s="666"/>
      <c r="I45" s="676">
        <f t="shared" si="0"/>
        <v>0</v>
      </c>
      <c r="J45" s="417"/>
      <c r="K45" s="417"/>
      <c r="L45" s="417"/>
      <c r="M45" s="417"/>
      <c r="N45" s="418"/>
    </row>
    <row r="46" spans="1:14" s="59" customFormat="1" ht="17.25">
      <c r="A46" s="1044">
        <v>40</v>
      </c>
      <c r="B46" s="422"/>
      <c r="C46" s="423"/>
      <c r="D46" s="625" t="s">
        <v>1169</v>
      </c>
      <c r="E46" s="633"/>
      <c r="F46" s="512"/>
      <c r="G46" s="512"/>
      <c r="H46" s="668"/>
      <c r="I46" s="678">
        <f t="shared" si="0"/>
        <v>8300</v>
      </c>
      <c r="J46" s="512">
        <f>SUM(J44:J45)</f>
        <v>0</v>
      </c>
      <c r="K46" s="512">
        <f>SUM(K44:K45)</f>
        <v>0</v>
      </c>
      <c r="L46" s="512">
        <f>SUM(L44:L45)</f>
        <v>8300</v>
      </c>
      <c r="M46" s="512">
        <f>SUM(M44:M45)</f>
        <v>0</v>
      </c>
      <c r="N46" s="639">
        <f>SUM(N44:N45)</f>
        <v>0</v>
      </c>
    </row>
    <row r="47" spans="1:14" s="60" customFormat="1" ht="17.25">
      <c r="A47" s="1044">
        <v>41</v>
      </c>
      <c r="B47" s="172"/>
      <c r="C47" s="167"/>
      <c r="D47" s="415" t="s">
        <v>369</v>
      </c>
      <c r="E47" s="416"/>
      <c r="F47" s="511">
        <v>2000</v>
      </c>
      <c r="G47" s="511">
        <v>1500</v>
      </c>
      <c r="H47" s="666">
        <v>1500</v>
      </c>
      <c r="I47" s="676"/>
      <c r="J47" s="417"/>
      <c r="K47" s="417"/>
      <c r="L47" s="417"/>
      <c r="M47" s="417"/>
      <c r="N47" s="418"/>
    </row>
    <row r="48" spans="1:14" s="60" customFormat="1" ht="17.25">
      <c r="A48" s="1044">
        <v>42</v>
      </c>
      <c r="B48" s="172"/>
      <c r="C48" s="167"/>
      <c r="D48" s="626" t="s">
        <v>1168</v>
      </c>
      <c r="E48" s="416"/>
      <c r="F48" s="511"/>
      <c r="G48" s="511"/>
      <c r="H48" s="666"/>
      <c r="I48" s="676">
        <f t="shared" si="0"/>
        <v>2000</v>
      </c>
      <c r="J48" s="417"/>
      <c r="K48" s="417"/>
      <c r="L48" s="417"/>
      <c r="M48" s="417"/>
      <c r="N48" s="418">
        <v>2000</v>
      </c>
    </row>
    <row r="49" spans="1:14" s="412" customFormat="1" ht="17.25">
      <c r="A49" s="1044">
        <v>43</v>
      </c>
      <c r="B49" s="174"/>
      <c r="C49" s="421"/>
      <c r="D49" s="627" t="s">
        <v>1170</v>
      </c>
      <c r="E49" s="416"/>
      <c r="F49" s="511"/>
      <c r="G49" s="511"/>
      <c r="H49" s="666"/>
      <c r="I49" s="676">
        <f t="shared" si="0"/>
        <v>0</v>
      </c>
      <c r="J49" s="417"/>
      <c r="K49" s="417"/>
      <c r="L49" s="417"/>
      <c r="M49" s="417"/>
      <c r="N49" s="418"/>
    </row>
    <row r="50" spans="1:14" s="59" customFormat="1" ht="17.25">
      <c r="A50" s="1044">
        <v>44</v>
      </c>
      <c r="B50" s="422"/>
      <c r="C50" s="423"/>
      <c r="D50" s="625" t="s">
        <v>1169</v>
      </c>
      <c r="E50" s="633"/>
      <c r="F50" s="512"/>
      <c r="G50" s="512"/>
      <c r="H50" s="668"/>
      <c r="I50" s="678">
        <f t="shared" si="0"/>
        <v>2000</v>
      </c>
      <c r="J50" s="512">
        <f>SUM(J48:J49)</f>
        <v>0</v>
      </c>
      <c r="K50" s="512">
        <f>SUM(K48:K49)</f>
        <v>0</v>
      </c>
      <c r="L50" s="512">
        <f>SUM(L48:L49)</f>
        <v>0</v>
      </c>
      <c r="M50" s="512">
        <f>SUM(M48:M49)</f>
        <v>0</v>
      </c>
      <c r="N50" s="639">
        <f>SUM(N48:N49)</f>
        <v>2000</v>
      </c>
    </row>
    <row r="51" spans="1:14" s="60" customFormat="1" ht="17.25">
      <c r="A51" s="1044">
        <v>45</v>
      </c>
      <c r="B51" s="172"/>
      <c r="C51" s="167"/>
      <c r="D51" s="415" t="s">
        <v>584</v>
      </c>
      <c r="E51" s="416"/>
      <c r="F51" s="511">
        <v>8000</v>
      </c>
      <c r="G51" s="511">
        <v>7500</v>
      </c>
      <c r="H51" s="666">
        <v>7500</v>
      </c>
      <c r="I51" s="676"/>
      <c r="J51" s="417"/>
      <c r="K51" s="417"/>
      <c r="L51" s="417"/>
      <c r="M51" s="417"/>
      <c r="N51" s="418"/>
    </row>
    <row r="52" spans="1:14" s="60" customFormat="1" ht="17.25">
      <c r="A52" s="1044">
        <v>46</v>
      </c>
      <c r="B52" s="172"/>
      <c r="C52" s="167"/>
      <c r="D52" s="626" t="s">
        <v>1168</v>
      </c>
      <c r="E52" s="416"/>
      <c r="F52" s="511"/>
      <c r="G52" s="511"/>
      <c r="H52" s="666"/>
      <c r="I52" s="676">
        <f t="shared" si="0"/>
        <v>8000</v>
      </c>
      <c r="J52" s="417"/>
      <c r="K52" s="417"/>
      <c r="L52" s="417"/>
      <c r="M52" s="417"/>
      <c r="N52" s="418">
        <v>8000</v>
      </c>
    </row>
    <row r="53" spans="1:14" s="412" customFormat="1" ht="17.25">
      <c r="A53" s="1044">
        <v>47</v>
      </c>
      <c r="B53" s="174"/>
      <c r="C53" s="421"/>
      <c r="D53" s="627" t="s">
        <v>1170</v>
      </c>
      <c r="E53" s="416"/>
      <c r="F53" s="511"/>
      <c r="G53" s="511"/>
      <c r="H53" s="666"/>
      <c r="I53" s="676">
        <f t="shared" si="0"/>
        <v>0</v>
      </c>
      <c r="J53" s="417"/>
      <c r="K53" s="417"/>
      <c r="L53" s="417"/>
      <c r="M53" s="417"/>
      <c r="N53" s="418"/>
    </row>
    <row r="54" spans="1:14" s="59" customFormat="1" ht="17.25">
      <c r="A54" s="1044">
        <v>48</v>
      </c>
      <c r="B54" s="422"/>
      <c r="C54" s="423"/>
      <c r="D54" s="625" t="s">
        <v>1169</v>
      </c>
      <c r="E54" s="633"/>
      <c r="F54" s="512"/>
      <c r="G54" s="512"/>
      <c r="H54" s="668"/>
      <c r="I54" s="678">
        <f t="shared" si="0"/>
        <v>8000</v>
      </c>
      <c r="J54" s="512">
        <f>SUM(J52:J53)</f>
        <v>0</v>
      </c>
      <c r="K54" s="512">
        <f>SUM(K52:K53)</f>
        <v>0</v>
      </c>
      <c r="L54" s="512">
        <f>SUM(L52:L53)</f>
        <v>0</v>
      </c>
      <c r="M54" s="512">
        <f>SUM(M52:M53)</f>
        <v>0</v>
      </c>
      <c r="N54" s="639">
        <f>SUM(N52:N53)</f>
        <v>8000</v>
      </c>
    </row>
    <row r="55" spans="1:14" s="60" customFormat="1" ht="17.25">
      <c r="A55" s="1044">
        <v>49</v>
      </c>
      <c r="B55" s="172"/>
      <c r="C55" s="167"/>
      <c r="D55" s="415" t="s">
        <v>535</v>
      </c>
      <c r="E55" s="416"/>
      <c r="F55" s="511"/>
      <c r="G55" s="511"/>
      <c r="H55" s="666"/>
      <c r="I55" s="676"/>
      <c r="J55" s="417"/>
      <c r="K55" s="417"/>
      <c r="L55" s="417"/>
      <c r="M55" s="417"/>
      <c r="N55" s="418"/>
    </row>
    <row r="56" spans="1:14" s="60" customFormat="1" ht="17.25">
      <c r="A56" s="1044">
        <v>50</v>
      </c>
      <c r="B56" s="172"/>
      <c r="C56" s="167"/>
      <c r="D56" s="626" t="s">
        <v>1168</v>
      </c>
      <c r="E56" s="416"/>
      <c r="F56" s="511"/>
      <c r="G56" s="511"/>
      <c r="H56" s="666"/>
      <c r="I56" s="676">
        <f t="shared" si="0"/>
        <v>2000</v>
      </c>
      <c r="J56" s="417"/>
      <c r="K56" s="417"/>
      <c r="L56" s="417">
        <v>2000</v>
      </c>
      <c r="M56" s="417"/>
      <c r="N56" s="418"/>
    </row>
    <row r="57" spans="1:14" s="412" customFormat="1" ht="17.25">
      <c r="A57" s="1044">
        <v>51</v>
      </c>
      <c r="B57" s="174"/>
      <c r="C57" s="421"/>
      <c r="D57" s="627" t="s">
        <v>1170</v>
      </c>
      <c r="E57" s="416"/>
      <c r="F57" s="511"/>
      <c r="G57" s="511"/>
      <c r="H57" s="666"/>
      <c r="I57" s="676">
        <f t="shared" si="0"/>
        <v>0</v>
      </c>
      <c r="J57" s="417"/>
      <c r="K57" s="417"/>
      <c r="L57" s="417"/>
      <c r="M57" s="417"/>
      <c r="N57" s="418"/>
    </row>
    <row r="58" spans="1:14" s="59" customFormat="1" ht="17.25">
      <c r="A58" s="1044">
        <v>52</v>
      </c>
      <c r="B58" s="422"/>
      <c r="C58" s="423"/>
      <c r="D58" s="625" t="s">
        <v>1169</v>
      </c>
      <c r="E58" s="633"/>
      <c r="F58" s="512"/>
      <c r="G58" s="512"/>
      <c r="H58" s="668"/>
      <c r="I58" s="678">
        <f t="shared" si="0"/>
        <v>2000</v>
      </c>
      <c r="J58" s="512">
        <f>SUM(J56:J57)</f>
        <v>0</v>
      </c>
      <c r="K58" s="512">
        <f>SUM(K56:K57)</f>
        <v>0</v>
      </c>
      <c r="L58" s="512">
        <f>SUM(L56:L57)</f>
        <v>2000</v>
      </c>
      <c r="M58" s="512">
        <f>SUM(M56:M57)</f>
        <v>0</v>
      </c>
      <c r="N58" s="639">
        <f>SUM(N56:N57)</f>
        <v>0</v>
      </c>
    </row>
    <row r="59" spans="1:14" s="60" customFormat="1" ht="19.5" customHeight="1">
      <c r="A59" s="1044">
        <v>53</v>
      </c>
      <c r="B59" s="172"/>
      <c r="C59" s="167">
        <v>9</v>
      </c>
      <c r="D59" s="168" t="s">
        <v>790</v>
      </c>
      <c r="E59" s="169" t="s">
        <v>400</v>
      </c>
      <c r="F59" s="509">
        <v>1176</v>
      </c>
      <c r="G59" s="509"/>
      <c r="H59" s="665">
        <v>2448</v>
      </c>
      <c r="I59" s="675"/>
      <c r="J59" s="169"/>
      <c r="K59" s="169"/>
      <c r="L59" s="169"/>
      <c r="M59" s="169"/>
      <c r="N59" s="638"/>
    </row>
    <row r="60" spans="1:14" s="60" customFormat="1" ht="16.5">
      <c r="A60" s="1044">
        <v>54</v>
      </c>
      <c r="B60" s="172"/>
      <c r="C60" s="167"/>
      <c r="D60" s="168" t="s">
        <v>1168</v>
      </c>
      <c r="E60" s="169"/>
      <c r="F60" s="509"/>
      <c r="G60" s="509"/>
      <c r="H60" s="665"/>
      <c r="I60" s="675">
        <f t="shared" si="0"/>
        <v>3000</v>
      </c>
      <c r="J60" s="170"/>
      <c r="K60" s="170"/>
      <c r="L60" s="170">
        <v>3000</v>
      </c>
      <c r="M60" s="170"/>
      <c r="N60" s="414"/>
    </row>
    <row r="61" spans="1:14" s="412" customFormat="1" ht="17.25">
      <c r="A61" s="1044">
        <v>55</v>
      </c>
      <c r="B61" s="174"/>
      <c r="C61" s="421"/>
      <c r="D61" s="415" t="s">
        <v>762</v>
      </c>
      <c r="E61" s="416"/>
      <c r="F61" s="511"/>
      <c r="G61" s="511"/>
      <c r="H61" s="666"/>
      <c r="I61" s="676">
        <f t="shared" si="0"/>
        <v>1000</v>
      </c>
      <c r="J61" s="417"/>
      <c r="K61" s="417"/>
      <c r="L61" s="417">
        <v>1000</v>
      </c>
      <c r="M61" s="417"/>
      <c r="N61" s="418"/>
    </row>
    <row r="62" spans="1:14" s="412" customFormat="1" ht="17.25">
      <c r="A62" s="1044">
        <v>56</v>
      </c>
      <c r="B62" s="174"/>
      <c r="C62" s="421"/>
      <c r="D62" s="415" t="s">
        <v>765</v>
      </c>
      <c r="E62" s="416"/>
      <c r="F62" s="511"/>
      <c r="G62" s="511"/>
      <c r="H62" s="666"/>
      <c r="I62" s="676">
        <f t="shared" si="0"/>
        <v>-40</v>
      </c>
      <c r="J62" s="417"/>
      <c r="K62" s="417"/>
      <c r="L62" s="417">
        <v>-40</v>
      </c>
      <c r="M62" s="417"/>
      <c r="N62" s="418"/>
    </row>
    <row r="63" spans="1:14" s="412" customFormat="1" ht="17.25">
      <c r="A63" s="1044">
        <v>57</v>
      </c>
      <c r="B63" s="174"/>
      <c r="C63" s="421"/>
      <c r="D63" s="415" t="s">
        <v>767</v>
      </c>
      <c r="E63" s="416"/>
      <c r="F63" s="511"/>
      <c r="G63" s="511"/>
      <c r="H63" s="666"/>
      <c r="I63" s="676">
        <f t="shared" si="0"/>
        <v>2500</v>
      </c>
      <c r="J63" s="417"/>
      <c r="K63" s="417"/>
      <c r="L63" s="417">
        <v>2500</v>
      </c>
      <c r="M63" s="417"/>
      <c r="N63" s="418"/>
    </row>
    <row r="64" spans="1:14" s="412" customFormat="1" ht="17.25">
      <c r="A64" s="1044">
        <v>58</v>
      </c>
      <c r="B64" s="174"/>
      <c r="C64" s="421"/>
      <c r="D64" s="415" t="s">
        <v>619</v>
      </c>
      <c r="E64" s="416"/>
      <c r="F64" s="511"/>
      <c r="G64" s="511"/>
      <c r="H64" s="666"/>
      <c r="I64" s="676">
        <f t="shared" si="0"/>
        <v>2030</v>
      </c>
      <c r="J64" s="417"/>
      <c r="K64" s="417"/>
      <c r="L64" s="417">
        <v>2030</v>
      </c>
      <c r="M64" s="417"/>
      <c r="N64" s="418"/>
    </row>
    <row r="65" spans="1:14" s="59" customFormat="1" ht="17.25">
      <c r="A65" s="1044">
        <v>59</v>
      </c>
      <c r="B65" s="422"/>
      <c r="C65" s="423"/>
      <c r="D65" s="419" t="s">
        <v>1169</v>
      </c>
      <c r="E65" s="420"/>
      <c r="F65" s="510"/>
      <c r="G65" s="510"/>
      <c r="H65" s="667"/>
      <c r="I65" s="677">
        <f>SUM(I60:I64)</f>
        <v>8490</v>
      </c>
      <c r="J65" s="510">
        <f>SUM(J60:J63)</f>
        <v>0</v>
      </c>
      <c r="K65" s="510">
        <f>SUM(K60:K63)</f>
        <v>0</v>
      </c>
      <c r="L65" s="510">
        <f>SUM(L60:L64)</f>
        <v>8490</v>
      </c>
      <c r="M65" s="510">
        <f>SUM(M60:M63)</f>
        <v>0</v>
      </c>
      <c r="N65" s="637">
        <f>SUM(N60:N63)</f>
        <v>0</v>
      </c>
    </row>
    <row r="66" spans="1:14" s="60" customFormat="1" ht="19.5" customHeight="1">
      <c r="A66" s="1044">
        <v>60</v>
      </c>
      <c r="B66" s="172"/>
      <c r="C66" s="167">
        <v>10</v>
      </c>
      <c r="D66" s="168" t="s">
        <v>510</v>
      </c>
      <c r="E66" s="169" t="s">
        <v>400</v>
      </c>
      <c r="F66" s="509"/>
      <c r="G66" s="509"/>
      <c r="H66" s="665"/>
      <c r="I66" s="675"/>
      <c r="J66" s="169"/>
      <c r="K66" s="169"/>
      <c r="L66" s="169"/>
      <c r="M66" s="169"/>
      <c r="N66" s="638"/>
    </row>
    <row r="67" spans="1:14" s="60" customFormat="1" ht="16.5">
      <c r="A67" s="1044">
        <v>61</v>
      </c>
      <c r="B67" s="172"/>
      <c r="C67" s="167"/>
      <c r="D67" s="168" t="s">
        <v>1168</v>
      </c>
      <c r="E67" s="169"/>
      <c r="F67" s="509"/>
      <c r="G67" s="509"/>
      <c r="H67" s="665"/>
      <c r="I67" s="675">
        <f t="shared" si="0"/>
        <v>1000</v>
      </c>
      <c r="J67" s="170"/>
      <c r="K67" s="170"/>
      <c r="L67" s="170">
        <v>1000</v>
      </c>
      <c r="M67" s="170"/>
      <c r="N67" s="414"/>
    </row>
    <row r="68" spans="1:14" s="412" customFormat="1" ht="17.25">
      <c r="A68" s="1044">
        <v>62</v>
      </c>
      <c r="B68" s="174"/>
      <c r="C68" s="421"/>
      <c r="D68" s="415" t="s">
        <v>1170</v>
      </c>
      <c r="E68" s="416"/>
      <c r="F68" s="511"/>
      <c r="G68" s="511"/>
      <c r="H68" s="666"/>
      <c r="I68" s="676">
        <f t="shared" si="0"/>
        <v>0</v>
      </c>
      <c r="J68" s="417"/>
      <c r="K68" s="417"/>
      <c r="L68" s="417"/>
      <c r="M68" s="417"/>
      <c r="N68" s="418"/>
    </row>
    <row r="69" spans="1:14" s="59" customFormat="1" ht="17.25">
      <c r="A69" s="1044">
        <v>63</v>
      </c>
      <c r="B69" s="422"/>
      <c r="C69" s="423"/>
      <c r="D69" s="419" t="s">
        <v>1169</v>
      </c>
      <c r="E69" s="420"/>
      <c r="F69" s="510"/>
      <c r="G69" s="510"/>
      <c r="H69" s="667"/>
      <c r="I69" s="677">
        <f t="shared" si="0"/>
        <v>1000</v>
      </c>
      <c r="J69" s="510">
        <f>SUM(J67:J68)</f>
        <v>0</v>
      </c>
      <c r="K69" s="510">
        <f>SUM(K67:K68)</f>
        <v>0</v>
      </c>
      <c r="L69" s="510">
        <f>SUM(L67:L68)</f>
        <v>1000</v>
      </c>
      <c r="M69" s="510">
        <f>SUM(M67:M68)</f>
        <v>0</v>
      </c>
      <c r="N69" s="637">
        <f>SUM(N67:N68)</f>
        <v>0</v>
      </c>
    </row>
    <row r="70" spans="1:14" s="60" customFormat="1" ht="19.5" customHeight="1">
      <c r="A70" s="1044">
        <v>64</v>
      </c>
      <c r="B70" s="172"/>
      <c r="C70" s="167">
        <v>11</v>
      </c>
      <c r="D70" s="168" t="s">
        <v>511</v>
      </c>
      <c r="E70" s="169" t="s">
        <v>400</v>
      </c>
      <c r="F70" s="509"/>
      <c r="G70" s="509"/>
      <c r="H70" s="665"/>
      <c r="I70" s="675"/>
      <c r="J70" s="169"/>
      <c r="K70" s="169"/>
      <c r="L70" s="169"/>
      <c r="M70" s="169"/>
      <c r="N70" s="638"/>
    </row>
    <row r="71" spans="1:14" s="60" customFormat="1" ht="16.5">
      <c r="A71" s="1044">
        <v>65</v>
      </c>
      <c r="B71" s="172"/>
      <c r="C71" s="167"/>
      <c r="D71" s="168" t="s">
        <v>1168</v>
      </c>
      <c r="E71" s="169"/>
      <c r="F71" s="509"/>
      <c r="G71" s="509"/>
      <c r="H71" s="665"/>
      <c r="I71" s="675">
        <f t="shared" si="0"/>
        <v>1000</v>
      </c>
      <c r="J71" s="170"/>
      <c r="K71" s="170"/>
      <c r="L71" s="170">
        <v>1000</v>
      </c>
      <c r="M71" s="170"/>
      <c r="N71" s="414"/>
    </row>
    <row r="72" spans="1:14" s="412" customFormat="1" ht="17.25">
      <c r="A72" s="1044">
        <v>66</v>
      </c>
      <c r="B72" s="174"/>
      <c r="C72" s="421"/>
      <c r="D72" s="415" t="s">
        <v>768</v>
      </c>
      <c r="E72" s="416"/>
      <c r="F72" s="511"/>
      <c r="G72" s="511"/>
      <c r="H72" s="666"/>
      <c r="I72" s="676">
        <f t="shared" si="0"/>
        <v>1500</v>
      </c>
      <c r="J72" s="417"/>
      <c r="K72" s="417"/>
      <c r="L72" s="417">
        <v>1500</v>
      </c>
      <c r="M72" s="417"/>
      <c r="N72" s="418"/>
    </row>
    <row r="73" spans="1:14" s="412" customFormat="1" ht="17.25">
      <c r="A73" s="1044">
        <v>67</v>
      </c>
      <c r="B73" s="174"/>
      <c r="C73" s="421"/>
      <c r="D73" s="415" t="s">
        <v>543</v>
      </c>
      <c r="E73" s="416"/>
      <c r="F73" s="511"/>
      <c r="G73" s="511"/>
      <c r="H73" s="666"/>
      <c r="I73" s="676">
        <f t="shared" si="0"/>
        <v>2000</v>
      </c>
      <c r="J73" s="417"/>
      <c r="K73" s="417"/>
      <c r="L73" s="417">
        <v>2000</v>
      </c>
      <c r="M73" s="417"/>
      <c r="N73" s="418"/>
    </row>
    <row r="74" spans="1:14" s="59" customFormat="1" ht="17.25">
      <c r="A74" s="1044">
        <v>68</v>
      </c>
      <c r="B74" s="422"/>
      <c r="C74" s="423"/>
      <c r="D74" s="419" t="s">
        <v>1169</v>
      </c>
      <c r="E74" s="420"/>
      <c r="F74" s="510"/>
      <c r="G74" s="510"/>
      <c r="H74" s="667"/>
      <c r="I74" s="677">
        <f aca="true" t="shared" si="2" ref="I74:N74">SUM(I71:I73)</f>
        <v>4500</v>
      </c>
      <c r="J74" s="510">
        <f t="shared" si="2"/>
        <v>0</v>
      </c>
      <c r="K74" s="510">
        <f t="shared" si="2"/>
        <v>0</v>
      </c>
      <c r="L74" s="510">
        <f t="shared" si="2"/>
        <v>4500</v>
      </c>
      <c r="M74" s="510">
        <f t="shared" si="2"/>
        <v>0</v>
      </c>
      <c r="N74" s="637">
        <f t="shared" si="2"/>
        <v>0</v>
      </c>
    </row>
    <row r="75" spans="1:14" s="60" customFormat="1" ht="19.5" customHeight="1">
      <c r="A75" s="1044">
        <v>69</v>
      </c>
      <c r="B75" s="172"/>
      <c r="C75" s="167">
        <v>12</v>
      </c>
      <c r="D75" s="168" t="s">
        <v>370</v>
      </c>
      <c r="E75" s="169" t="s">
        <v>400</v>
      </c>
      <c r="F75" s="509"/>
      <c r="G75" s="509"/>
      <c r="H75" s="665"/>
      <c r="I75" s="675"/>
      <c r="J75" s="169"/>
      <c r="K75" s="169"/>
      <c r="L75" s="169"/>
      <c r="M75" s="169"/>
      <c r="N75" s="638"/>
    </row>
    <row r="76" spans="1:14" s="60" customFormat="1" ht="16.5">
      <c r="A76" s="1044">
        <v>70</v>
      </c>
      <c r="B76" s="172"/>
      <c r="C76" s="167"/>
      <c r="D76" s="168" t="s">
        <v>1168</v>
      </c>
      <c r="E76" s="169"/>
      <c r="F76" s="509"/>
      <c r="G76" s="509"/>
      <c r="H76" s="665"/>
      <c r="I76" s="675">
        <f t="shared" si="0"/>
        <v>8000</v>
      </c>
      <c r="J76" s="170"/>
      <c r="K76" s="170"/>
      <c r="L76" s="170">
        <v>5000</v>
      </c>
      <c r="M76" s="170"/>
      <c r="N76" s="414">
        <v>3000</v>
      </c>
    </row>
    <row r="77" spans="1:14" s="412" customFormat="1" ht="17.25">
      <c r="A77" s="1044">
        <v>71</v>
      </c>
      <c r="B77" s="174"/>
      <c r="C77" s="421"/>
      <c r="D77" s="415" t="s">
        <v>1170</v>
      </c>
      <c r="E77" s="416"/>
      <c r="F77" s="511"/>
      <c r="G77" s="511"/>
      <c r="H77" s="666"/>
      <c r="I77" s="676">
        <f aca="true" t="shared" si="3" ref="I77:I140">SUM(J77:N77)</f>
        <v>0</v>
      </c>
      <c r="J77" s="417"/>
      <c r="K77" s="417"/>
      <c r="L77" s="417"/>
      <c r="M77" s="417"/>
      <c r="N77" s="418"/>
    </row>
    <row r="78" spans="1:14" s="59" customFormat="1" ht="17.25">
      <c r="A78" s="1044">
        <v>72</v>
      </c>
      <c r="B78" s="422"/>
      <c r="C78" s="423"/>
      <c r="D78" s="419" t="s">
        <v>1169</v>
      </c>
      <c r="E78" s="420"/>
      <c r="F78" s="510"/>
      <c r="G78" s="510"/>
      <c r="H78" s="667"/>
      <c r="I78" s="677">
        <f t="shared" si="3"/>
        <v>8000</v>
      </c>
      <c r="J78" s="510">
        <f>SUM(J76:J77)</f>
        <v>0</v>
      </c>
      <c r="K78" s="510">
        <f>SUM(K76:K77)</f>
        <v>0</v>
      </c>
      <c r="L78" s="510">
        <f>SUM(L76:L77)</f>
        <v>5000</v>
      </c>
      <c r="M78" s="510">
        <f>SUM(M76:M77)</f>
        <v>0</v>
      </c>
      <c r="N78" s="637">
        <f>SUM(N76:N77)</f>
        <v>3000</v>
      </c>
    </row>
    <row r="79" spans="1:14" s="60" customFormat="1" ht="19.5" customHeight="1">
      <c r="A79" s="1044">
        <v>73</v>
      </c>
      <c r="B79" s="172"/>
      <c r="C79" s="167">
        <v>13</v>
      </c>
      <c r="D79" s="168" t="s">
        <v>512</v>
      </c>
      <c r="E79" s="169" t="s">
        <v>400</v>
      </c>
      <c r="F79" s="509"/>
      <c r="G79" s="509"/>
      <c r="H79" s="665"/>
      <c r="I79" s="675"/>
      <c r="J79" s="169"/>
      <c r="K79" s="169"/>
      <c r="L79" s="169"/>
      <c r="M79" s="169"/>
      <c r="N79" s="638"/>
    </row>
    <row r="80" spans="1:14" s="60" customFormat="1" ht="16.5">
      <c r="A80" s="1044">
        <v>74</v>
      </c>
      <c r="B80" s="172"/>
      <c r="C80" s="167"/>
      <c r="D80" s="168" t="s">
        <v>1168</v>
      </c>
      <c r="E80" s="169"/>
      <c r="F80" s="509"/>
      <c r="G80" s="509"/>
      <c r="H80" s="665"/>
      <c r="I80" s="675">
        <f t="shared" si="3"/>
        <v>2000</v>
      </c>
      <c r="J80" s="170"/>
      <c r="K80" s="170"/>
      <c r="L80" s="170"/>
      <c r="M80" s="170"/>
      <c r="N80" s="414">
        <v>2000</v>
      </c>
    </row>
    <row r="81" spans="1:14" s="412" customFormat="1" ht="17.25">
      <c r="A81" s="1044">
        <v>75</v>
      </c>
      <c r="B81" s="174"/>
      <c r="C81" s="421"/>
      <c r="D81" s="415" t="s">
        <v>749</v>
      </c>
      <c r="E81" s="416"/>
      <c r="F81" s="511"/>
      <c r="G81" s="511"/>
      <c r="H81" s="666"/>
      <c r="I81" s="676">
        <f t="shared" si="3"/>
        <v>-800</v>
      </c>
      <c r="J81" s="417"/>
      <c r="K81" s="417"/>
      <c r="L81" s="417"/>
      <c r="M81" s="417"/>
      <c r="N81" s="418">
        <v>-800</v>
      </c>
    </row>
    <row r="82" spans="1:14" s="59" customFormat="1" ht="17.25">
      <c r="A82" s="1044">
        <v>76</v>
      </c>
      <c r="B82" s="422"/>
      <c r="C82" s="423"/>
      <c r="D82" s="419" t="s">
        <v>1169</v>
      </c>
      <c r="E82" s="420"/>
      <c r="F82" s="510"/>
      <c r="G82" s="510"/>
      <c r="H82" s="667"/>
      <c r="I82" s="677">
        <f t="shared" si="3"/>
        <v>1200</v>
      </c>
      <c r="J82" s="510">
        <f>SUM(J80:J81)</f>
        <v>0</v>
      </c>
      <c r="K82" s="510">
        <f>SUM(K80:K81)</f>
        <v>0</v>
      </c>
      <c r="L82" s="510">
        <f>SUM(L80:L81)</f>
        <v>0</v>
      </c>
      <c r="M82" s="510">
        <f>SUM(M80:M81)</f>
        <v>0</v>
      </c>
      <c r="N82" s="637">
        <f>SUM(N80:N81)</f>
        <v>1200</v>
      </c>
    </row>
    <row r="83" spans="1:14" s="60" customFormat="1" ht="19.5" customHeight="1">
      <c r="A83" s="1044">
        <v>77</v>
      </c>
      <c r="B83" s="172"/>
      <c r="C83" s="167">
        <v>14</v>
      </c>
      <c r="D83" s="168" t="s">
        <v>578</v>
      </c>
      <c r="E83" s="169" t="s">
        <v>400</v>
      </c>
      <c r="F83" s="509"/>
      <c r="G83" s="509"/>
      <c r="H83" s="665"/>
      <c r="I83" s="675"/>
      <c r="J83" s="169"/>
      <c r="K83" s="169"/>
      <c r="L83" s="169"/>
      <c r="M83" s="169"/>
      <c r="N83" s="638"/>
    </row>
    <row r="84" spans="1:14" s="60" customFormat="1" ht="16.5">
      <c r="A84" s="1044">
        <v>78</v>
      </c>
      <c r="B84" s="172"/>
      <c r="C84" s="167"/>
      <c r="D84" s="168" t="s">
        <v>1168</v>
      </c>
      <c r="E84" s="169"/>
      <c r="F84" s="509"/>
      <c r="G84" s="509"/>
      <c r="H84" s="665"/>
      <c r="I84" s="675">
        <f t="shared" si="3"/>
        <v>5000</v>
      </c>
      <c r="J84" s="170"/>
      <c r="K84" s="170"/>
      <c r="L84" s="170">
        <v>5000</v>
      </c>
      <c r="M84" s="170"/>
      <c r="N84" s="414"/>
    </row>
    <row r="85" spans="1:14" s="412" customFormat="1" ht="17.25">
      <c r="A85" s="1044">
        <v>79</v>
      </c>
      <c r="B85" s="174"/>
      <c r="C85" s="421"/>
      <c r="D85" s="415" t="s">
        <v>1170</v>
      </c>
      <c r="E85" s="416"/>
      <c r="F85" s="511"/>
      <c r="G85" s="511"/>
      <c r="H85" s="666"/>
      <c r="I85" s="676">
        <f t="shared" si="3"/>
        <v>0</v>
      </c>
      <c r="J85" s="417"/>
      <c r="K85" s="417"/>
      <c r="L85" s="417"/>
      <c r="M85" s="417"/>
      <c r="N85" s="418"/>
    </row>
    <row r="86" spans="1:14" s="59" customFormat="1" ht="17.25">
      <c r="A86" s="1044">
        <v>80</v>
      </c>
      <c r="B86" s="422"/>
      <c r="C86" s="423"/>
      <c r="D86" s="419" t="s">
        <v>1169</v>
      </c>
      <c r="E86" s="420"/>
      <c r="F86" s="510"/>
      <c r="G86" s="510"/>
      <c r="H86" s="667"/>
      <c r="I86" s="677">
        <f t="shared" si="3"/>
        <v>5000</v>
      </c>
      <c r="J86" s="510">
        <f>SUM(J84:J85)</f>
        <v>0</v>
      </c>
      <c r="K86" s="510">
        <f>SUM(K84:K85)</f>
        <v>0</v>
      </c>
      <c r="L86" s="510">
        <f>SUM(L84:L85)</f>
        <v>5000</v>
      </c>
      <c r="M86" s="510">
        <f>SUM(M84:M85)</f>
        <v>0</v>
      </c>
      <c r="N86" s="637">
        <f>SUM(N84:N85)</f>
        <v>0</v>
      </c>
    </row>
    <row r="87" spans="1:14" s="60" customFormat="1" ht="19.5" customHeight="1">
      <c r="A87" s="1044">
        <v>81</v>
      </c>
      <c r="B87" s="172"/>
      <c r="C87" s="167">
        <v>15</v>
      </c>
      <c r="D87" s="168" t="s">
        <v>789</v>
      </c>
      <c r="E87" s="169" t="s">
        <v>400</v>
      </c>
      <c r="F87" s="509"/>
      <c r="G87" s="509">
        <v>2500</v>
      </c>
      <c r="H87" s="665"/>
      <c r="I87" s="675"/>
      <c r="J87" s="169"/>
      <c r="K87" s="169"/>
      <c r="L87" s="169"/>
      <c r="M87" s="169"/>
      <c r="N87" s="638"/>
    </row>
    <row r="88" spans="1:14" s="60" customFormat="1" ht="16.5">
      <c r="A88" s="1044">
        <v>82</v>
      </c>
      <c r="B88" s="172"/>
      <c r="C88" s="167"/>
      <c r="D88" s="168" t="s">
        <v>1168</v>
      </c>
      <c r="E88" s="169"/>
      <c r="F88" s="509"/>
      <c r="G88" s="509"/>
      <c r="H88" s="665"/>
      <c r="I88" s="675">
        <f t="shared" si="3"/>
        <v>1000</v>
      </c>
      <c r="J88" s="170"/>
      <c r="K88" s="170"/>
      <c r="L88" s="170">
        <v>1000</v>
      </c>
      <c r="M88" s="170"/>
      <c r="N88" s="414"/>
    </row>
    <row r="89" spans="1:14" s="412" customFormat="1" ht="17.25">
      <c r="A89" s="1044">
        <v>83</v>
      </c>
      <c r="B89" s="174"/>
      <c r="C89" s="421"/>
      <c r="D89" s="415" t="s">
        <v>760</v>
      </c>
      <c r="E89" s="416"/>
      <c r="F89" s="511"/>
      <c r="G89" s="511"/>
      <c r="H89" s="666"/>
      <c r="I89" s="676">
        <f t="shared" si="3"/>
        <v>0</v>
      </c>
      <c r="J89" s="417"/>
      <c r="K89" s="417"/>
      <c r="L89" s="417">
        <v>-1000</v>
      </c>
      <c r="M89" s="417"/>
      <c r="N89" s="418">
        <v>1000</v>
      </c>
    </row>
    <row r="90" spans="1:14" s="59" customFormat="1" ht="17.25">
      <c r="A90" s="1044">
        <v>84</v>
      </c>
      <c r="B90" s="422"/>
      <c r="C90" s="423"/>
      <c r="D90" s="419" t="s">
        <v>1169</v>
      </c>
      <c r="E90" s="420"/>
      <c r="F90" s="510"/>
      <c r="G90" s="510"/>
      <c r="H90" s="667"/>
      <c r="I90" s="677">
        <f t="shared" si="3"/>
        <v>1000</v>
      </c>
      <c r="J90" s="510">
        <f>SUM(J88:J89)</f>
        <v>0</v>
      </c>
      <c r="K90" s="510">
        <f>SUM(K88:K89)</f>
        <v>0</v>
      </c>
      <c r="L90" s="510">
        <f>SUM(L88:L89)</f>
        <v>0</v>
      </c>
      <c r="M90" s="510">
        <f>SUM(M88:M89)</f>
        <v>0</v>
      </c>
      <c r="N90" s="637">
        <f>SUM(N88:N89)</f>
        <v>1000</v>
      </c>
    </row>
    <row r="91" spans="1:14" s="60" customFormat="1" ht="19.5" customHeight="1">
      <c r="A91" s="1044">
        <v>85</v>
      </c>
      <c r="B91" s="172"/>
      <c r="C91" s="167">
        <v>16</v>
      </c>
      <c r="D91" s="168" t="s">
        <v>522</v>
      </c>
      <c r="E91" s="169" t="s">
        <v>400</v>
      </c>
      <c r="F91" s="509">
        <v>3000</v>
      </c>
      <c r="G91" s="509">
        <v>1500</v>
      </c>
      <c r="H91" s="665">
        <v>1500</v>
      </c>
      <c r="I91" s="675"/>
      <c r="J91" s="169"/>
      <c r="K91" s="169"/>
      <c r="L91" s="169"/>
      <c r="M91" s="169"/>
      <c r="N91" s="638"/>
    </row>
    <row r="92" spans="1:14" s="60" customFormat="1" ht="16.5">
      <c r="A92" s="1044">
        <v>86</v>
      </c>
      <c r="B92" s="172"/>
      <c r="C92" s="167"/>
      <c r="D92" s="168" t="s">
        <v>1168</v>
      </c>
      <c r="E92" s="169"/>
      <c r="F92" s="509"/>
      <c r="G92" s="509"/>
      <c r="H92" s="665"/>
      <c r="I92" s="675">
        <f t="shared" si="3"/>
        <v>2000</v>
      </c>
      <c r="J92" s="170"/>
      <c r="K92" s="170"/>
      <c r="L92" s="170"/>
      <c r="M92" s="170"/>
      <c r="N92" s="414">
        <v>2000</v>
      </c>
    </row>
    <row r="93" spans="1:14" s="412" customFormat="1" ht="17.25">
      <c r="A93" s="1044">
        <v>87</v>
      </c>
      <c r="B93" s="174"/>
      <c r="C93" s="421"/>
      <c r="D93" s="415" t="s">
        <v>1170</v>
      </c>
      <c r="E93" s="416"/>
      <c r="F93" s="511"/>
      <c r="G93" s="511"/>
      <c r="H93" s="666"/>
      <c r="I93" s="676">
        <f t="shared" si="3"/>
        <v>0</v>
      </c>
      <c r="J93" s="417"/>
      <c r="K93" s="417"/>
      <c r="L93" s="417"/>
      <c r="M93" s="417"/>
      <c r="N93" s="418"/>
    </row>
    <row r="94" spans="1:14" s="59" customFormat="1" ht="17.25">
      <c r="A94" s="1044">
        <v>88</v>
      </c>
      <c r="B94" s="422"/>
      <c r="C94" s="423"/>
      <c r="D94" s="419" t="s">
        <v>1169</v>
      </c>
      <c r="E94" s="420"/>
      <c r="F94" s="510"/>
      <c r="G94" s="510"/>
      <c r="H94" s="667"/>
      <c r="I94" s="677">
        <f t="shared" si="3"/>
        <v>2000</v>
      </c>
      <c r="J94" s="510">
        <f>SUM(J92:J93)</f>
        <v>0</v>
      </c>
      <c r="K94" s="510">
        <f>SUM(K92:K93)</f>
        <v>0</v>
      </c>
      <c r="L94" s="510">
        <f>SUM(L92:L93)</f>
        <v>0</v>
      </c>
      <c r="M94" s="510">
        <f>SUM(M92:M93)</f>
        <v>0</v>
      </c>
      <c r="N94" s="637">
        <f>SUM(N92:N93)</f>
        <v>2000</v>
      </c>
    </row>
    <row r="95" spans="1:14" s="60" customFormat="1" ht="24" customHeight="1">
      <c r="A95" s="1044">
        <v>89</v>
      </c>
      <c r="B95" s="172"/>
      <c r="C95" s="167">
        <v>17</v>
      </c>
      <c r="D95" s="168" t="s">
        <v>792</v>
      </c>
      <c r="E95" s="169" t="s">
        <v>400</v>
      </c>
      <c r="F95" s="509">
        <f>SUM(F99:F111)</f>
        <v>20000</v>
      </c>
      <c r="G95" s="509">
        <f>SUM(G99:G111)</f>
        <v>30600</v>
      </c>
      <c r="H95" s="665">
        <f>SUM(H99:H111)</f>
        <v>30600</v>
      </c>
      <c r="I95" s="675"/>
      <c r="J95" s="169"/>
      <c r="K95" s="169"/>
      <c r="L95" s="169"/>
      <c r="M95" s="169"/>
      <c r="N95" s="638"/>
    </row>
    <row r="96" spans="1:14" s="60" customFormat="1" ht="16.5">
      <c r="A96" s="1044">
        <v>90</v>
      </c>
      <c r="B96" s="172"/>
      <c r="C96" s="167"/>
      <c r="D96" s="168" t="s">
        <v>1168</v>
      </c>
      <c r="E96" s="169"/>
      <c r="F96" s="509"/>
      <c r="G96" s="509"/>
      <c r="H96" s="665"/>
      <c r="I96" s="675">
        <f t="shared" si="3"/>
        <v>32100</v>
      </c>
      <c r="J96" s="509">
        <f aca="true" t="shared" si="4" ref="J96:N97">SUM(J100,J104,J108,J112)</f>
        <v>0</v>
      </c>
      <c r="K96" s="509">
        <f t="shared" si="4"/>
        <v>0</v>
      </c>
      <c r="L96" s="509">
        <f t="shared" si="4"/>
        <v>0</v>
      </c>
      <c r="M96" s="509">
        <f t="shared" si="4"/>
        <v>0</v>
      </c>
      <c r="N96" s="634">
        <f t="shared" si="4"/>
        <v>32100</v>
      </c>
    </row>
    <row r="97" spans="1:14" s="412" customFormat="1" ht="17.25">
      <c r="A97" s="1044">
        <v>91</v>
      </c>
      <c r="B97" s="174"/>
      <c r="C97" s="421"/>
      <c r="D97" s="415" t="s">
        <v>1170</v>
      </c>
      <c r="E97" s="416"/>
      <c r="F97" s="511"/>
      <c r="G97" s="511"/>
      <c r="H97" s="666"/>
      <c r="I97" s="676">
        <f t="shared" si="3"/>
        <v>0</v>
      </c>
      <c r="J97" s="511">
        <f t="shared" si="4"/>
        <v>0</v>
      </c>
      <c r="K97" s="511">
        <f t="shared" si="4"/>
        <v>0</v>
      </c>
      <c r="L97" s="511">
        <f t="shared" si="4"/>
        <v>0</v>
      </c>
      <c r="M97" s="511">
        <f t="shared" si="4"/>
        <v>0</v>
      </c>
      <c r="N97" s="635">
        <f t="shared" si="4"/>
        <v>0</v>
      </c>
    </row>
    <row r="98" spans="1:14" s="59" customFormat="1" ht="17.25">
      <c r="A98" s="1044">
        <v>92</v>
      </c>
      <c r="B98" s="422"/>
      <c r="C98" s="423"/>
      <c r="D98" s="419" t="s">
        <v>1169</v>
      </c>
      <c r="E98" s="420"/>
      <c r="F98" s="510"/>
      <c r="G98" s="510"/>
      <c r="H98" s="667"/>
      <c r="I98" s="677">
        <f t="shared" si="3"/>
        <v>32100</v>
      </c>
      <c r="J98" s="510">
        <f>SUM(J96:J97)</f>
        <v>0</v>
      </c>
      <c r="K98" s="510">
        <f>SUM(K96:K97)</f>
        <v>0</v>
      </c>
      <c r="L98" s="510">
        <f>SUM(L96:L97)</f>
        <v>0</v>
      </c>
      <c r="M98" s="510">
        <f>SUM(M96:M97)</f>
        <v>0</v>
      </c>
      <c r="N98" s="637">
        <f>SUM(N96:N97)</f>
        <v>32100</v>
      </c>
    </row>
    <row r="99" spans="1:14" s="60" customFormat="1" ht="17.25">
      <c r="A99" s="1044">
        <v>93</v>
      </c>
      <c r="B99" s="172"/>
      <c r="C99" s="167"/>
      <c r="D99" s="627" t="s">
        <v>523</v>
      </c>
      <c r="E99" s="169"/>
      <c r="F99" s="511">
        <v>8500</v>
      </c>
      <c r="G99" s="511">
        <v>20600</v>
      </c>
      <c r="H99" s="666">
        <v>20600</v>
      </c>
      <c r="I99" s="676"/>
      <c r="J99" s="417"/>
      <c r="K99" s="417"/>
      <c r="L99" s="417"/>
      <c r="M99" s="417"/>
      <c r="N99" s="418"/>
    </row>
    <row r="100" spans="1:14" s="60" customFormat="1" ht="17.25">
      <c r="A100" s="1044">
        <v>94</v>
      </c>
      <c r="B100" s="172"/>
      <c r="C100" s="167"/>
      <c r="D100" s="626" t="s">
        <v>1168</v>
      </c>
      <c r="E100" s="169"/>
      <c r="F100" s="511"/>
      <c r="G100" s="511"/>
      <c r="H100" s="666"/>
      <c r="I100" s="676">
        <f t="shared" si="3"/>
        <v>20600</v>
      </c>
      <c r="J100" s="417"/>
      <c r="K100" s="417"/>
      <c r="L100" s="417"/>
      <c r="M100" s="417"/>
      <c r="N100" s="418">
        <v>20600</v>
      </c>
    </row>
    <row r="101" spans="1:14" s="412" customFormat="1" ht="17.25">
      <c r="A101" s="1044">
        <v>95</v>
      </c>
      <c r="B101" s="174"/>
      <c r="C101" s="421"/>
      <c r="D101" s="627" t="s">
        <v>1170</v>
      </c>
      <c r="E101" s="416"/>
      <c r="F101" s="511"/>
      <c r="G101" s="511"/>
      <c r="H101" s="666"/>
      <c r="I101" s="676">
        <f t="shared" si="3"/>
        <v>0</v>
      </c>
      <c r="J101" s="417"/>
      <c r="K101" s="417"/>
      <c r="L101" s="417"/>
      <c r="M101" s="417"/>
      <c r="N101" s="418"/>
    </row>
    <row r="102" spans="1:14" s="59" customFormat="1" ht="17.25">
      <c r="A102" s="1044">
        <v>96</v>
      </c>
      <c r="B102" s="422"/>
      <c r="C102" s="423"/>
      <c r="D102" s="625" t="s">
        <v>1169</v>
      </c>
      <c r="E102" s="420"/>
      <c r="F102" s="512"/>
      <c r="G102" s="512"/>
      <c r="H102" s="668"/>
      <c r="I102" s="678">
        <f t="shared" si="3"/>
        <v>20600</v>
      </c>
      <c r="J102" s="512">
        <f>SUM(J100:J101)</f>
        <v>0</v>
      </c>
      <c r="K102" s="512">
        <f>SUM(K100:K101)</f>
        <v>0</v>
      </c>
      <c r="L102" s="512">
        <f>SUM(L100:L101)</f>
        <v>0</v>
      </c>
      <c r="M102" s="512">
        <f>SUM(M100:M101)</f>
        <v>0</v>
      </c>
      <c r="N102" s="639">
        <f>SUM(N100:N101)</f>
        <v>20600</v>
      </c>
    </row>
    <row r="103" spans="1:14" s="60" customFormat="1" ht="17.25">
      <c r="A103" s="1044">
        <v>97</v>
      </c>
      <c r="B103" s="172"/>
      <c r="C103" s="167"/>
      <c r="D103" s="627" t="s">
        <v>793</v>
      </c>
      <c r="E103" s="169"/>
      <c r="F103" s="511">
        <v>4200</v>
      </c>
      <c r="G103" s="511">
        <v>4000</v>
      </c>
      <c r="H103" s="666">
        <v>4000</v>
      </c>
      <c r="I103" s="676"/>
      <c r="J103" s="417"/>
      <c r="K103" s="417"/>
      <c r="L103" s="417"/>
      <c r="M103" s="417"/>
      <c r="N103" s="418"/>
    </row>
    <row r="104" spans="1:14" s="60" customFormat="1" ht="17.25">
      <c r="A104" s="1044">
        <v>98</v>
      </c>
      <c r="B104" s="172"/>
      <c r="C104" s="167"/>
      <c r="D104" s="626" t="s">
        <v>1168</v>
      </c>
      <c r="E104" s="169"/>
      <c r="F104" s="511"/>
      <c r="G104" s="511"/>
      <c r="H104" s="666"/>
      <c r="I104" s="676">
        <f t="shared" si="3"/>
        <v>4200</v>
      </c>
      <c r="J104" s="417"/>
      <c r="K104" s="417"/>
      <c r="L104" s="417"/>
      <c r="M104" s="417"/>
      <c r="N104" s="418">
        <v>4200</v>
      </c>
    </row>
    <row r="105" spans="1:14" s="412" customFormat="1" ht="17.25">
      <c r="A105" s="1044">
        <v>99</v>
      </c>
      <c r="B105" s="174"/>
      <c r="C105" s="421"/>
      <c r="D105" s="627" t="s">
        <v>1170</v>
      </c>
      <c r="E105" s="416"/>
      <c r="F105" s="511"/>
      <c r="G105" s="511"/>
      <c r="H105" s="666"/>
      <c r="I105" s="676">
        <f t="shared" si="3"/>
        <v>0</v>
      </c>
      <c r="J105" s="417"/>
      <c r="K105" s="417"/>
      <c r="L105" s="417"/>
      <c r="M105" s="417"/>
      <c r="N105" s="418"/>
    </row>
    <row r="106" spans="1:14" s="59" customFormat="1" ht="17.25">
      <c r="A106" s="1044">
        <v>100</v>
      </c>
      <c r="B106" s="422"/>
      <c r="C106" s="423"/>
      <c r="D106" s="625" t="s">
        <v>1169</v>
      </c>
      <c r="E106" s="420"/>
      <c r="F106" s="512"/>
      <c r="G106" s="512"/>
      <c r="H106" s="668"/>
      <c r="I106" s="678">
        <f t="shared" si="3"/>
        <v>4200</v>
      </c>
      <c r="J106" s="512">
        <f>SUM(J104:J105)</f>
        <v>0</v>
      </c>
      <c r="K106" s="512">
        <f>SUM(K104:K105)</f>
        <v>0</v>
      </c>
      <c r="L106" s="512">
        <f>SUM(L104:L105)</f>
        <v>0</v>
      </c>
      <c r="M106" s="512">
        <f>SUM(M104:M105)</f>
        <v>0</v>
      </c>
      <c r="N106" s="639">
        <f>SUM(N104:N105)</f>
        <v>4200</v>
      </c>
    </row>
    <row r="107" spans="1:14" s="60" customFormat="1" ht="17.25">
      <c r="A107" s="1044">
        <v>101</v>
      </c>
      <c r="B107" s="172"/>
      <c r="C107" s="167"/>
      <c r="D107" s="627" t="s">
        <v>794</v>
      </c>
      <c r="E107" s="169"/>
      <c r="F107" s="511">
        <v>4500</v>
      </c>
      <c r="G107" s="511">
        <v>4000</v>
      </c>
      <c r="H107" s="666">
        <v>4000</v>
      </c>
      <c r="I107" s="676"/>
      <c r="J107" s="417"/>
      <c r="K107" s="417"/>
      <c r="L107" s="417"/>
      <c r="M107" s="417"/>
      <c r="N107" s="418"/>
    </row>
    <row r="108" spans="1:14" s="60" customFormat="1" ht="17.25">
      <c r="A108" s="1044">
        <v>102</v>
      </c>
      <c r="B108" s="172"/>
      <c r="C108" s="167"/>
      <c r="D108" s="626" t="s">
        <v>1168</v>
      </c>
      <c r="E108" s="169"/>
      <c r="F108" s="511"/>
      <c r="G108" s="511"/>
      <c r="H108" s="666"/>
      <c r="I108" s="676">
        <f t="shared" si="3"/>
        <v>4500</v>
      </c>
      <c r="J108" s="417"/>
      <c r="K108" s="417"/>
      <c r="L108" s="417"/>
      <c r="M108" s="417"/>
      <c r="N108" s="418">
        <v>4500</v>
      </c>
    </row>
    <row r="109" spans="1:14" s="412" customFormat="1" ht="17.25">
      <c r="A109" s="1044">
        <v>103</v>
      </c>
      <c r="B109" s="174"/>
      <c r="C109" s="421"/>
      <c r="D109" s="627" t="s">
        <v>1170</v>
      </c>
      <c r="E109" s="416"/>
      <c r="F109" s="511"/>
      <c r="G109" s="511"/>
      <c r="H109" s="666"/>
      <c r="I109" s="676">
        <f t="shared" si="3"/>
        <v>0</v>
      </c>
      <c r="J109" s="417"/>
      <c r="K109" s="417"/>
      <c r="L109" s="417"/>
      <c r="M109" s="417"/>
      <c r="N109" s="418"/>
    </row>
    <row r="110" spans="1:14" s="59" customFormat="1" ht="17.25">
      <c r="A110" s="1044">
        <v>104</v>
      </c>
      <c r="B110" s="422"/>
      <c r="C110" s="423"/>
      <c r="D110" s="625" t="s">
        <v>1169</v>
      </c>
      <c r="E110" s="420"/>
      <c r="F110" s="512"/>
      <c r="G110" s="512"/>
      <c r="H110" s="668"/>
      <c r="I110" s="678">
        <f t="shared" si="3"/>
        <v>4500</v>
      </c>
      <c r="J110" s="512">
        <f>SUM(J108:J109)</f>
        <v>0</v>
      </c>
      <c r="K110" s="512">
        <f>SUM(K108:K109)</f>
        <v>0</v>
      </c>
      <c r="L110" s="512">
        <f>SUM(L108:L109)</f>
        <v>0</v>
      </c>
      <c r="M110" s="512">
        <f>SUM(M108:M109)</f>
        <v>0</v>
      </c>
      <c r="N110" s="639">
        <f>SUM(N108:N109)</f>
        <v>4500</v>
      </c>
    </row>
    <row r="111" spans="1:14" s="60" customFormat="1" ht="17.25">
      <c r="A111" s="1044">
        <v>105</v>
      </c>
      <c r="B111" s="172"/>
      <c r="C111" s="167"/>
      <c r="D111" s="627" t="s">
        <v>795</v>
      </c>
      <c r="E111" s="169"/>
      <c r="F111" s="511">
        <v>2800</v>
      </c>
      <c r="G111" s="511">
        <v>2000</v>
      </c>
      <c r="H111" s="666">
        <v>2000</v>
      </c>
      <c r="I111" s="676"/>
      <c r="J111" s="417"/>
      <c r="K111" s="417"/>
      <c r="L111" s="417"/>
      <c r="M111" s="417"/>
      <c r="N111" s="418"/>
    </row>
    <row r="112" spans="1:14" s="60" customFormat="1" ht="17.25">
      <c r="A112" s="1044">
        <v>106</v>
      </c>
      <c r="B112" s="172"/>
      <c r="C112" s="167"/>
      <c r="D112" s="626" t="s">
        <v>1168</v>
      </c>
      <c r="E112" s="169"/>
      <c r="F112" s="511"/>
      <c r="G112" s="511"/>
      <c r="H112" s="666"/>
      <c r="I112" s="676">
        <f t="shared" si="3"/>
        <v>2800</v>
      </c>
      <c r="J112" s="417"/>
      <c r="K112" s="417"/>
      <c r="L112" s="417"/>
      <c r="M112" s="417"/>
      <c r="N112" s="418">
        <v>2800</v>
      </c>
    </row>
    <row r="113" spans="1:14" s="412" customFormat="1" ht="17.25">
      <c r="A113" s="1044">
        <v>107</v>
      </c>
      <c r="B113" s="174"/>
      <c r="C113" s="421"/>
      <c r="D113" s="627" t="s">
        <v>1170</v>
      </c>
      <c r="E113" s="416"/>
      <c r="F113" s="511"/>
      <c r="G113" s="511"/>
      <c r="H113" s="666"/>
      <c r="I113" s="676">
        <f t="shared" si="3"/>
        <v>0</v>
      </c>
      <c r="J113" s="417"/>
      <c r="K113" s="417"/>
      <c r="L113" s="417"/>
      <c r="M113" s="417"/>
      <c r="N113" s="418"/>
    </row>
    <row r="114" spans="1:14" s="59" customFormat="1" ht="17.25">
      <c r="A114" s="1044">
        <v>108</v>
      </c>
      <c r="B114" s="422"/>
      <c r="C114" s="423"/>
      <c r="D114" s="625" t="s">
        <v>1169</v>
      </c>
      <c r="E114" s="420"/>
      <c r="F114" s="512"/>
      <c r="G114" s="512"/>
      <c r="H114" s="668"/>
      <c r="I114" s="678">
        <f t="shared" si="3"/>
        <v>2800</v>
      </c>
      <c r="J114" s="512">
        <f>SUM(J112:J113)</f>
        <v>0</v>
      </c>
      <c r="K114" s="512">
        <f>SUM(K112:K113)</f>
        <v>0</v>
      </c>
      <c r="L114" s="512">
        <f>SUM(L112:L113)</f>
        <v>0</v>
      </c>
      <c r="M114" s="512">
        <f>SUM(M112:M113)</f>
        <v>0</v>
      </c>
      <c r="N114" s="639">
        <f>SUM(N112:N113)</f>
        <v>2800</v>
      </c>
    </row>
    <row r="115" spans="1:14" s="60" customFormat="1" ht="19.5" customHeight="1">
      <c r="A115" s="1044">
        <v>109</v>
      </c>
      <c r="B115" s="172"/>
      <c r="C115" s="167">
        <v>18</v>
      </c>
      <c r="D115" s="168" t="s">
        <v>796</v>
      </c>
      <c r="E115" s="169" t="s">
        <v>400</v>
      </c>
      <c r="F115" s="509">
        <v>2500</v>
      </c>
      <c r="G115" s="509">
        <v>1500</v>
      </c>
      <c r="H115" s="665">
        <v>1500</v>
      </c>
      <c r="I115" s="675"/>
      <c r="J115" s="169"/>
      <c r="K115" s="169"/>
      <c r="L115" s="169"/>
      <c r="M115" s="169"/>
      <c r="N115" s="638"/>
    </row>
    <row r="116" spans="1:14" s="60" customFormat="1" ht="16.5">
      <c r="A116" s="1044">
        <v>110</v>
      </c>
      <c r="B116" s="172"/>
      <c r="C116" s="167"/>
      <c r="D116" s="168" t="s">
        <v>1168</v>
      </c>
      <c r="E116" s="169"/>
      <c r="F116" s="509"/>
      <c r="G116" s="509"/>
      <c r="H116" s="665"/>
      <c r="I116" s="675">
        <f t="shared" si="3"/>
        <v>1500</v>
      </c>
      <c r="J116" s="170"/>
      <c r="K116" s="170"/>
      <c r="L116" s="170"/>
      <c r="M116" s="170"/>
      <c r="N116" s="414">
        <v>1500</v>
      </c>
    </row>
    <row r="117" spans="1:14" s="412" customFormat="1" ht="17.25">
      <c r="A117" s="1044">
        <v>111</v>
      </c>
      <c r="B117" s="174"/>
      <c r="C117" s="421"/>
      <c r="D117" s="415" t="s">
        <v>1170</v>
      </c>
      <c r="E117" s="416"/>
      <c r="F117" s="511"/>
      <c r="G117" s="511"/>
      <c r="H117" s="666"/>
      <c r="I117" s="676">
        <f t="shared" si="3"/>
        <v>0</v>
      </c>
      <c r="J117" s="417"/>
      <c r="K117" s="417"/>
      <c r="L117" s="417"/>
      <c r="M117" s="417"/>
      <c r="N117" s="418"/>
    </row>
    <row r="118" spans="1:14" s="59" customFormat="1" ht="17.25">
      <c r="A118" s="1044">
        <v>112</v>
      </c>
      <c r="B118" s="422"/>
      <c r="C118" s="423"/>
      <c r="D118" s="419" t="s">
        <v>1169</v>
      </c>
      <c r="E118" s="420"/>
      <c r="F118" s="510"/>
      <c r="G118" s="510"/>
      <c r="H118" s="667"/>
      <c r="I118" s="677">
        <f t="shared" si="3"/>
        <v>1500</v>
      </c>
      <c r="J118" s="510">
        <f>SUM(J116:J117)</f>
        <v>0</v>
      </c>
      <c r="K118" s="510">
        <f>SUM(K116:K117)</f>
        <v>0</v>
      </c>
      <c r="L118" s="510">
        <f>SUM(L116:L117)</f>
        <v>0</v>
      </c>
      <c r="M118" s="510">
        <f>SUM(M116:M117)</f>
        <v>0</v>
      </c>
      <c r="N118" s="637">
        <f>SUM(N116:N117)</f>
        <v>1500</v>
      </c>
    </row>
    <row r="119" spans="1:14" s="60" customFormat="1" ht="19.5" customHeight="1">
      <c r="A119" s="1044">
        <v>113</v>
      </c>
      <c r="B119" s="172"/>
      <c r="C119" s="167">
        <v>19</v>
      </c>
      <c r="D119" s="168" t="s">
        <v>524</v>
      </c>
      <c r="E119" s="169" t="s">
        <v>400</v>
      </c>
      <c r="F119" s="509"/>
      <c r="G119" s="509">
        <v>1500</v>
      </c>
      <c r="H119" s="665">
        <v>1500</v>
      </c>
      <c r="I119" s="675"/>
      <c r="J119" s="169"/>
      <c r="K119" s="169"/>
      <c r="L119" s="169"/>
      <c r="M119" s="169"/>
      <c r="N119" s="638"/>
    </row>
    <row r="120" spans="1:14" s="60" customFormat="1" ht="16.5">
      <c r="A120" s="1044">
        <v>114</v>
      </c>
      <c r="B120" s="172"/>
      <c r="C120" s="167"/>
      <c r="D120" s="168" t="s">
        <v>1168</v>
      </c>
      <c r="E120" s="169"/>
      <c r="F120" s="509"/>
      <c r="G120" s="509"/>
      <c r="H120" s="665"/>
      <c r="I120" s="675">
        <f t="shared" si="3"/>
        <v>1500</v>
      </c>
      <c r="J120" s="170"/>
      <c r="K120" s="170"/>
      <c r="L120" s="170"/>
      <c r="M120" s="170"/>
      <c r="N120" s="414">
        <v>1500</v>
      </c>
    </row>
    <row r="121" spans="1:14" s="412" customFormat="1" ht="17.25">
      <c r="A121" s="1044">
        <v>115</v>
      </c>
      <c r="B121" s="174"/>
      <c r="C121" s="421"/>
      <c r="D121" s="415" t="s">
        <v>1170</v>
      </c>
      <c r="E121" s="416"/>
      <c r="F121" s="511"/>
      <c r="G121" s="511"/>
      <c r="H121" s="666"/>
      <c r="I121" s="676">
        <f t="shared" si="3"/>
        <v>0</v>
      </c>
      <c r="J121" s="417"/>
      <c r="K121" s="417"/>
      <c r="L121" s="417"/>
      <c r="M121" s="417"/>
      <c r="N121" s="418"/>
    </row>
    <row r="122" spans="1:14" s="59" customFormat="1" ht="17.25">
      <c r="A122" s="1044">
        <v>116</v>
      </c>
      <c r="B122" s="422"/>
      <c r="C122" s="423"/>
      <c r="D122" s="419" t="s">
        <v>1169</v>
      </c>
      <c r="E122" s="420"/>
      <c r="F122" s="510"/>
      <c r="G122" s="510"/>
      <c r="H122" s="667"/>
      <c r="I122" s="677">
        <f t="shared" si="3"/>
        <v>1500</v>
      </c>
      <c r="J122" s="510">
        <f>SUM(J120:J121)</f>
        <v>0</v>
      </c>
      <c r="K122" s="510">
        <f>SUM(K120:K121)</f>
        <v>0</v>
      </c>
      <c r="L122" s="510">
        <f>SUM(L120:L121)</f>
        <v>0</v>
      </c>
      <c r="M122" s="510">
        <f>SUM(M120:M121)</f>
        <v>0</v>
      </c>
      <c r="N122" s="637">
        <f>SUM(N120:N121)</f>
        <v>1500</v>
      </c>
    </row>
    <row r="123" spans="1:14" s="60" customFormat="1" ht="19.5" customHeight="1">
      <c r="A123" s="1044">
        <v>117</v>
      </c>
      <c r="B123" s="172"/>
      <c r="C123" s="167">
        <v>20</v>
      </c>
      <c r="D123" s="168" t="s">
        <v>536</v>
      </c>
      <c r="E123" s="169" t="s">
        <v>400</v>
      </c>
      <c r="F123" s="509"/>
      <c r="G123" s="509"/>
      <c r="H123" s="665"/>
      <c r="I123" s="675"/>
      <c r="J123" s="169"/>
      <c r="K123" s="169"/>
      <c r="L123" s="169"/>
      <c r="M123" s="169"/>
      <c r="N123" s="638"/>
    </row>
    <row r="124" spans="1:14" s="60" customFormat="1" ht="16.5">
      <c r="A124" s="1044">
        <v>118</v>
      </c>
      <c r="B124" s="172"/>
      <c r="C124" s="167"/>
      <c r="D124" s="168" t="s">
        <v>1168</v>
      </c>
      <c r="E124" s="169"/>
      <c r="F124" s="509"/>
      <c r="G124" s="509"/>
      <c r="H124" s="665"/>
      <c r="I124" s="675">
        <f t="shared" si="3"/>
        <v>2000</v>
      </c>
      <c r="J124" s="170"/>
      <c r="K124" s="170"/>
      <c r="L124" s="170"/>
      <c r="M124" s="170"/>
      <c r="N124" s="414">
        <v>2000</v>
      </c>
    </row>
    <row r="125" spans="1:14" s="412" customFormat="1" ht="17.25">
      <c r="A125" s="1044">
        <v>119</v>
      </c>
      <c r="B125" s="174"/>
      <c r="C125" s="421"/>
      <c r="D125" s="415" t="s">
        <v>1170</v>
      </c>
      <c r="E125" s="416"/>
      <c r="F125" s="511"/>
      <c r="G125" s="511"/>
      <c r="H125" s="666"/>
      <c r="I125" s="676">
        <f t="shared" si="3"/>
        <v>0</v>
      </c>
      <c r="J125" s="417"/>
      <c r="K125" s="417"/>
      <c r="L125" s="417"/>
      <c r="M125" s="417"/>
      <c r="N125" s="418"/>
    </row>
    <row r="126" spans="1:14" s="59" customFormat="1" ht="17.25">
      <c r="A126" s="1044">
        <v>120</v>
      </c>
      <c r="B126" s="422"/>
      <c r="C126" s="423"/>
      <c r="D126" s="419" t="s">
        <v>1169</v>
      </c>
      <c r="E126" s="420"/>
      <c r="F126" s="510"/>
      <c r="G126" s="510"/>
      <c r="H126" s="667"/>
      <c r="I126" s="677">
        <f t="shared" si="3"/>
        <v>2000</v>
      </c>
      <c r="J126" s="510">
        <f>SUM(J124:J125)</f>
        <v>0</v>
      </c>
      <c r="K126" s="510">
        <f>SUM(K124:K125)</f>
        <v>0</v>
      </c>
      <c r="L126" s="510">
        <f>SUM(L124:L125)</f>
        <v>0</v>
      </c>
      <c r="M126" s="510">
        <f>SUM(M124:M125)</f>
        <v>0</v>
      </c>
      <c r="N126" s="637">
        <f>SUM(N124:N125)</f>
        <v>2000</v>
      </c>
    </row>
    <row r="127" spans="1:14" s="60" customFormat="1" ht="19.5" customHeight="1">
      <c r="A127" s="1044">
        <v>121</v>
      </c>
      <c r="B127" s="172"/>
      <c r="C127" s="167">
        <v>21</v>
      </c>
      <c r="D127" s="168" t="s">
        <v>823</v>
      </c>
      <c r="E127" s="169" t="s">
        <v>400</v>
      </c>
      <c r="F127" s="509">
        <v>187161</v>
      </c>
      <c r="G127" s="509">
        <v>189000</v>
      </c>
      <c r="H127" s="665">
        <v>209038</v>
      </c>
      <c r="I127" s="675"/>
      <c r="J127" s="169"/>
      <c r="K127" s="169"/>
      <c r="L127" s="169"/>
      <c r="M127" s="169"/>
      <c r="N127" s="638"/>
    </row>
    <row r="128" spans="1:14" s="60" customFormat="1" ht="16.5">
      <c r="A128" s="1044">
        <v>122</v>
      </c>
      <c r="B128" s="172"/>
      <c r="C128" s="167"/>
      <c r="D128" s="168" t="s">
        <v>1168</v>
      </c>
      <c r="E128" s="169"/>
      <c r="F128" s="509"/>
      <c r="G128" s="509"/>
      <c r="H128" s="665"/>
      <c r="I128" s="675">
        <f t="shared" si="3"/>
        <v>213000</v>
      </c>
      <c r="J128" s="170">
        <v>500</v>
      </c>
      <c r="K128" s="170">
        <v>100</v>
      </c>
      <c r="L128" s="170">
        <v>50000</v>
      </c>
      <c r="M128" s="170"/>
      <c r="N128" s="414">
        <v>162400</v>
      </c>
    </row>
    <row r="129" spans="1:14" s="412" customFormat="1" ht="17.25">
      <c r="A129" s="1044">
        <v>123</v>
      </c>
      <c r="B129" s="174"/>
      <c r="C129" s="421"/>
      <c r="D129" s="415" t="s">
        <v>1170</v>
      </c>
      <c r="E129" s="416"/>
      <c r="F129" s="511"/>
      <c r="G129" s="511"/>
      <c r="H129" s="666"/>
      <c r="I129" s="676">
        <f t="shared" si="3"/>
        <v>0</v>
      </c>
      <c r="J129" s="417"/>
      <c r="K129" s="417"/>
      <c r="L129" s="417"/>
      <c r="M129" s="417"/>
      <c r="N129" s="418"/>
    </row>
    <row r="130" spans="1:14" s="59" customFormat="1" ht="17.25">
      <c r="A130" s="1044">
        <v>124</v>
      </c>
      <c r="B130" s="422"/>
      <c r="C130" s="423"/>
      <c r="D130" s="419" t="s">
        <v>1169</v>
      </c>
      <c r="E130" s="420"/>
      <c r="F130" s="510"/>
      <c r="G130" s="510"/>
      <c r="H130" s="667"/>
      <c r="I130" s="677">
        <f t="shared" si="3"/>
        <v>213000</v>
      </c>
      <c r="J130" s="510">
        <f>SUM(J128:J129)</f>
        <v>500</v>
      </c>
      <c r="K130" s="510">
        <f>SUM(K128:K129)</f>
        <v>100</v>
      </c>
      <c r="L130" s="510">
        <f>SUM(L128:L129)</f>
        <v>50000</v>
      </c>
      <c r="M130" s="510">
        <f>SUM(M128:M129)</f>
        <v>0</v>
      </c>
      <c r="N130" s="637">
        <f>SUM(N128:N129)</f>
        <v>162400</v>
      </c>
    </row>
    <row r="131" spans="1:14" s="60" customFormat="1" ht="19.5" customHeight="1">
      <c r="A131" s="1044">
        <v>125</v>
      </c>
      <c r="B131" s="172"/>
      <c r="C131" s="167">
        <v>22</v>
      </c>
      <c r="D131" s="168" t="s">
        <v>824</v>
      </c>
      <c r="E131" s="169" t="s">
        <v>466</v>
      </c>
      <c r="F131" s="509">
        <v>13598</v>
      </c>
      <c r="G131" s="509">
        <v>13600</v>
      </c>
      <c r="H131" s="665">
        <v>13000</v>
      </c>
      <c r="I131" s="675"/>
      <c r="J131" s="169"/>
      <c r="K131" s="169"/>
      <c r="L131" s="169"/>
      <c r="M131" s="169"/>
      <c r="N131" s="638"/>
    </row>
    <row r="132" spans="1:14" s="60" customFormat="1" ht="16.5">
      <c r="A132" s="1044">
        <v>126</v>
      </c>
      <c r="B132" s="172"/>
      <c r="C132" s="167"/>
      <c r="D132" s="168" t="s">
        <v>1168</v>
      </c>
      <c r="E132" s="169"/>
      <c r="F132" s="509"/>
      <c r="G132" s="509"/>
      <c r="H132" s="665"/>
      <c r="I132" s="675">
        <f t="shared" si="3"/>
        <v>13600</v>
      </c>
      <c r="J132" s="170"/>
      <c r="K132" s="170"/>
      <c r="L132" s="170">
        <v>13000</v>
      </c>
      <c r="M132" s="170"/>
      <c r="N132" s="414">
        <v>600</v>
      </c>
    </row>
    <row r="133" spans="1:14" s="412" customFormat="1" ht="17.25">
      <c r="A133" s="1044">
        <v>127</v>
      </c>
      <c r="B133" s="174"/>
      <c r="C133" s="421"/>
      <c r="D133" s="415" t="s">
        <v>618</v>
      </c>
      <c r="E133" s="416"/>
      <c r="F133" s="511"/>
      <c r="G133" s="511"/>
      <c r="H133" s="666"/>
      <c r="I133" s="676">
        <f t="shared" si="3"/>
        <v>600</v>
      </c>
      <c r="J133" s="417"/>
      <c r="K133" s="417"/>
      <c r="L133" s="417">
        <v>600</v>
      </c>
      <c r="M133" s="417"/>
      <c r="N133" s="418"/>
    </row>
    <row r="134" spans="1:14" s="59" customFormat="1" ht="17.25">
      <c r="A134" s="1044">
        <v>128</v>
      </c>
      <c r="B134" s="422"/>
      <c r="C134" s="423"/>
      <c r="D134" s="419" t="s">
        <v>1169</v>
      </c>
      <c r="E134" s="420"/>
      <c r="F134" s="510"/>
      <c r="G134" s="510"/>
      <c r="H134" s="667"/>
      <c r="I134" s="677">
        <f t="shared" si="3"/>
        <v>14200</v>
      </c>
      <c r="J134" s="510">
        <f>SUM(J132:J133)</f>
        <v>0</v>
      </c>
      <c r="K134" s="510">
        <f>SUM(K132:K133)</f>
        <v>0</v>
      </c>
      <c r="L134" s="510">
        <f>SUM(L132:L133)</f>
        <v>13600</v>
      </c>
      <c r="M134" s="510">
        <f>SUM(M132:M133)</f>
        <v>0</v>
      </c>
      <c r="N134" s="637">
        <f>SUM(N132:N133)</f>
        <v>600</v>
      </c>
    </row>
    <row r="135" spans="1:14" s="60" customFormat="1" ht="16.5">
      <c r="A135" s="1044">
        <v>129</v>
      </c>
      <c r="B135" s="172"/>
      <c r="C135" s="167">
        <v>23</v>
      </c>
      <c r="D135" s="168" t="s">
        <v>825</v>
      </c>
      <c r="E135" s="169" t="s">
        <v>466</v>
      </c>
      <c r="F135" s="509">
        <v>5791</v>
      </c>
      <c r="G135" s="509">
        <v>4000</v>
      </c>
      <c r="H135" s="665">
        <v>2076</v>
      </c>
      <c r="I135" s="675"/>
      <c r="J135" s="169"/>
      <c r="K135" s="169"/>
      <c r="L135" s="169"/>
      <c r="M135" s="169"/>
      <c r="N135" s="638"/>
    </row>
    <row r="136" spans="1:14" s="60" customFormat="1" ht="16.5">
      <c r="A136" s="1044">
        <v>130</v>
      </c>
      <c r="B136" s="172"/>
      <c r="C136" s="167"/>
      <c r="D136" s="168" t="s">
        <v>1168</v>
      </c>
      <c r="E136" s="169"/>
      <c r="F136" s="509"/>
      <c r="G136" s="509"/>
      <c r="H136" s="665"/>
      <c r="I136" s="675">
        <f t="shared" si="3"/>
        <v>4000</v>
      </c>
      <c r="J136" s="170">
        <v>200</v>
      </c>
      <c r="K136" s="170">
        <v>60</v>
      </c>
      <c r="L136" s="170">
        <v>3740</v>
      </c>
      <c r="M136" s="170"/>
      <c r="N136" s="414"/>
    </row>
    <row r="137" spans="1:14" s="412" customFormat="1" ht="17.25">
      <c r="A137" s="1044">
        <v>131</v>
      </c>
      <c r="B137" s="174"/>
      <c r="C137" s="421"/>
      <c r="D137" s="415" t="s">
        <v>618</v>
      </c>
      <c r="E137" s="416"/>
      <c r="F137" s="511"/>
      <c r="G137" s="511"/>
      <c r="H137" s="666"/>
      <c r="I137" s="676">
        <f t="shared" si="3"/>
        <v>1924</v>
      </c>
      <c r="J137" s="417"/>
      <c r="K137" s="417"/>
      <c r="L137" s="417">
        <v>1924</v>
      </c>
      <c r="M137" s="417"/>
      <c r="N137" s="418"/>
    </row>
    <row r="138" spans="1:14" s="59" customFormat="1" ht="17.25">
      <c r="A138" s="1044">
        <v>132</v>
      </c>
      <c r="B138" s="422"/>
      <c r="C138" s="423"/>
      <c r="D138" s="419" t="s">
        <v>1169</v>
      </c>
      <c r="E138" s="420"/>
      <c r="F138" s="510"/>
      <c r="G138" s="510"/>
      <c r="H138" s="667"/>
      <c r="I138" s="677">
        <f t="shared" si="3"/>
        <v>5924</v>
      </c>
      <c r="J138" s="510">
        <f>SUM(J136:J137)</f>
        <v>200</v>
      </c>
      <c r="K138" s="510">
        <f>SUM(K136:K137)</f>
        <v>60</v>
      </c>
      <c r="L138" s="510">
        <f>SUM(L136:L137)</f>
        <v>5664</v>
      </c>
      <c r="M138" s="510">
        <f>SUM(M136:M137)</f>
        <v>0</v>
      </c>
      <c r="N138" s="637">
        <f>SUM(N136:N137)</f>
        <v>0</v>
      </c>
    </row>
    <row r="139" spans="1:14" s="60" customFormat="1" ht="19.5" customHeight="1">
      <c r="A139" s="1044">
        <v>133</v>
      </c>
      <c r="B139" s="172"/>
      <c r="C139" s="167">
        <v>24</v>
      </c>
      <c r="D139" s="168" t="s">
        <v>826</v>
      </c>
      <c r="E139" s="169" t="s">
        <v>466</v>
      </c>
      <c r="F139" s="509">
        <v>400</v>
      </c>
      <c r="G139" s="509">
        <v>1500</v>
      </c>
      <c r="H139" s="665">
        <v>940</v>
      </c>
      <c r="I139" s="675"/>
      <c r="J139" s="169"/>
      <c r="K139" s="169"/>
      <c r="L139" s="169"/>
      <c r="M139" s="169"/>
      <c r="N139" s="638"/>
    </row>
    <row r="140" spans="1:14" s="60" customFormat="1" ht="16.5">
      <c r="A140" s="1044">
        <v>134</v>
      </c>
      <c r="B140" s="172"/>
      <c r="C140" s="167"/>
      <c r="D140" s="168" t="s">
        <v>1168</v>
      </c>
      <c r="E140" s="169"/>
      <c r="F140" s="509"/>
      <c r="G140" s="509"/>
      <c r="H140" s="665"/>
      <c r="I140" s="675">
        <f t="shared" si="3"/>
        <v>2000</v>
      </c>
      <c r="J140" s="170"/>
      <c r="K140" s="170"/>
      <c r="L140" s="170">
        <v>2000</v>
      </c>
      <c r="M140" s="170"/>
      <c r="N140" s="414"/>
    </row>
    <row r="141" spans="1:14" s="412" customFormat="1" ht="17.25">
      <c r="A141" s="1044">
        <v>135</v>
      </c>
      <c r="B141" s="174"/>
      <c r="C141" s="421"/>
      <c r="D141" s="415" t="s">
        <v>1170</v>
      </c>
      <c r="E141" s="416"/>
      <c r="F141" s="511"/>
      <c r="G141" s="511"/>
      <c r="H141" s="666"/>
      <c r="I141" s="676">
        <f aca="true" t="shared" si="5" ref="I141:I205">SUM(J141:N141)</f>
        <v>0</v>
      </c>
      <c r="J141" s="417"/>
      <c r="K141" s="417"/>
      <c r="L141" s="417"/>
      <c r="M141" s="417"/>
      <c r="N141" s="418"/>
    </row>
    <row r="142" spans="1:14" s="59" customFormat="1" ht="17.25">
      <c r="A142" s="1044">
        <v>136</v>
      </c>
      <c r="B142" s="422"/>
      <c r="C142" s="423"/>
      <c r="D142" s="419" t="s">
        <v>1169</v>
      </c>
      <c r="E142" s="420"/>
      <c r="F142" s="510"/>
      <c r="G142" s="510"/>
      <c r="H142" s="667"/>
      <c r="I142" s="677">
        <f t="shared" si="5"/>
        <v>2000</v>
      </c>
      <c r="J142" s="510">
        <f>SUM(J140:J141)</f>
        <v>0</v>
      </c>
      <c r="K142" s="510">
        <f>SUM(K140:K141)</f>
        <v>0</v>
      </c>
      <c r="L142" s="510">
        <f>SUM(L140:L141)</f>
        <v>2000</v>
      </c>
      <c r="M142" s="510">
        <f>SUM(M140:M141)</f>
        <v>0</v>
      </c>
      <c r="N142" s="637">
        <f>SUM(N140:N141)</f>
        <v>0</v>
      </c>
    </row>
    <row r="143" spans="1:14" s="60" customFormat="1" ht="19.5" customHeight="1">
      <c r="A143" s="1044">
        <v>137</v>
      </c>
      <c r="B143" s="172"/>
      <c r="C143" s="167">
        <v>25</v>
      </c>
      <c r="D143" s="168" t="s">
        <v>2</v>
      </c>
      <c r="E143" s="169" t="s">
        <v>400</v>
      </c>
      <c r="F143" s="509">
        <v>23000</v>
      </c>
      <c r="G143" s="509">
        <v>25000</v>
      </c>
      <c r="H143" s="665">
        <v>24833</v>
      </c>
      <c r="I143" s="675"/>
      <c r="J143" s="169"/>
      <c r="K143" s="169"/>
      <c r="L143" s="169"/>
      <c r="M143" s="169"/>
      <c r="N143" s="638"/>
    </row>
    <row r="144" spans="1:14" s="60" customFormat="1" ht="16.5">
      <c r="A144" s="1044">
        <v>138</v>
      </c>
      <c r="B144" s="172"/>
      <c r="C144" s="167"/>
      <c r="D144" s="168" t="s">
        <v>1168</v>
      </c>
      <c r="E144" s="169"/>
      <c r="F144" s="509"/>
      <c r="G144" s="509"/>
      <c r="H144" s="665"/>
      <c r="I144" s="675">
        <f t="shared" si="5"/>
        <v>25000</v>
      </c>
      <c r="J144" s="170"/>
      <c r="K144" s="170"/>
      <c r="L144" s="170">
        <v>25000</v>
      </c>
      <c r="M144" s="170"/>
      <c r="N144" s="414"/>
    </row>
    <row r="145" spans="1:14" s="412" customFormat="1" ht="17.25">
      <c r="A145" s="1044">
        <v>139</v>
      </c>
      <c r="B145" s="174"/>
      <c r="C145" s="421"/>
      <c r="D145" s="415" t="s">
        <v>1170</v>
      </c>
      <c r="E145" s="416"/>
      <c r="F145" s="511"/>
      <c r="G145" s="511"/>
      <c r="H145" s="666"/>
      <c r="I145" s="676">
        <f t="shared" si="5"/>
        <v>0</v>
      </c>
      <c r="J145" s="417"/>
      <c r="K145" s="417"/>
      <c r="L145" s="417"/>
      <c r="M145" s="417"/>
      <c r="N145" s="418"/>
    </row>
    <row r="146" spans="1:14" s="59" customFormat="1" ht="17.25">
      <c r="A146" s="1044">
        <v>140</v>
      </c>
      <c r="B146" s="422"/>
      <c r="C146" s="423"/>
      <c r="D146" s="419" t="s">
        <v>1169</v>
      </c>
      <c r="E146" s="420"/>
      <c r="F146" s="510"/>
      <c r="G146" s="510"/>
      <c r="H146" s="667"/>
      <c r="I146" s="677">
        <f t="shared" si="5"/>
        <v>25000</v>
      </c>
      <c r="J146" s="510">
        <f>SUM(J144:J145)</f>
        <v>0</v>
      </c>
      <c r="K146" s="510">
        <f>SUM(K144:K145)</f>
        <v>0</v>
      </c>
      <c r="L146" s="510">
        <f>SUM(L144:L145)</f>
        <v>25000</v>
      </c>
      <c r="M146" s="510">
        <f>SUM(M144:M145)</f>
        <v>0</v>
      </c>
      <c r="N146" s="637">
        <f>SUM(N144:N145)</f>
        <v>0</v>
      </c>
    </row>
    <row r="147" spans="1:14" s="60" customFormat="1" ht="19.5" customHeight="1">
      <c r="A147" s="1044">
        <v>141</v>
      </c>
      <c r="B147" s="172"/>
      <c r="C147" s="167">
        <v>26</v>
      </c>
      <c r="D147" s="168" t="s">
        <v>838</v>
      </c>
      <c r="E147" s="169" t="s">
        <v>400</v>
      </c>
      <c r="F147" s="509"/>
      <c r="G147" s="509">
        <v>2000</v>
      </c>
      <c r="H147" s="665"/>
      <c r="I147" s="675"/>
      <c r="J147" s="169"/>
      <c r="K147" s="169"/>
      <c r="L147" s="169"/>
      <c r="M147" s="169"/>
      <c r="N147" s="638"/>
    </row>
    <row r="148" spans="1:14" s="60" customFormat="1" ht="16.5">
      <c r="A148" s="1044">
        <v>142</v>
      </c>
      <c r="B148" s="172"/>
      <c r="C148" s="167"/>
      <c r="D148" s="168" t="s">
        <v>1168</v>
      </c>
      <c r="E148" s="169"/>
      <c r="F148" s="509"/>
      <c r="G148" s="509"/>
      <c r="H148" s="665"/>
      <c r="I148" s="675">
        <f t="shared" si="5"/>
        <v>2000</v>
      </c>
      <c r="J148" s="170"/>
      <c r="K148" s="170"/>
      <c r="L148" s="170"/>
      <c r="M148" s="170"/>
      <c r="N148" s="414">
        <v>2000</v>
      </c>
    </row>
    <row r="149" spans="1:14" s="412" customFormat="1" ht="17.25">
      <c r="A149" s="1044">
        <v>143</v>
      </c>
      <c r="B149" s="174"/>
      <c r="C149" s="421"/>
      <c r="D149" s="415" t="s">
        <v>760</v>
      </c>
      <c r="E149" s="416"/>
      <c r="F149" s="511"/>
      <c r="G149" s="511"/>
      <c r="H149" s="666"/>
      <c r="I149" s="676">
        <f t="shared" si="5"/>
        <v>-2000</v>
      </c>
      <c r="J149" s="417"/>
      <c r="K149" s="417"/>
      <c r="L149" s="417"/>
      <c r="M149" s="417"/>
      <c r="N149" s="418">
        <v>-2000</v>
      </c>
    </row>
    <row r="150" spans="1:14" s="59" customFormat="1" ht="17.25">
      <c r="A150" s="1044">
        <v>144</v>
      </c>
      <c r="B150" s="422"/>
      <c r="C150" s="423"/>
      <c r="D150" s="419" t="s">
        <v>1169</v>
      </c>
      <c r="E150" s="420"/>
      <c r="F150" s="510"/>
      <c r="G150" s="510"/>
      <c r="H150" s="667"/>
      <c r="I150" s="677">
        <f t="shared" si="5"/>
        <v>0</v>
      </c>
      <c r="J150" s="510">
        <f>SUM(J148:J149)</f>
        <v>0</v>
      </c>
      <c r="K150" s="510">
        <f>SUM(K148:K149)</f>
        <v>0</v>
      </c>
      <c r="L150" s="510">
        <f>SUM(L148:L149)</f>
        <v>0</v>
      </c>
      <c r="M150" s="510">
        <f>SUM(M148:M149)</f>
        <v>0</v>
      </c>
      <c r="N150" s="637">
        <f>SUM(N148:N149)</f>
        <v>0</v>
      </c>
    </row>
    <row r="151" spans="1:14" s="60" customFormat="1" ht="19.5" customHeight="1">
      <c r="A151" s="1044">
        <v>145</v>
      </c>
      <c r="B151" s="172"/>
      <c r="C151" s="167">
        <v>27</v>
      </c>
      <c r="D151" s="168" t="s">
        <v>840</v>
      </c>
      <c r="E151" s="169" t="s">
        <v>400</v>
      </c>
      <c r="F151" s="509">
        <f>SUM(F155:F172)</f>
        <v>6190</v>
      </c>
      <c r="G151" s="509">
        <f>SUM(G155:G172)</f>
        <v>7500</v>
      </c>
      <c r="H151" s="665">
        <f>SUM(H155:H172)</f>
        <v>6740</v>
      </c>
      <c r="I151" s="675"/>
      <c r="J151" s="169"/>
      <c r="K151" s="169"/>
      <c r="L151" s="169"/>
      <c r="M151" s="169"/>
      <c r="N151" s="638"/>
    </row>
    <row r="152" spans="1:14" s="60" customFormat="1" ht="16.5">
      <c r="A152" s="1044">
        <v>146</v>
      </c>
      <c r="B152" s="172"/>
      <c r="C152" s="167"/>
      <c r="D152" s="168" t="s">
        <v>1168</v>
      </c>
      <c r="E152" s="169"/>
      <c r="F152" s="509"/>
      <c r="G152" s="509"/>
      <c r="H152" s="665"/>
      <c r="I152" s="675">
        <f t="shared" si="5"/>
        <v>10500</v>
      </c>
      <c r="J152" s="509">
        <f>SUM(J156,J160,J165,J169,J173)</f>
        <v>0</v>
      </c>
      <c r="K152" s="509">
        <f>SUM(K156,K160,K165,K169,K173)</f>
        <v>0</v>
      </c>
      <c r="L152" s="509">
        <f>SUM(L156,L160,L165,L169,L173)</f>
        <v>1500</v>
      </c>
      <c r="M152" s="509">
        <f>SUM(M156,M160,M165,M169,M173)</f>
        <v>0</v>
      </c>
      <c r="N152" s="634">
        <f>SUM(N156,N160,N165,N169,N173)</f>
        <v>9000</v>
      </c>
    </row>
    <row r="153" spans="1:14" s="412" customFormat="1" ht="17.25">
      <c r="A153" s="1044">
        <v>147</v>
      </c>
      <c r="B153" s="174"/>
      <c r="C153" s="421"/>
      <c r="D153" s="415" t="s">
        <v>763</v>
      </c>
      <c r="E153" s="416"/>
      <c r="F153" s="511"/>
      <c r="G153" s="511"/>
      <c r="H153" s="666"/>
      <c r="I153" s="676">
        <f t="shared" si="5"/>
        <v>-1750</v>
      </c>
      <c r="J153" s="511">
        <f>SUM(J157,J161,J166,J170,J174)</f>
        <v>0</v>
      </c>
      <c r="K153" s="511">
        <f>SUM(K157,K161,K166,K170,K174)</f>
        <v>0</v>
      </c>
      <c r="L153" s="511">
        <f>SUM(L157,L161,L166,L170,L174)</f>
        <v>0</v>
      </c>
      <c r="M153" s="511">
        <f>SUM(M157,M161,M166,M170,M174)</f>
        <v>0</v>
      </c>
      <c r="N153" s="635">
        <f>SUM(N157,N161,N166,N170,N174)+N162</f>
        <v>-1750</v>
      </c>
    </row>
    <row r="154" spans="1:14" s="59" customFormat="1" ht="17.25">
      <c r="A154" s="1044">
        <v>148</v>
      </c>
      <c r="B154" s="422"/>
      <c r="C154" s="423"/>
      <c r="D154" s="419" t="s">
        <v>1169</v>
      </c>
      <c r="E154" s="420"/>
      <c r="F154" s="510"/>
      <c r="G154" s="510"/>
      <c r="H154" s="667"/>
      <c r="I154" s="677">
        <f t="shared" si="5"/>
        <v>8750</v>
      </c>
      <c r="J154" s="510">
        <f>SUM(J152:J153)</f>
        <v>0</v>
      </c>
      <c r="K154" s="510">
        <f>SUM(K152:K153)</f>
        <v>0</v>
      </c>
      <c r="L154" s="510">
        <f>SUM(L152:L153)</f>
        <v>1500</v>
      </c>
      <c r="M154" s="510">
        <f>SUM(M152:M153)</f>
        <v>0</v>
      </c>
      <c r="N154" s="637">
        <f>SUM(N152:N153)</f>
        <v>7250</v>
      </c>
    </row>
    <row r="155" spans="1:14" s="60" customFormat="1" ht="17.25">
      <c r="A155" s="1044">
        <v>149</v>
      </c>
      <c r="B155" s="172"/>
      <c r="C155" s="167"/>
      <c r="D155" s="627" t="s">
        <v>909</v>
      </c>
      <c r="E155" s="416"/>
      <c r="F155" s="511"/>
      <c r="G155" s="511">
        <v>2000</v>
      </c>
      <c r="H155" s="666"/>
      <c r="I155" s="676"/>
      <c r="J155" s="417"/>
      <c r="K155" s="417"/>
      <c r="L155" s="417"/>
      <c r="M155" s="417"/>
      <c r="N155" s="418"/>
    </row>
    <row r="156" spans="1:14" s="60" customFormat="1" ht="16.5">
      <c r="A156" s="1044">
        <v>150</v>
      </c>
      <c r="B156" s="172"/>
      <c r="C156" s="167"/>
      <c r="D156" s="626" t="s">
        <v>1168</v>
      </c>
      <c r="E156" s="169"/>
      <c r="F156" s="509"/>
      <c r="G156" s="509"/>
      <c r="H156" s="665"/>
      <c r="I156" s="675">
        <f t="shared" si="5"/>
        <v>2500</v>
      </c>
      <c r="J156" s="170"/>
      <c r="K156" s="170"/>
      <c r="L156" s="170"/>
      <c r="M156" s="170"/>
      <c r="N156" s="414">
        <v>2500</v>
      </c>
    </row>
    <row r="157" spans="1:14" s="412" customFormat="1" ht="17.25">
      <c r="A157" s="1044">
        <v>151</v>
      </c>
      <c r="B157" s="174"/>
      <c r="C157" s="421"/>
      <c r="D157" s="627" t="s">
        <v>761</v>
      </c>
      <c r="E157" s="416"/>
      <c r="F157" s="511"/>
      <c r="G157" s="511"/>
      <c r="H157" s="666"/>
      <c r="I157" s="676">
        <f t="shared" si="5"/>
        <v>-2500</v>
      </c>
      <c r="J157" s="417"/>
      <c r="K157" s="417"/>
      <c r="L157" s="417"/>
      <c r="M157" s="417"/>
      <c r="N157" s="418">
        <v>-2500</v>
      </c>
    </row>
    <row r="158" spans="1:14" s="59" customFormat="1" ht="17.25">
      <c r="A158" s="1044">
        <v>152</v>
      </c>
      <c r="B158" s="422"/>
      <c r="C158" s="423"/>
      <c r="D158" s="625" t="s">
        <v>1169</v>
      </c>
      <c r="E158" s="633"/>
      <c r="F158" s="512"/>
      <c r="G158" s="512"/>
      <c r="H158" s="668"/>
      <c r="I158" s="678">
        <f t="shared" si="5"/>
        <v>0</v>
      </c>
      <c r="J158" s="512">
        <f>SUM(J156:J157)</f>
        <v>0</v>
      </c>
      <c r="K158" s="512">
        <f>SUM(K156:K157)</f>
        <v>0</v>
      </c>
      <c r="L158" s="512">
        <f>SUM(L156:L157)</f>
        <v>0</v>
      </c>
      <c r="M158" s="512">
        <f>SUM(M156:M157)</f>
        <v>0</v>
      </c>
      <c r="N158" s="639">
        <f>SUM(N156:N157)</f>
        <v>0</v>
      </c>
    </row>
    <row r="159" spans="1:14" s="60" customFormat="1" ht="17.25">
      <c r="A159" s="1044">
        <v>153</v>
      </c>
      <c r="B159" s="172"/>
      <c r="C159" s="167"/>
      <c r="D159" s="627" t="s">
        <v>944</v>
      </c>
      <c r="E159" s="416"/>
      <c r="F159" s="511">
        <v>4690</v>
      </c>
      <c r="G159" s="511">
        <v>4000</v>
      </c>
      <c r="H159" s="666">
        <v>5240</v>
      </c>
      <c r="I159" s="676"/>
      <c r="J159" s="417"/>
      <c r="K159" s="417"/>
      <c r="L159" s="417"/>
      <c r="M159" s="417"/>
      <c r="N159" s="418"/>
    </row>
    <row r="160" spans="1:14" s="60" customFormat="1" ht="16.5">
      <c r="A160" s="1044">
        <v>154</v>
      </c>
      <c r="B160" s="172"/>
      <c r="C160" s="167"/>
      <c r="D160" s="626" t="s">
        <v>1168</v>
      </c>
      <c r="E160" s="169"/>
      <c r="F160" s="509"/>
      <c r="G160" s="509"/>
      <c r="H160" s="665"/>
      <c r="I160" s="675">
        <f t="shared" si="5"/>
        <v>6000</v>
      </c>
      <c r="J160" s="170"/>
      <c r="K160" s="170"/>
      <c r="L160" s="170"/>
      <c r="M160" s="170"/>
      <c r="N160" s="414">
        <v>6000</v>
      </c>
    </row>
    <row r="161" spans="1:14" s="412" customFormat="1" ht="17.25">
      <c r="A161" s="1044">
        <v>155</v>
      </c>
      <c r="B161" s="174"/>
      <c r="C161" s="421"/>
      <c r="D161" s="627" t="s">
        <v>762</v>
      </c>
      <c r="E161" s="416"/>
      <c r="F161" s="511"/>
      <c r="G161" s="511"/>
      <c r="H161" s="666"/>
      <c r="I161" s="676">
        <f>SUM(J161:N161)</f>
        <v>1000</v>
      </c>
      <c r="J161" s="417"/>
      <c r="K161" s="417"/>
      <c r="L161" s="417"/>
      <c r="M161" s="417"/>
      <c r="N161" s="418">
        <v>1000</v>
      </c>
    </row>
    <row r="162" spans="1:14" s="412" customFormat="1" ht="17.25">
      <c r="A162" s="1044">
        <v>156</v>
      </c>
      <c r="B162" s="174"/>
      <c r="C162" s="421"/>
      <c r="D162" s="1045" t="s">
        <v>764</v>
      </c>
      <c r="E162" s="416"/>
      <c r="F162" s="511"/>
      <c r="G162" s="511"/>
      <c r="H162" s="666"/>
      <c r="I162" s="676">
        <f>SUM(J162:N162)</f>
        <v>-250</v>
      </c>
      <c r="J162" s="417"/>
      <c r="K162" s="417"/>
      <c r="L162" s="417"/>
      <c r="M162" s="417"/>
      <c r="N162" s="418">
        <v>-250</v>
      </c>
    </row>
    <row r="163" spans="1:14" s="59" customFormat="1" ht="17.25">
      <c r="A163" s="1044">
        <v>157</v>
      </c>
      <c r="B163" s="422"/>
      <c r="C163" s="423"/>
      <c r="D163" s="625" t="s">
        <v>1169</v>
      </c>
      <c r="E163" s="633"/>
      <c r="F163" s="512"/>
      <c r="G163" s="512"/>
      <c r="H163" s="668"/>
      <c r="I163" s="678">
        <f aca="true" t="shared" si="6" ref="I163:N163">SUM(I160:I162)</f>
        <v>6750</v>
      </c>
      <c r="J163" s="512">
        <f t="shared" si="6"/>
        <v>0</v>
      </c>
      <c r="K163" s="512">
        <f t="shared" si="6"/>
        <v>0</v>
      </c>
      <c r="L163" s="512">
        <f t="shared" si="6"/>
        <v>0</v>
      </c>
      <c r="M163" s="512">
        <f t="shared" si="6"/>
        <v>0</v>
      </c>
      <c r="N163" s="639">
        <f t="shared" si="6"/>
        <v>6750</v>
      </c>
    </row>
    <row r="164" spans="1:14" s="60" customFormat="1" ht="17.25">
      <c r="A164" s="1044">
        <v>158</v>
      </c>
      <c r="B164" s="172"/>
      <c r="C164" s="167"/>
      <c r="D164" s="627" t="s">
        <v>943</v>
      </c>
      <c r="E164" s="416"/>
      <c r="F164" s="511">
        <v>500</v>
      </c>
      <c r="G164" s="511">
        <v>500</v>
      </c>
      <c r="H164" s="666">
        <v>500</v>
      </c>
      <c r="I164" s="676"/>
      <c r="J164" s="417"/>
      <c r="K164" s="417"/>
      <c r="L164" s="417"/>
      <c r="M164" s="417"/>
      <c r="N164" s="418"/>
    </row>
    <row r="165" spans="1:14" s="60" customFormat="1" ht="16.5">
      <c r="A165" s="1044">
        <v>159</v>
      </c>
      <c r="B165" s="172"/>
      <c r="C165" s="167"/>
      <c r="D165" s="626" t="s">
        <v>1168</v>
      </c>
      <c r="E165" s="169"/>
      <c r="F165" s="509"/>
      <c r="G165" s="509"/>
      <c r="H165" s="665"/>
      <c r="I165" s="675">
        <f t="shared" si="5"/>
        <v>500</v>
      </c>
      <c r="J165" s="170"/>
      <c r="K165" s="170"/>
      <c r="L165" s="170">
        <v>500</v>
      </c>
      <c r="M165" s="170"/>
      <c r="N165" s="414"/>
    </row>
    <row r="166" spans="1:14" s="412" customFormat="1" ht="17.25">
      <c r="A166" s="1044">
        <v>160</v>
      </c>
      <c r="B166" s="174"/>
      <c r="C166" s="421"/>
      <c r="D166" s="627" t="s">
        <v>1170</v>
      </c>
      <c r="E166" s="416"/>
      <c r="F166" s="511"/>
      <c r="G166" s="511"/>
      <c r="H166" s="666"/>
      <c r="I166" s="676">
        <f t="shared" si="5"/>
        <v>0</v>
      </c>
      <c r="J166" s="417"/>
      <c r="K166" s="417"/>
      <c r="L166" s="417"/>
      <c r="M166" s="417"/>
      <c r="N166" s="418"/>
    </row>
    <row r="167" spans="1:14" s="59" customFormat="1" ht="17.25">
      <c r="A167" s="1044">
        <v>161</v>
      </c>
      <c r="B167" s="422"/>
      <c r="C167" s="423"/>
      <c r="D167" s="625" t="s">
        <v>1169</v>
      </c>
      <c r="E167" s="633"/>
      <c r="F167" s="512"/>
      <c r="G167" s="512"/>
      <c r="H167" s="668"/>
      <c r="I167" s="678">
        <f t="shared" si="5"/>
        <v>500</v>
      </c>
      <c r="J167" s="512">
        <f>SUM(J165:J166)</f>
        <v>0</v>
      </c>
      <c r="K167" s="512">
        <f>SUM(K165:K166)</f>
        <v>0</v>
      </c>
      <c r="L167" s="512">
        <f>SUM(L165:L166)</f>
        <v>500</v>
      </c>
      <c r="M167" s="512">
        <f>SUM(M165:M166)</f>
        <v>0</v>
      </c>
      <c r="N167" s="639">
        <f>SUM(N165:N166)</f>
        <v>0</v>
      </c>
    </row>
    <row r="168" spans="1:14" s="60" customFormat="1" ht="17.25">
      <c r="A168" s="1044">
        <v>162</v>
      </c>
      <c r="B168" s="172"/>
      <c r="C168" s="167"/>
      <c r="D168" s="627" t="s">
        <v>945</v>
      </c>
      <c r="E168" s="416"/>
      <c r="F168" s="511"/>
      <c r="G168" s="511"/>
      <c r="H168" s="666"/>
      <c r="I168" s="676"/>
      <c r="J168" s="417"/>
      <c r="K168" s="417"/>
      <c r="L168" s="417"/>
      <c r="M168" s="417"/>
      <c r="N168" s="418"/>
    </row>
    <row r="169" spans="1:14" s="60" customFormat="1" ht="16.5">
      <c r="A169" s="1044">
        <v>163</v>
      </c>
      <c r="B169" s="172"/>
      <c r="C169" s="167"/>
      <c r="D169" s="626" t="s">
        <v>1168</v>
      </c>
      <c r="E169" s="169"/>
      <c r="F169" s="509"/>
      <c r="G169" s="509"/>
      <c r="H169" s="665"/>
      <c r="I169" s="675">
        <f t="shared" si="5"/>
        <v>500</v>
      </c>
      <c r="J169" s="170"/>
      <c r="K169" s="170"/>
      <c r="L169" s="170"/>
      <c r="M169" s="170"/>
      <c r="N169" s="414">
        <v>500</v>
      </c>
    </row>
    <row r="170" spans="1:14" s="412" customFormat="1" ht="17.25">
      <c r="A170" s="1044">
        <v>164</v>
      </c>
      <c r="B170" s="174"/>
      <c r="C170" s="421"/>
      <c r="D170" s="627" t="s">
        <v>1170</v>
      </c>
      <c r="E170" s="416"/>
      <c r="F170" s="511"/>
      <c r="G170" s="511"/>
      <c r="H170" s="666"/>
      <c r="I170" s="676">
        <f t="shared" si="5"/>
        <v>0</v>
      </c>
      <c r="J170" s="417"/>
      <c r="K170" s="417"/>
      <c r="L170" s="417"/>
      <c r="M170" s="417"/>
      <c r="N170" s="418"/>
    </row>
    <row r="171" spans="1:14" s="59" customFormat="1" ht="17.25">
      <c r="A171" s="1044">
        <v>165</v>
      </c>
      <c r="B171" s="422"/>
      <c r="C171" s="423"/>
      <c r="D171" s="625" t="s">
        <v>1169</v>
      </c>
      <c r="E171" s="633"/>
      <c r="F171" s="512"/>
      <c r="G171" s="512"/>
      <c r="H171" s="668"/>
      <c r="I171" s="678">
        <f t="shared" si="5"/>
        <v>500</v>
      </c>
      <c r="J171" s="512">
        <f>SUM(J169:J170)</f>
        <v>0</v>
      </c>
      <c r="K171" s="512">
        <f>SUM(K169:K170)</f>
        <v>0</v>
      </c>
      <c r="L171" s="512">
        <f>SUM(L169:L170)</f>
        <v>0</v>
      </c>
      <c r="M171" s="512">
        <f>SUM(M169:M170)</f>
        <v>0</v>
      </c>
      <c r="N171" s="639">
        <f>SUM(N169:N170)</f>
        <v>500</v>
      </c>
    </row>
    <row r="172" spans="1:14" s="60" customFormat="1" ht="17.25">
      <c r="A172" s="1044">
        <v>166</v>
      </c>
      <c r="B172" s="172"/>
      <c r="C172" s="167"/>
      <c r="D172" s="627" t="s">
        <v>946</v>
      </c>
      <c r="E172" s="416"/>
      <c r="F172" s="511">
        <v>1000</v>
      </c>
      <c r="G172" s="511">
        <v>1000</v>
      </c>
      <c r="H172" s="666">
        <v>1000</v>
      </c>
      <c r="I172" s="676"/>
      <c r="J172" s="417"/>
      <c r="K172" s="417"/>
      <c r="L172" s="417"/>
      <c r="M172" s="417"/>
      <c r="N172" s="418"/>
    </row>
    <row r="173" spans="1:14" s="60" customFormat="1" ht="16.5">
      <c r="A173" s="1044">
        <v>167</v>
      </c>
      <c r="B173" s="172"/>
      <c r="C173" s="167"/>
      <c r="D173" s="626" t="s">
        <v>1168</v>
      </c>
      <c r="E173" s="169"/>
      <c r="F173" s="509"/>
      <c r="G173" s="509"/>
      <c r="H173" s="665"/>
      <c r="I173" s="675">
        <f t="shared" si="5"/>
        <v>1000</v>
      </c>
      <c r="J173" s="170"/>
      <c r="K173" s="170"/>
      <c r="L173" s="170">
        <v>1000</v>
      </c>
      <c r="M173" s="170"/>
      <c r="N173" s="414"/>
    </row>
    <row r="174" spans="1:14" s="412" customFormat="1" ht="17.25">
      <c r="A174" s="1044">
        <v>168</v>
      </c>
      <c r="B174" s="174"/>
      <c r="C174" s="421"/>
      <c r="D174" s="627" t="s">
        <v>1170</v>
      </c>
      <c r="E174" s="416"/>
      <c r="F174" s="511"/>
      <c r="G174" s="511"/>
      <c r="H174" s="666"/>
      <c r="I174" s="676">
        <f t="shared" si="5"/>
        <v>0</v>
      </c>
      <c r="J174" s="417"/>
      <c r="K174" s="417"/>
      <c r="L174" s="417"/>
      <c r="M174" s="417"/>
      <c r="N174" s="418"/>
    </row>
    <row r="175" spans="1:14" s="59" customFormat="1" ht="17.25">
      <c r="A175" s="1044">
        <v>169</v>
      </c>
      <c r="B175" s="422"/>
      <c r="C175" s="423"/>
      <c r="D175" s="625" t="s">
        <v>1169</v>
      </c>
      <c r="E175" s="633"/>
      <c r="F175" s="512"/>
      <c r="G175" s="512"/>
      <c r="H175" s="668"/>
      <c r="I175" s="678">
        <f t="shared" si="5"/>
        <v>1000</v>
      </c>
      <c r="J175" s="512">
        <f>SUM(J173:J174)</f>
        <v>0</v>
      </c>
      <c r="K175" s="512">
        <f>SUM(K173:K174)</f>
        <v>0</v>
      </c>
      <c r="L175" s="512">
        <f>SUM(L173:L174)</f>
        <v>1000</v>
      </c>
      <c r="M175" s="512">
        <f>SUM(M173:M174)</f>
        <v>0</v>
      </c>
      <c r="N175" s="639">
        <f>SUM(N173:N174)</f>
        <v>0</v>
      </c>
    </row>
    <row r="176" spans="1:14" s="60" customFormat="1" ht="19.5" customHeight="1">
      <c r="A176" s="1044">
        <v>170</v>
      </c>
      <c r="B176" s="172"/>
      <c r="C176" s="167">
        <v>28</v>
      </c>
      <c r="D176" s="168" t="s">
        <v>808</v>
      </c>
      <c r="E176" s="169" t="s">
        <v>371</v>
      </c>
      <c r="F176" s="509">
        <v>12226</v>
      </c>
      <c r="G176" s="509">
        <v>13000</v>
      </c>
      <c r="H176" s="665">
        <v>10585</v>
      </c>
      <c r="I176" s="675"/>
      <c r="J176" s="169"/>
      <c r="K176" s="169"/>
      <c r="L176" s="169"/>
      <c r="M176" s="169"/>
      <c r="N176" s="638"/>
    </row>
    <row r="177" spans="1:14" s="60" customFormat="1" ht="16.5">
      <c r="A177" s="1044">
        <v>171</v>
      </c>
      <c r="B177" s="172"/>
      <c r="C177" s="167"/>
      <c r="D177" s="168" t="s">
        <v>1168</v>
      </c>
      <c r="E177" s="169"/>
      <c r="F177" s="509"/>
      <c r="G177" s="509"/>
      <c r="H177" s="665"/>
      <c r="I177" s="675">
        <f t="shared" si="5"/>
        <v>11000</v>
      </c>
      <c r="J177" s="170"/>
      <c r="K177" s="170"/>
      <c r="L177" s="170"/>
      <c r="M177" s="170">
        <v>11000</v>
      </c>
      <c r="N177" s="414"/>
    </row>
    <row r="178" spans="1:14" s="412" customFormat="1" ht="17.25">
      <c r="A178" s="1044">
        <v>172</v>
      </c>
      <c r="B178" s="174"/>
      <c r="C178" s="421"/>
      <c r="D178" s="415" t="s">
        <v>1170</v>
      </c>
      <c r="E178" s="416"/>
      <c r="F178" s="511"/>
      <c r="G178" s="511"/>
      <c r="H178" s="666"/>
      <c r="I178" s="676">
        <f t="shared" si="5"/>
        <v>0</v>
      </c>
      <c r="J178" s="417"/>
      <c r="K178" s="417"/>
      <c r="L178" s="417"/>
      <c r="M178" s="417"/>
      <c r="N178" s="418"/>
    </row>
    <row r="179" spans="1:14" s="59" customFormat="1" ht="17.25">
      <c r="A179" s="1044">
        <v>173</v>
      </c>
      <c r="B179" s="422"/>
      <c r="C179" s="423"/>
      <c r="D179" s="419" t="s">
        <v>1169</v>
      </c>
      <c r="E179" s="420"/>
      <c r="F179" s="510"/>
      <c r="G179" s="510"/>
      <c r="H179" s="667"/>
      <c r="I179" s="677">
        <f t="shared" si="5"/>
        <v>11000</v>
      </c>
      <c r="J179" s="510">
        <f>SUM(J177:J178)</f>
        <v>0</v>
      </c>
      <c r="K179" s="510">
        <f>SUM(K177:K178)</f>
        <v>0</v>
      </c>
      <c r="L179" s="510">
        <f>SUM(L177:L178)</f>
        <v>0</v>
      </c>
      <c r="M179" s="510">
        <f>SUM(M177:M178)</f>
        <v>11000</v>
      </c>
      <c r="N179" s="637">
        <f>SUM(N177:N178)</f>
        <v>0</v>
      </c>
    </row>
    <row r="180" spans="1:14" s="60" customFormat="1" ht="19.5" customHeight="1">
      <c r="A180" s="1044">
        <v>174</v>
      </c>
      <c r="B180" s="172"/>
      <c r="C180" s="167">
        <v>29</v>
      </c>
      <c r="D180" s="168" t="s">
        <v>809</v>
      </c>
      <c r="E180" s="169" t="s">
        <v>371</v>
      </c>
      <c r="F180" s="509">
        <v>40</v>
      </c>
      <c r="G180" s="509">
        <v>100</v>
      </c>
      <c r="H180" s="665">
        <v>100</v>
      </c>
      <c r="I180" s="675"/>
      <c r="J180" s="169"/>
      <c r="K180" s="169"/>
      <c r="L180" s="169"/>
      <c r="M180" s="169"/>
      <c r="N180" s="638"/>
    </row>
    <row r="181" spans="1:14" s="60" customFormat="1" ht="16.5">
      <c r="A181" s="1044">
        <v>175</v>
      </c>
      <c r="B181" s="172"/>
      <c r="C181" s="167"/>
      <c r="D181" s="168" t="s">
        <v>1168</v>
      </c>
      <c r="E181" s="169"/>
      <c r="F181" s="509"/>
      <c r="G181" s="509"/>
      <c r="H181" s="665"/>
      <c r="I181" s="675">
        <f t="shared" si="5"/>
        <v>300</v>
      </c>
      <c r="J181" s="170"/>
      <c r="K181" s="170"/>
      <c r="L181" s="170"/>
      <c r="M181" s="170">
        <v>300</v>
      </c>
      <c r="N181" s="414"/>
    </row>
    <row r="182" spans="1:14" s="412" customFormat="1" ht="17.25">
      <c r="A182" s="1044">
        <v>176</v>
      </c>
      <c r="B182" s="174"/>
      <c r="C182" s="421"/>
      <c r="D182" s="415" t="s">
        <v>1170</v>
      </c>
      <c r="E182" s="416"/>
      <c r="F182" s="511"/>
      <c r="G182" s="511"/>
      <c r="H182" s="666"/>
      <c r="I182" s="676">
        <f t="shared" si="5"/>
        <v>0</v>
      </c>
      <c r="J182" s="417"/>
      <c r="K182" s="417"/>
      <c r="L182" s="417"/>
      <c r="M182" s="417"/>
      <c r="N182" s="418"/>
    </row>
    <row r="183" spans="1:14" s="59" customFormat="1" ht="17.25">
      <c r="A183" s="1044">
        <v>177</v>
      </c>
      <c r="B183" s="422"/>
      <c r="C183" s="423"/>
      <c r="D183" s="419" t="s">
        <v>1169</v>
      </c>
      <c r="E183" s="420"/>
      <c r="F183" s="510"/>
      <c r="G183" s="510"/>
      <c r="H183" s="667"/>
      <c r="I183" s="677">
        <f t="shared" si="5"/>
        <v>300</v>
      </c>
      <c r="J183" s="510">
        <f>SUM(J181:J182)</f>
        <v>0</v>
      </c>
      <c r="K183" s="510">
        <f>SUM(K181:K182)</f>
        <v>0</v>
      </c>
      <c r="L183" s="510">
        <f>SUM(L181:L182)</f>
        <v>0</v>
      </c>
      <c r="M183" s="510">
        <f>SUM(M181:M182)</f>
        <v>300</v>
      </c>
      <c r="N183" s="637">
        <f>SUM(N181:N182)</f>
        <v>0</v>
      </c>
    </row>
    <row r="184" spans="1:14" s="60" customFormat="1" ht="24" customHeight="1">
      <c r="A184" s="1044">
        <v>178</v>
      </c>
      <c r="B184" s="172"/>
      <c r="C184" s="167">
        <v>30</v>
      </c>
      <c r="D184" s="168" t="s">
        <v>813</v>
      </c>
      <c r="E184" s="169" t="s">
        <v>371</v>
      </c>
      <c r="F184" s="509">
        <v>2099</v>
      </c>
      <c r="G184" s="509">
        <v>3000</v>
      </c>
      <c r="H184" s="665">
        <v>540</v>
      </c>
      <c r="I184" s="675"/>
      <c r="J184" s="169"/>
      <c r="K184" s="169"/>
      <c r="L184" s="169"/>
      <c r="M184" s="169"/>
      <c r="N184" s="638"/>
    </row>
    <row r="185" spans="1:14" s="60" customFormat="1" ht="16.5">
      <c r="A185" s="1044">
        <v>179</v>
      </c>
      <c r="B185" s="172"/>
      <c r="C185" s="167"/>
      <c r="D185" s="168" t="s">
        <v>1168</v>
      </c>
      <c r="E185" s="169"/>
      <c r="F185" s="509"/>
      <c r="G185" s="509"/>
      <c r="H185" s="665"/>
      <c r="I185" s="675">
        <f t="shared" si="5"/>
        <v>600</v>
      </c>
      <c r="J185" s="170"/>
      <c r="K185" s="170"/>
      <c r="L185" s="170"/>
      <c r="M185" s="170">
        <v>600</v>
      </c>
      <c r="N185" s="414"/>
    </row>
    <row r="186" spans="1:14" s="412" customFormat="1" ht="17.25">
      <c r="A186" s="1044">
        <v>180</v>
      </c>
      <c r="B186" s="174"/>
      <c r="C186" s="421"/>
      <c r="D186" s="415" t="s">
        <v>1170</v>
      </c>
      <c r="E186" s="416"/>
      <c r="F186" s="511"/>
      <c r="G186" s="511"/>
      <c r="H186" s="666"/>
      <c r="I186" s="676">
        <f t="shared" si="5"/>
        <v>0</v>
      </c>
      <c r="J186" s="417"/>
      <c r="K186" s="417"/>
      <c r="L186" s="417"/>
      <c r="M186" s="417"/>
      <c r="N186" s="418"/>
    </row>
    <row r="187" spans="1:14" s="59" customFormat="1" ht="17.25">
      <c r="A187" s="1044">
        <v>181</v>
      </c>
      <c r="B187" s="422"/>
      <c r="C187" s="423"/>
      <c r="D187" s="419" t="s">
        <v>1169</v>
      </c>
      <c r="E187" s="420"/>
      <c r="F187" s="510"/>
      <c r="G187" s="510"/>
      <c r="H187" s="667"/>
      <c r="I187" s="677">
        <f t="shared" si="5"/>
        <v>600</v>
      </c>
      <c r="J187" s="510">
        <f>SUM(J185:J186)</f>
        <v>0</v>
      </c>
      <c r="K187" s="510">
        <f>SUM(K185:K186)</f>
        <v>0</v>
      </c>
      <c r="L187" s="510">
        <f>SUM(L185:L186)</f>
        <v>0</v>
      </c>
      <c r="M187" s="510">
        <f>SUM(M185:M186)</f>
        <v>600</v>
      </c>
      <c r="N187" s="637">
        <f>SUM(N185:N186)</f>
        <v>0</v>
      </c>
    </row>
    <row r="188" spans="1:14" s="60" customFormat="1" ht="25.5" customHeight="1">
      <c r="A188" s="1044">
        <v>182</v>
      </c>
      <c r="B188" s="172"/>
      <c r="C188" s="167">
        <v>31</v>
      </c>
      <c r="D188" s="168" t="s">
        <v>811</v>
      </c>
      <c r="E188" s="169" t="s">
        <v>371</v>
      </c>
      <c r="F188" s="509">
        <v>165674</v>
      </c>
      <c r="G188" s="509">
        <v>186000</v>
      </c>
      <c r="H188" s="665">
        <v>144043</v>
      </c>
      <c r="I188" s="675"/>
      <c r="J188" s="169"/>
      <c r="K188" s="169"/>
      <c r="L188" s="169"/>
      <c r="M188" s="169"/>
      <c r="N188" s="638"/>
    </row>
    <row r="189" spans="1:14" s="60" customFormat="1" ht="16.5">
      <c r="A189" s="1044">
        <v>183</v>
      </c>
      <c r="B189" s="172"/>
      <c r="C189" s="167"/>
      <c r="D189" s="168" t="s">
        <v>1168</v>
      </c>
      <c r="E189" s="169"/>
      <c r="F189" s="509"/>
      <c r="G189" s="509"/>
      <c r="H189" s="665"/>
      <c r="I189" s="675">
        <f t="shared" si="5"/>
        <v>150000</v>
      </c>
      <c r="J189" s="170"/>
      <c r="K189" s="170"/>
      <c r="L189" s="170"/>
      <c r="M189" s="170">
        <v>150000</v>
      </c>
      <c r="N189" s="414"/>
    </row>
    <row r="190" spans="1:14" s="412" customFormat="1" ht="17.25">
      <c r="A190" s="1044">
        <v>184</v>
      </c>
      <c r="B190" s="174"/>
      <c r="C190" s="421"/>
      <c r="D190" s="415" t="s">
        <v>1170</v>
      </c>
      <c r="E190" s="416"/>
      <c r="F190" s="511"/>
      <c r="G190" s="511"/>
      <c r="H190" s="666"/>
      <c r="I190" s="676">
        <f t="shared" si="5"/>
        <v>0</v>
      </c>
      <c r="J190" s="417"/>
      <c r="K190" s="417"/>
      <c r="L190" s="417"/>
      <c r="M190" s="417"/>
      <c r="N190" s="418"/>
    </row>
    <row r="191" spans="1:14" s="59" customFormat="1" ht="17.25">
      <c r="A191" s="1044">
        <v>185</v>
      </c>
      <c r="B191" s="422"/>
      <c r="C191" s="423"/>
      <c r="D191" s="419" t="s">
        <v>1169</v>
      </c>
      <c r="E191" s="420"/>
      <c r="F191" s="510"/>
      <c r="G191" s="510"/>
      <c r="H191" s="667"/>
      <c r="I191" s="677">
        <f t="shared" si="5"/>
        <v>150000</v>
      </c>
      <c r="J191" s="510">
        <f>SUM(J189:J190)</f>
        <v>0</v>
      </c>
      <c r="K191" s="510">
        <f>SUM(K189:K190)</f>
        <v>0</v>
      </c>
      <c r="L191" s="510">
        <f>SUM(L189:L190)</f>
        <v>0</v>
      </c>
      <c r="M191" s="510">
        <f>SUM(M189:M190)</f>
        <v>150000</v>
      </c>
      <c r="N191" s="637">
        <f>SUM(N189:N190)</f>
        <v>0</v>
      </c>
    </row>
    <row r="192" spans="1:14" s="60" customFormat="1" ht="25.5" customHeight="1">
      <c r="A192" s="1044">
        <v>186</v>
      </c>
      <c r="B192" s="172"/>
      <c r="C192" s="167">
        <v>32</v>
      </c>
      <c r="D192" s="168" t="s">
        <v>815</v>
      </c>
      <c r="E192" s="169" t="s">
        <v>371</v>
      </c>
      <c r="F192" s="509">
        <v>53807</v>
      </c>
      <c r="G192" s="509">
        <v>46000</v>
      </c>
      <c r="H192" s="665">
        <v>38728</v>
      </c>
      <c r="I192" s="675"/>
      <c r="J192" s="169"/>
      <c r="K192" s="169"/>
      <c r="L192" s="169"/>
      <c r="M192" s="169"/>
      <c r="N192" s="638"/>
    </row>
    <row r="193" spans="1:14" s="60" customFormat="1" ht="16.5">
      <c r="A193" s="1044">
        <v>187</v>
      </c>
      <c r="B193" s="172"/>
      <c r="C193" s="167"/>
      <c r="D193" s="168" t="s">
        <v>1168</v>
      </c>
      <c r="E193" s="169"/>
      <c r="F193" s="509"/>
      <c r="G193" s="509"/>
      <c r="H193" s="665"/>
      <c r="I193" s="675">
        <f t="shared" si="5"/>
        <v>40000</v>
      </c>
      <c r="J193" s="170"/>
      <c r="K193" s="170"/>
      <c r="L193" s="170"/>
      <c r="M193" s="170">
        <v>40000</v>
      </c>
      <c r="N193" s="414"/>
    </row>
    <row r="194" spans="1:14" s="412" customFormat="1" ht="17.25">
      <c r="A194" s="1044">
        <v>188</v>
      </c>
      <c r="B194" s="174"/>
      <c r="C194" s="421"/>
      <c r="D194" s="415" t="s">
        <v>1170</v>
      </c>
      <c r="E194" s="416"/>
      <c r="F194" s="511"/>
      <c r="G194" s="511"/>
      <c r="H194" s="666"/>
      <c r="I194" s="676">
        <f t="shared" si="5"/>
        <v>0</v>
      </c>
      <c r="J194" s="417"/>
      <c r="K194" s="417"/>
      <c r="L194" s="417"/>
      <c r="M194" s="417"/>
      <c r="N194" s="418"/>
    </row>
    <row r="195" spans="1:14" s="59" customFormat="1" ht="17.25">
      <c r="A195" s="1044">
        <v>189</v>
      </c>
      <c r="B195" s="422"/>
      <c r="C195" s="423"/>
      <c r="D195" s="419" t="s">
        <v>1169</v>
      </c>
      <c r="E195" s="420"/>
      <c r="F195" s="510"/>
      <c r="G195" s="510"/>
      <c r="H195" s="667"/>
      <c r="I195" s="677">
        <f t="shared" si="5"/>
        <v>40000</v>
      </c>
      <c r="J195" s="510">
        <f>SUM(J193:J194)</f>
        <v>0</v>
      </c>
      <c r="K195" s="510">
        <f>SUM(K193:K194)</f>
        <v>0</v>
      </c>
      <c r="L195" s="510">
        <f>SUM(L193:L194)</f>
        <v>0</v>
      </c>
      <c r="M195" s="510">
        <f>SUM(M193:M194)</f>
        <v>40000</v>
      </c>
      <c r="N195" s="637">
        <f>SUM(N193:N194)</f>
        <v>0</v>
      </c>
    </row>
    <row r="196" spans="1:14" s="60" customFormat="1" ht="25.5" customHeight="1">
      <c r="A196" s="1044">
        <v>190</v>
      </c>
      <c r="B196" s="172"/>
      <c r="C196" s="167">
        <v>33</v>
      </c>
      <c r="D196" s="168" t="s">
        <v>810</v>
      </c>
      <c r="E196" s="169" t="s">
        <v>371</v>
      </c>
      <c r="F196" s="509">
        <v>36074</v>
      </c>
      <c r="G196" s="509">
        <v>40000</v>
      </c>
      <c r="H196" s="665">
        <v>40173</v>
      </c>
      <c r="I196" s="675"/>
      <c r="J196" s="169"/>
      <c r="K196" s="169"/>
      <c r="L196" s="169"/>
      <c r="M196" s="169"/>
      <c r="N196" s="638"/>
    </row>
    <row r="197" spans="1:14" s="60" customFormat="1" ht="16.5">
      <c r="A197" s="1044">
        <v>191</v>
      </c>
      <c r="B197" s="172"/>
      <c r="C197" s="167"/>
      <c r="D197" s="168" t="s">
        <v>1168</v>
      </c>
      <c r="E197" s="169"/>
      <c r="F197" s="509"/>
      <c r="G197" s="509"/>
      <c r="H197" s="665"/>
      <c r="I197" s="675">
        <f t="shared" si="5"/>
        <v>42000</v>
      </c>
      <c r="J197" s="170"/>
      <c r="K197" s="170"/>
      <c r="L197" s="170"/>
      <c r="M197" s="170">
        <v>42000</v>
      </c>
      <c r="N197" s="414"/>
    </row>
    <row r="198" spans="1:14" s="412" customFormat="1" ht="17.25">
      <c r="A198" s="1044">
        <v>192</v>
      </c>
      <c r="B198" s="174"/>
      <c r="C198" s="421"/>
      <c r="D198" s="415" t="s">
        <v>1170</v>
      </c>
      <c r="E198" s="416"/>
      <c r="F198" s="511"/>
      <c r="G198" s="511"/>
      <c r="H198" s="666"/>
      <c r="I198" s="676">
        <f t="shared" si="5"/>
        <v>0</v>
      </c>
      <c r="J198" s="417"/>
      <c r="K198" s="417"/>
      <c r="L198" s="417"/>
      <c r="M198" s="417"/>
      <c r="N198" s="418"/>
    </row>
    <row r="199" spans="1:14" s="59" customFormat="1" ht="17.25">
      <c r="A199" s="1044">
        <v>193</v>
      </c>
      <c r="B199" s="422"/>
      <c r="C199" s="423"/>
      <c r="D199" s="419" t="s">
        <v>1169</v>
      </c>
      <c r="E199" s="420"/>
      <c r="F199" s="510"/>
      <c r="G199" s="510"/>
      <c r="H199" s="667"/>
      <c r="I199" s="677">
        <f t="shared" si="5"/>
        <v>42000</v>
      </c>
      <c r="J199" s="510">
        <f>SUM(J197:J198)</f>
        <v>0</v>
      </c>
      <c r="K199" s="510">
        <f>SUM(K197:K198)</f>
        <v>0</v>
      </c>
      <c r="L199" s="510">
        <f>SUM(L197:L198)</f>
        <v>0</v>
      </c>
      <c r="M199" s="510">
        <f>SUM(M197:M198)</f>
        <v>42000</v>
      </c>
      <c r="N199" s="637">
        <f>SUM(N197:N198)</f>
        <v>0</v>
      </c>
    </row>
    <row r="200" spans="1:14" s="60" customFormat="1" ht="25.5" customHeight="1">
      <c r="A200" s="1044">
        <v>194</v>
      </c>
      <c r="B200" s="172"/>
      <c r="C200" s="167">
        <v>34</v>
      </c>
      <c r="D200" s="168" t="s">
        <v>817</v>
      </c>
      <c r="E200" s="169" t="s">
        <v>466</v>
      </c>
      <c r="F200" s="509">
        <v>1916</v>
      </c>
      <c r="G200" s="509">
        <v>2300</v>
      </c>
      <c r="H200" s="665">
        <v>2604</v>
      </c>
      <c r="I200" s="675"/>
      <c r="J200" s="169"/>
      <c r="K200" s="169"/>
      <c r="L200" s="169"/>
      <c r="M200" s="169"/>
      <c r="N200" s="638"/>
    </row>
    <row r="201" spans="1:14" s="60" customFormat="1" ht="16.5">
      <c r="A201" s="1044">
        <v>195</v>
      </c>
      <c r="B201" s="172"/>
      <c r="C201" s="167"/>
      <c r="D201" s="168" t="s">
        <v>1168</v>
      </c>
      <c r="E201" s="169"/>
      <c r="F201" s="509"/>
      <c r="G201" s="509"/>
      <c r="H201" s="665"/>
      <c r="I201" s="675">
        <f t="shared" si="5"/>
        <v>3000</v>
      </c>
      <c r="J201" s="170"/>
      <c r="K201" s="170"/>
      <c r="L201" s="170"/>
      <c r="M201" s="170">
        <v>3000</v>
      </c>
      <c r="N201" s="414"/>
    </row>
    <row r="202" spans="1:14" s="412" customFormat="1" ht="17.25">
      <c r="A202" s="1044">
        <v>196</v>
      </c>
      <c r="B202" s="174"/>
      <c r="C202" s="421"/>
      <c r="D202" s="415" t="s">
        <v>1170</v>
      </c>
      <c r="E202" s="416"/>
      <c r="F202" s="511"/>
      <c r="G202" s="511"/>
      <c r="H202" s="666"/>
      <c r="I202" s="676">
        <f t="shared" si="5"/>
        <v>0</v>
      </c>
      <c r="J202" s="417"/>
      <c r="K202" s="417"/>
      <c r="L202" s="417"/>
      <c r="M202" s="417"/>
      <c r="N202" s="418"/>
    </row>
    <row r="203" spans="1:14" s="59" customFormat="1" ht="17.25">
      <c r="A203" s="1044">
        <v>197</v>
      </c>
      <c r="B203" s="422"/>
      <c r="C203" s="423"/>
      <c r="D203" s="419" t="s">
        <v>1169</v>
      </c>
      <c r="E203" s="420"/>
      <c r="F203" s="510"/>
      <c r="G203" s="510"/>
      <c r="H203" s="667"/>
      <c r="I203" s="677">
        <f t="shared" si="5"/>
        <v>3000</v>
      </c>
      <c r="J203" s="510">
        <f>SUM(J201:J202)</f>
        <v>0</v>
      </c>
      <c r="K203" s="510">
        <f>SUM(K201:K202)</f>
        <v>0</v>
      </c>
      <c r="L203" s="510">
        <f>SUM(L201:L202)</f>
        <v>0</v>
      </c>
      <c r="M203" s="510">
        <f>SUM(M201:M202)</f>
        <v>3000</v>
      </c>
      <c r="N203" s="637">
        <f>SUM(N201:N202)</f>
        <v>0</v>
      </c>
    </row>
    <row r="204" spans="1:14" s="60" customFormat="1" ht="25.5" customHeight="1">
      <c r="A204" s="1044">
        <v>198</v>
      </c>
      <c r="B204" s="172"/>
      <c r="C204" s="167">
        <v>35</v>
      </c>
      <c r="D204" s="168" t="s">
        <v>970</v>
      </c>
      <c r="E204" s="169" t="s">
        <v>466</v>
      </c>
      <c r="F204" s="509">
        <v>5427</v>
      </c>
      <c r="G204" s="509">
        <v>7600</v>
      </c>
      <c r="H204" s="665">
        <v>4905</v>
      </c>
      <c r="I204" s="675"/>
      <c r="J204" s="169"/>
      <c r="K204" s="169"/>
      <c r="L204" s="169"/>
      <c r="M204" s="169"/>
      <c r="N204" s="638"/>
    </row>
    <row r="205" spans="1:14" s="60" customFormat="1" ht="16.5">
      <c r="A205" s="1044">
        <v>199</v>
      </c>
      <c r="B205" s="172"/>
      <c r="C205" s="167"/>
      <c r="D205" s="168" t="s">
        <v>1168</v>
      </c>
      <c r="E205" s="169"/>
      <c r="F205" s="509"/>
      <c r="G205" s="509"/>
      <c r="H205" s="665"/>
      <c r="I205" s="675">
        <f t="shared" si="5"/>
        <v>0</v>
      </c>
      <c r="J205" s="170"/>
      <c r="K205" s="170"/>
      <c r="L205" s="170"/>
      <c r="M205" s="170"/>
      <c r="N205" s="414"/>
    </row>
    <row r="206" spans="1:14" s="412" customFormat="1" ht="17.25">
      <c r="A206" s="1044">
        <v>200</v>
      </c>
      <c r="B206" s="174"/>
      <c r="C206" s="421"/>
      <c r="D206" s="415" t="s">
        <v>1170</v>
      </c>
      <c r="E206" s="416"/>
      <c r="F206" s="511"/>
      <c r="G206" s="511"/>
      <c r="H206" s="666"/>
      <c r="I206" s="676">
        <f aca="true" t="shared" si="7" ref="I206:I270">SUM(J206:N206)</f>
        <v>0</v>
      </c>
      <c r="J206" s="417"/>
      <c r="K206" s="417"/>
      <c r="L206" s="417"/>
      <c r="M206" s="417"/>
      <c r="N206" s="418"/>
    </row>
    <row r="207" spans="1:14" s="59" customFormat="1" ht="17.25">
      <c r="A207" s="1044">
        <v>201</v>
      </c>
      <c r="B207" s="422"/>
      <c r="C207" s="423"/>
      <c r="D207" s="419" t="s">
        <v>1169</v>
      </c>
      <c r="E207" s="420"/>
      <c r="F207" s="510"/>
      <c r="G207" s="510"/>
      <c r="H207" s="667"/>
      <c r="I207" s="677">
        <f t="shared" si="7"/>
        <v>0</v>
      </c>
      <c r="J207" s="510">
        <f>SUM(J205:J206)</f>
        <v>0</v>
      </c>
      <c r="K207" s="510">
        <f>SUM(K205:K206)</f>
        <v>0</v>
      </c>
      <c r="L207" s="510">
        <f>SUM(L205:L206)</f>
        <v>0</v>
      </c>
      <c r="M207" s="510">
        <f>SUM(M205:M206)</f>
        <v>0</v>
      </c>
      <c r="N207" s="637">
        <f>SUM(N205:N206)</f>
        <v>0</v>
      </c>
    </row>
    <row r="208" spans="1:14" s="60" customFormat="1" ht="25.5" customHeight="1">
      <c r="A208" s="1044">
        <v>202</v>
      </c>
      <c r="B208" s="172"/>
      <c r="C208" s="167">
        <v>36</v>
      </c>
      <c r="D208" s="168" t="s">
        <v>971</v>
      </c>
      <c r="E208" s="169" t="s">
        <v>466</v>
      </c>
      <c r="F208" s="509">
        <v>16649</v>
      </c>
      <c r="G208" s="509">
        <v>19000</v>
      </c>
      <c r="H208" s="665">
        <v>12688</v>
      </c>
      <c r="I208" s="675"/>
      <c r="J208" s="169"/>
      <c r="K208" s="169"/>
      <c r="L208" s="169"/>
      <c r="M208" s="169"/>
      <c r="N208" s="638"/>
    </row>
    <row r="209" spans="1:14" s="60" customFormat="1" ht="16.5">
      <c r="A209" s="1044">
        <v>203</v>
      </c>
      <c r="B209" s="172"/>
      <c r="C209" s="167"/>
      <c r="D209" s="168" t="s">
        <v>1168</v>
      </c>
      <c r="E209" s="169"/>
      <c r="F209" s="509"/>
      <c r="G209" s="509"/>
      <c r="H209" s="665"/>
      <c r="I209" s="675">
        <f t="shared" si="7"/>
        <v>0</v>
      </c>
      <c r="J209" s="170"/>
      <c r="K209" s="170"/>
      <c r="L209" s="170"/>
      <c r="M209" s="170"/>
      <c r="N209" s="414"/>
    </row>
    <row r="210" spans="1:14" s="412" customFormat="1" ht="17.25">
      <c r="A210" s="1044">
        <v>204</v>
      </c>
      <c r="B210" s="174"/>
      <c r="C210" s="421"/>
      <c r="D210" s="415" t="s">
        <v>1170</v>
      </c>
      <c r="E210" s="416"/>
      <c r="F210" s="511"/>
      <c r="G210" s="511"/>
      <c r="H210" s="666"/>
      <c r="I210" s="676">
        <f t="shared" si="7"/>
        <v>0</v>
      </c>
      <c r="J210" s="417"/>
      <c r="K210" s="417"/>
      <c r="L210" s="417"/>
      <c r="M210" s="417"/>
      <c r="N210" s="418"/>
    </row>
    <row r="211" spans="1:14" s="59" customFormat="1" ht="17.25">
      <c r="A211" s="1044">
        <v>205</v>
      </c>
      <c r="B211" s="422"/>
      <c r="C211" s="423"/>
      <c r="D211" s="419" t="s">
        <v>1169</v>
      </c>
      <c r="E211" s="420"/>
      <c r="F211" s="510"/>
      <c r="G211" s="510"/>
      <c r="H211" s="667"/>
      <c r="I211" s="677">
        <f t="shared" si="7"/>
        <v>0</v>
      </c>
      <c r="J211" s="510">
        <f>SUM(J209:J210)</f>
        <v>0</v>
      </c>
      <c r="K211" s="510">
        <f>SUM(K209:K210)</f>
        <v>0</v>
      </c>
      <c r="L211" s="510">
        <f>SUM(L209:L210)</f>
        <v>0</v>
      </c>
      <c r="M211" s="510">
        <f>SUM(M209:M210)</f>
        <v>0</v>
      </c>
      <c r="N211" s="637">
        <f>SUM(N209:N210)</f>
        <v>0</v>
      </c>
    </row>
    <row r="212" spans="1:14" s="60" customFormat="1" ht="25.5" customHeight="1">
      <c r="A212" s="1044">
        <v>206</v>
      </c>
      <c r="B212" s="172"/>
      <c r="C212" s="167">
        <v>37</v>
      </c>
      <c r="D212" s="168" t="s">
        <v>372</v>
      </c>
      <c r="E212" s="169" t="s">
        <v>466</v>
      </c>
      <c r="F212" s="509"/>
      <c r="G212" s="509"/>
      <c r="H212" s="665"/>
      <c r="I212" s="675"/>
      <c r="J212" s="169"/>
      <c r="K212" s="169"/>
      <c r="L212" s="169"/>
      <c r="M212" s="169"/>
      <c r="N212" s="638"/>
    </row>
    <row r="213" spans="1:14" s="60" customFormat="1" ht="16.5">
      <c r="A213" s="1044">
        <v>207</v>
      </c>
      <c r="B213" s="172"/>
      <c r="C213" s="167"/>
      <c r="D213" s="168" t="s">
        <v>1168</v>
      </c>
      <c r="E213" s="169"/>
      <c r="F213" s="509"/>
      <c r="G213" s="509"/>
      <c r="H213" s="665"/>
      <c r="I213" s="675">
        <f t="shared" si="7"/>
        <v>28000</v>
      </c>
      <c r="J213" s="170"/>
      <c r="K213" s="170"/>
      <c r="L213" s="170"/>
      <c r="M213" s="170">
        <v>28000</v>
      </c>
      <c r="N213" s="414"/>
    </row>
    <row r="214" spans="1:14" s="412" customFormat="1" ht="17.25">
      <c r="A214" s="1044">
        <v>208</v>
      </c>
      <c r="B214" s="174"/>
      <c r="C214" s="421"/>
      <c r="D214" s="415" t="s">
        <v>759</v>
      </c>
      <c r="E214" s="416"/>
      <c r="F214" s="511"/>
      <c r="G214" s="511"/>
      <c r="H214" s="666"/>
      <c r="I214" s="676">
        <f t="shared" si="7"/>
        <v>-4650</v>
      </c>
      <c r="J214" s="417"/>
      <c r="K214" s="417"/>
      <c r="L214" s="417"/>
      <c r="M214" s="417">
        <v>-4650</v>
      </c>
      <c r="N214" s="418"/>
    </row>
    <row r="215" spans="1:14" s="59" customFormat="1" ht="17.25">
      <c r="A215" s="1044">
        <v>209</v>
      </c>
      <c r="B215" s="422"/>
      <c r="C215" s="423"/>
      <c r="D215" s="419" t="s">
        <v>1169</v>
      </c>
      <c r="E215" s="420"/>
      <c r="F215" s="510"/>
      <c r="G215" s="510"/>
      <c r="H215" s="667"/>
      <c r="I215" s="677">
        <f t="shared" si="7"/>
        <v>23350</v>
      </c>
      <c r="J215" s="510">
        <f>SUM(J213:J214)</f>
        <v>0</v>
      </c>
      <c r="K215" s="510">
        <f>SUM(K213:K214)</f>
        <v>0</v>
      </c>
      <c r="L215" s="510">
        <f>SUM(L213:L214)</f>
        <v>0</v>
      </c>
      <c r="M215" s="510">
        <f>SUM(M213:M214)</f>
        <v>23350</v>
      </c>
      <c r="N215" s="637">
        <f>SUM(N213:N214)</f>
        <v>0</v>
      </c>
    </row>
    <row r="216" spans="1:14" s="60" customFormat="1" ht="25.5" customHeight="1">
      <c r="A216" s="1044">
        <v>210</v>
      </c>
      <c r="B216" s="172"/>
      <c r="C216" s="167">
        <v>38</v>
      </c>
      <c r="D216" s="168" t="s">
        <v>373</v>
      </c>
      <c r="E216" s="169" t="s">
        <v>466</v>
      </c>
      <c r="F216" s="509"/>
      <c r="G216" s="509"/>
      <c r="H216" s="665"/>
      <c r="I216" s="675"/>
      <c r="J216" s="169"/>
      <c r="K216" s="169"/>
      <c r="L216" s="169"/>
      <c r="M216" s="169"/>
      <c r="N216" s="638"/>
    </row>
    <row r="217" spans="1:14" s="60" customFormat="1" ht="16.5">
      <c r="A217" s="1044">
        <v>211</v>
      </c>
      <c r="B217" s="172"/>
      <c r="C217" s="167"/>
      <c r="D217" s="168" t="s">
        <v>1168</v>
      </c>
      <c r="E217" s="169"/>
      <c r="F217" s="509"/>
      <c r="G217" s="509"/>
      <c r="H217" s="665"/>
      <c r="I217" s="675">
        <f t="shared" si="7"/>
        <v>1000</v>
      </c>
      <c r="J217" s="170"/>
      <c r="K217" s="170"/>
      <c r="L217" s="170"/>
      <c r="M217" s="170">
        <v>1000</v>
      </c>
      <c r="N217" s="414"/>
    </row>
    <row r="218" spans="1:14" s="412" customFormat="1" ht="17.25">
      <c r="A218" s="1044">
        <v>212</v>
      </c>
      <c r="B218" s="174"/>
      <c r="C218" s="421"/>
      <c r="D218" s="415" t="s">
        <v>759</v>
      </c>
      <c r="E218" s="416"/>
      <c r="F218" s="511"/>
      <c r="G218" s="511"/>
      <c r="H218" s="666"/>
      <c r="I218" s="676">
        <f t="shared" si="7"/>
        <v>4650</v>
      </c>
      <c r="J218" s="417"/>
      <c r="K218" s="417"/>
      <c r="L218" s="417"/>
      <c r="M218" s="417">
        <v>4650</v>
      </c>
      <c r="N218" s="418"/>
    </row>
    <row r="219" spans="1:14" s="59" customFormat="1" ht="17.25">
      <c r="A219" s="1044">
        <v>213</v>
      </c>
      <c r="B219" s="422"/>
      <c r="C219" s="423"/>
      <c r="D219" s="419" t="s">
        <v>1169</v>
      </c>
      <c r="E219" s="420"/>
      <c r="F219" s="510"/>
      <c r="G219" s="510"/>
      <c r="H219" s="667"/>
      <c r="I219" s="677">
        <f t="shared" si="7"/>
        <v>5650</v>
      </c>
      <c r="J219" s="510">
        <f>SUM(J217:J218)</f>
        <v>0</v>
      </c>
      <c r="K219" s="510">
        <f>SUM(K217:K218)</f>
        <v>0</v>
      </c>
      <c r="L219" s="510">
        <f>SUM(L217:L218)</f>
        <v>0</v>
      </c>
      <c r="M219" s="510">
        <f>SUM(M217:M218)</f>
        <v>5650</v>
      </c>
      <c r="N219" s="637">
        <f>SUM(N217:N218)</f>
        <v>0</v>
      </c>
    </row>
    <row r="220" spans="1:14" s="60" customFormat="1" ht="25.5" customHeight="1">
      <c r="A220" s="1044">
        <v>214</v>
      </c>
      <c r="B220" s="172"/>
      <c r="C220" s="167">
        <v>39</v>
      </c>
      <c r="D220" s="168" t="s">
        <v>816</v>
      </c>
      <c r="E220" s="169" t="s">
        <v>466</v>
      </c>
      <c r="F220" s="509">
        <v>2279</v>
      </c>
      <c r="G220" s="509">
        <v>15632</v>
      </c>
      <c r="H220" s="665">
        <v>16993</v>
      </c>
      <c r="I220" s="675"/>
      <c r="J220" s="169"/>
      <c r="K220" s="169"/>
      <c r="L220" s="169"/>
      <c r="M220" s="169"/>
      <c r="N220" s="638"/>
    </row>
    <row r="221" spans="1:14" s="60" customFormat="1" ht="16.5">
      <c r="A221" s="1044">
        <v>215</v>
      </c>
      <c r="B221" s="172"/>
      <c r="C221" s="167"/>
      <c r="D221" s="168" t="s">
        <v>1168</v>
      </c>
      <c r="E221" s="169"/>
      <c r="F221" s="509"/>
      <c r="G221" s="509"/>
      <c r="H221" s="665"/>
      <c r="I221" s="675">
        <f t="shared" si="7"/>
        <v>46400</v>
      </c>
      <c r="J221" s="170">
        <v>38844</v>
      </c>
      <c r="K221" s="170">
        <v>5244</v>
      </c>
      <c r="L221" s="170">
        <v>2312</v>
      </c>
      <c r="M221" s="170"/>
      <c r="N221" s="414"/>
    </row>
    <row r="222" spans="1:14" s="412" customFormat="1" ht="17.25">
      <c r="A222" s="1044">
        <v>216</v>
      </c>
      <c r="B222" s="174"/>
      <c r="C222" s="421"/>
      <c r="D222" s="415" t="s">
        <v>1170</v>
      </c>
      <c r="E222" s="416"/>
      <c r="F222" s="511"/>
      <c r="G222" s="511"/>
      <c r="H222" s="666"/>
      <c r="I222" s="676">
        <f t="shared" si="7"/>
        <v>0</v>
      </c>
      <c r="J222" s="417"/>
      <c r="K222" s="417"/>
      <c r="L222" s="417"/>
      <c r="M222" s="417"/>
      <c r="N222" s="418"/>
    </row>
    <row r="223" spans="1:14" s="59" customFormat="1" ht="17.25">
      <c r="A223" s="1044">
        <v>217</v>
      </c>
      <c r="B223" s="422"/>
      <c r="C223" s="423"/>
      <c r="D223" s="419" t="s">
        <v>1169</v>
      </c>
      <c r="E223" s="420"/>
      <c r="F223" s="510"/>
      <c r="G223" s="510"/>
      <c r="H223" s="667"/>
      <c r="I223" s="677">
        <f t="shared" si="7"/>
        <v>46400</v>
      </c>
      <c r="J223" s="510">
        <f>SUM(J221:J222)</f>
        <v>38844</v>
      </c>
      <c r="K223" s="510">
        <f>SUM(K221:K222)</f>
        <v>5244</v>
      </c>
      <c r="L223" s="510">
        <f>SUM(L221:L222)</f>
        <v>2312</v>
      </c>
      <c r="M223" s="510">
        <f>SUM(M221:M222)</f>
        <v>0</v>
      </c>
      <c r="N223" s="637">
        <f>SUM(N221:N222)</f>
        <v>0</v>
      </c>
    </row>
    <row r="224" spans="1:14" s="60" customFormat="1" ht="24" customHeight="1">
      <c r="A224" s="1044">
        <v>218</v>
      </c>
      <c r="B224" s="172"/>
      <c r="C224" s="167">
        <v>40</v>
      </c>
      <c r="D224" s="168" t="s">
        <v>814</v>
      </c>
      <c r="E224" s="169" t="s">
        <v>466</v>
      </c>
      <c r="F224" s="509">
        <v>10000</v>
      </c>
      <c r="G224" s="509">
        <v>10000</v>
      </c>
      <c r="H224" s="665">
        <v>10000</v>
      </c>
      <c r="I224" s="675"/>
      <c r="J224" s="169"/>
      <c r="K224" s="169"/>
      <c r="L224" s="169"/>
      <c r="M224" s="169"/>
      <c r="N224" s="638"/>
    </row>
    <row r="225" spans="1:14" s="60" customFormat="1" ht="16.5">
      <c r="A225" s="1044">
        <v>219</v>
      </c>
      <c r="B225" s="172"/>
      <c r="C225" s="167"/>
      <c r="D225" s="168" t="s">
        <v>1168</v>
      </c>
      <c r="E225" s="169"/>
      <c r="F225" s="509"/>
      <c r="G225" s="509"/>
      <c r="H225" s="665"/>
      <c r="I225" s="675">
        <f t="shared" si="7"/>
        <v>11000</v>
      </c>
      <c r="J225" s="170"/>
      <c r="K225" s="170"/>
      <c r="L225" s="170"/>
      <c r="M225" s="170"/>
      <c r="N225" s="414">
        <v>11000</v>
      </c>
    </row>
    <row r="226" spans="1:14" s="412" customFormat="1" ht="17.25">
      <c r="A226" s="1044">
        <v>220</v>
      </c>
      <c r="B226" s="174"/>
      <c r="C226" s="421"/>
      <c r="D226" s="415" t="s">
        <v>1170</v>
      </c>
      <c r="E226" s="416"/>
      <c r="F226" s="511"/>
      <c r="G226" s="511"/>
      <c r="H226" s="666"/>
      <c r="I226" s="676">
        <f t="shared" si="7"/>
        <v>0</v>
      </c>
      <c r="J226" s="417"/>
      <c r="K226" s="417"/>
      <c r="L226" s="417"/>
      <c r="M226" s="417"/>
      <c r="N226" s="418"/>
    </row>
    <row r="227" spans="1:14" s="59" customFormat="1" ht="17.25">
      <c r="A227" s="1044">
        <v>221</v>
      </c>
      <c r="B227" s="422"/>
      <c r="C227" s="423"/>
      <c r="D227" s="419" t="s">
        <v>1169</v>
      </c>
      <c r="E227" s="420"/>
      <c r="F227" s="510"/>
      <c r="G227" s="510"/>
      <c r="H227" s="667"/>
      <c r="I227" s="677">
        <f t="shared" si="7"/>
        <v>11000</v>
      </c>
      <c r="J227" s="510">
        <f>SUM(J225:J226)</f>
        <v>0</v>
      </c>
      <c r="K227" s="510">
        <f>SUM(K225:K226)</f>
        <v>0</v>
      </c>
      <c r="L227" s="510">
        <f>SUM(L225:L226)</f>
        <v>0</v>
      </c>
      <c r="M227" s="510">
        <f>SUM(M225:M226)</f>
        <v>0</v>
      </c>
      <c r="N227" s="637">
        <f>SUM(N225:N226)</f>
        <v>11000</v>
      </c>
    </row>
    <row r="228" spans="1:14" s="60" customFormat="1" ht="25.5" customHeight="1">
      <c r="A228" s="1044">
        <v>222</v>
      </c>
      <c r="B228" s="172"/>
      <c r="C228" s="167">
        <v>41</v>
      </c>
      <c r="D228" s="168" t="s">
        <v>818</v>
      </c>
      <c r="E228" s="169" t="s">
        <v>466</v>
      </c>
      <c r="F228" s="509">
        <v>60000</v>
      </c>
      <c r="G228" s="509">
        <v>54000</v>
      </c>
      <c r="H228" s="665">
        <v>54000</v>
      </c>
      <c r="I228" s="675"/>
      <c r="J228" s="169"/>
      <c r="K228" s="169"/>
      <c r="L228" s="169"/>
      <c r="M228" s="169"/>
      <c r="N228" s="638"/>
    </row>
    <row r="229" spans="1:14" s="60" customFormat="1" ht="16.5">
      <c r="A229" s="1044">
        <v>223</v>
      </c>
      <c r="B229" s="172"/>
      <c r="C229" s="167"/>
      <c r="D229" s="168" t="s">
        <v>1168</v>
      </c>
      <c r="E229" s="169"/>
      <c r="F229" s="509"/>
      <c r="G229" s="509"/>
      <c r="H229" s="665"/>
      <c r="I229" s="675">
        <f t="shared" si="7"/>
        <v>60000</v>
      </c>
      <c r="J229" s="170"/>
      <c r="K229" s="170"/>
      <c r="L229" s="170"/>
      <c r="M229" s="170"/>
      <c r="N229" s="414">
        <v>60000</v>
      </c>
    </row>
    <row r="230" spans="1:14" s="412" customFormat="1" ht="17.25">
      <c r="A230" s="1044">
        <v>224</v>
      </c>
      <c r="B230" s="174"/>
      <c r="C230" s="421"/>
      <c r="D230" s="415" t="s">
        <v>1170</v>
      </c>
      <c r="E230" s="416"/>
      <c r="F230" s="511"/>
      <c r="G230" s="511"/>
      <c r="H230" s="666"/>
      <c r="I230" s="676">
        <f t="shared" si="7"/>
        <v>0</v>
      </c>
      <c r="J230" s="417"/>
      <c r="K230" s="417"/>
      <c r="L230" s="417"/>
      <c r="M230" s="417"/>
      <c r="N230" s="418"/>
    </row>
    <row r="231" spans="1:14" s="59" customFormat="1" ht="17.25">
      <c r="A231" s="1044">
        <v>225</v>
      </c>
      <c r="B231" s="422"/>
      <c r="C231" s="423"/>
      <c r="D231" s="419" t="s">
        <v>1169</v>
      </c>
      <c r="E231" s="420"/>
      <c r="F231" s="510"/>
      <c r="G231" s="510"/>
      <c r="H231" s="667"/>
      <c r="I231" s="677">
        <f t="shared" si="7"/>
        <v>60000</v>
      </c>
      <c r="J231" s="510">
        <f>SUM(J229:J230)</f>
        <v>0</v>
      </c>
      <c r="K231" s="510">
        <f>SUM(K229:K230)</f>
        <v>0</v>
      </c>
      <c r="L231" s="510">
        <f>SUM(L229:L230)</f>
        <v>0</v>
      </c>
      <c r="M231" s="510">
        <f>SUM(M229:M230)</f>
        <v>0</v>
      </c>
      <c r="N231" s="637">
        <f>SUM(N229:N230)</f>
        <v>60000</v>
      </c>
    </row>
    <row r="232" spans="1:14" s="60" customFormat="1" ht="25.5" customHeight="1">
      <c r="A232" s="1044">
        <v>226</v>
      </c>
      <c r="B232" s="172"/>
      <c r="C232" s="167">
        <v>42</v>
      </c>
      <c r="D232" s="168" t="s">
        <v>819</v>
      </c>
      <c r="E232" s="169" t="s">
        <v>466</v>
      </c>
      <c r="F232" s="509">
        <v>104000</v>
      </c>
      <c r="G232" s="509">
        <v>104000</v>
      </c>
      <c r="H232" s="665">
        <v>201585</v>
      </c>
      <c r="I232" s="675"/>
      <c r="J232" s="169"/>
      <c r="K232" s="169"/>
      <c r="L232" s="169"/>
      <c r="M232" s="169"/>
      <c r="N232" s="638"/>
    </row>
    <row r="233" spans="1:14" s="60" customFormat="1" ht="16.5">
      <c r="A233" s="1044">
        <v>227</v>
      </c>
      <c r="B233" s="172"/>
      <c r="C233" s="167"/>
      <c r="D233" s="168" t="s">
        <v>1168</v>
      </c>
      <c r="E233" s="169"/>
      <c r="F233" s="509"/>
      <c r="G233" s="509"/>
      <c r="H233" s="665"/>
      <c r="I233" s="675">
        <f t="shared" si="7"/>
        <v>268213</v>
      </c>
      <c r="J233" s="170"/>
      <c r="K233" s="170"/>
      <c r="L233" s="170"/>
      <c r="M233" s="170"/>
      <c r="N233" s="414">
        <v>268213</v>
      </c>
    </row>
    <row r="234" spans="1:14" s="412" customFormat="1" ht="17.25">
      <c r="A234" s="1044">
        <v>228</v>
      </c>
      <c r="B234" s="174"/>
      <c r="C234" s="421"/>
      <c r="D234" s="415" t="s">
        <v>597</v>
      </c>
      <c r="E234" s="416"/>
      <c r="F234" s="511"/>
      <c r="G234" s="511"/>
      <c r="H234" s="666"/>
      <c r="I234" s="676">
        <f t="shared" si="7"/>
        <v>2747</v>
      </c>
      <c r="J234" s="417"/>
      <c r="K234" s="417"/>
      <c r="L234" s="417"/>
      <c r="M234" s="417"/>
      <c r="N234" s="418">
        <v>2747</v>
      </c>
    </row>
    <row r="235" spans="1:14" s="412" customFormat="1" ht="17.25">
      <c r="A235" s="1044">
        <v>229</v>
      </c>
      <c r="B235" s="174"/>
      <c r="C235" s="421"/>
      <c r="D235" s="415" t="s">
        <v>626</v>
      </c>
      <c r="E235" s="416"/>
      <c r="F235" s="511"/>
      <c r="G235" s="511"/>
      <c r="H235" s="666"/>
      <c r="I235" s="676">
        <f t="shared" si="7"/>
        <v>1433</v>
      </c>
      <c r="J235" s="417"/>
      <c r="K235" s="417"/>
      <c r="L235" s="417"/>
      <c r="M235" s="417"/>
      <c r="N235" s="418">
        <v>1433</v>
      </c>
    </row>
    <row r="236" spans="1:14" s="59" customFormat="1" ht="17.25">
      <c r="A236" s="1044">
        <v>230</v>
      </c>
      <c r="B236" s="422"/>
      <c r="C236" s="423"/>
      <c r="D236" s="419" t="s">
        <v>1169</v>
      </c>
      <c r="E236" s="420"/>
      <c r="F236" s="510"/>
      <c r="G236" s="510"/>
      <c r="H236" s="667"/>
      <c r="I236" s="677">
        <f t="shared" si="7"/>
        <v>272393</v>
      </c>
      <c r="J236" s="510">
        <f>SUM(J233:J234)</f>
        <v>0</v>
      </c>
      <c r="K236" s="510">
        <f>SUM(K233:K234)</f>
        <v>0</v>
      </c>
      <c r="L236" s="510">
        <f>SUM(L233:L234)</f>
        <v>0</v>
      </c>
      <c r="M236" s="510">
        <f>SUM(M233:M234)</f>
        <v>0</v>
      </c>
      <c r="N236" s="637">
        <f>SUM(N233:N235)</f>
        <v>272393</v>
      </c>
    </row>
    <row r="237" spans="1:14" s="60" customFormat="1" ht="25.5" customHeight="1">
      <c r="A237" s="1044">
        <v>231</v>
      </c>
      <c r="B237" s="172"/>
      <c r="C237" s="167">
        <v>43</v>
      </c>
      <c r="D237" s="168" t="s">
        <v>926</v>
      </c>
      <c r="E237" s="169" t="s">
        <v>466</v>
      </c>
      <c r="F237" s="509"/>
      <c r="G237" s="509"/>
      <c r="H237" s="665">
        <v>128658</v>
      </c>
      <c r="I237" s="675"/>
      <c r="J237" s="169"/>
      <c r="K237" s="169"/>
      <c r="L237" s="169"/>
      <c r="M237" s="169"/>
      <c r="N237" s="638"/>
    </row>
    <row r="238" spans="1:14" s="60" customFormat="1" ht="16.5">
      <c r="A238" s="1044">
        <v>232</v>
      </c>
      <c r="B238" s="172"/>
      <c r="C238" s="167"/>
      <c r="D238" s="168" t="s">
        <v>1168</v>
      </c>
      <c r="E238" s="169"/>
      <c r="F238" s="509"/>
      <c r="G238" s="509"/>
      <c r="H238" s="665"/>
      <c r="I238" s="675">
        <f t="shared" si="7"/>
        <v>128806</v>
      </c>
      <c r="J238" s="170"/>
      <c r="K238" s="170"/>
      <c r="L238" s="170"/>
      <c r="M238" s="170"/>
      <c r="N238" s="414">
        <v>128806</v>
      </c>
    </row>
    <row r="239" spans="1:14" s="412" customFormat="1" ht="17.25">
      <c r="A239" s="1044">
        <v>233</v>
      </c>
      <c r="B239" s="174"/>
      <c r="C239" s="421"/>
      <c r="D239" s="415" t="s">
        <v>597</v>
      </c>
      <c r="E239" s="416"/>
      <c r="F239" s="511"/>
      <c r="G239" s="511"/>
      <c r="H239" s="666"/>
      <c r="I239" s="676">
        <f t="shared" si="7"/>
        <v>1594</v>
      </c>
      <c r="J239" s="417"/>
      <c r="K239" s="417"/>
      <c r="L239" s="417"/>
      <c r="M239" s="417"/>
      <c r="N239" s="418">
        <v>1594</v>
      </c>
    </row>
    <row r="240" spans="1:14" s="59" customFormat="1" ht="17.25">
      <c r="A240" s="1044">
        <v>234</v>
      </c>
      <c r="B240" s="422"/>
      <c r="C240" s="423"/>
      <c r="D240" s="419" t="s">
        <v>1169</v>
      </c>
      <c r="E240" s="420"/>
      <c r="F240" s="510"/>
      <c r="G240" s="510"/>
      <c r="H240" s="667"/>
      <c r="I240" s="677">
        <f t="shared" si="7"/>
        <v>130400</v>
      </c>
      <c r="J240" s="510">
        <f>SUM(J238:J239)</f>
        <v>0</v>
      </c>
      <c r="K240" s="510">
        <f>SUM(K238:K239)</f>
        <v>0</v>
      </c>
      <c r="L240" s="510">
        <f>SUM(L238:L239)</f>
        <v>0</v>
      </c>
      <c r="M240" s="510">
        <f>SUM(M238:M239)</f>
        <v>0</v>
      </c>
      <c r="N240" s="637">
        <f>SUM(N238:N239)</f>
        <v>130400</v>
      </c>
    </row>
    <row r="241" spans="1:14" s="60" customFormat="1" ht="25.5" customHeight="1">
      <c r="A241" s="1044">
        <v>235</v>
      </c>
      <c r="B241" s="172"/>
      <c r="C241" s="167">
        <v>44</v>
      </c>
      <c r="D241" s="168" t="s">
        <v>374</v>
      </c>
      <c r="E241" s="169" t="s">
        <v>466</v>
      </c>
      <c r="F241" s="509"/>
      <c r="G241" s="509"/>
      <c r="H241" s="665"/>
      <c r="I241" s="675"/>
      <c r="J241" s="169"/>
      <c r="K241" s="169"/>
      <c r="L241" s="169"/>
      <c r="M241" s="169"/>
      <c r="N241" s="638"/>
    </row>
    <row r="242" spans="1:14" s="60" customFormat="1" ht="16.5">
      <c r="A242" s="1044">
        <v>236</v>
      </c>
      <c r="B242" s="172"/>
      <c r="C242" s="167"/>
      <c r="D242" s="168" t="s">
        <v>1168</v>
      </c>
      <c r="E242" s="169"/>
      <c r="F242" s="509"/>
      <c r="G242" s="509"/>
      <c r="H242" s="665"/>
      <c r="I242" s="675">
        <f t="shared" si="7"/>
        <v>17400</v>
      </c>
      <c r="J242" s="170"/>
      <c r="K242" s="170"/>
      <c r="L242" s="170"/>
      <c r="M242" s="170"/>
      <c r="N242" s="414">
        <v>17400</v>
      </c>
    </row>
    <row r="243" spans="1:14" s="412" customFormat="1" ht="17.25">
      <c r="A243" s="1044">
        <v>237</v>
      </c>
      <c r="B243" s="174"/>
      <c r="C243" s="421"/>
      <c r="D243" s="415" t="s">
        <v>760</v>
      </c>
      <c r="E243" s="416"/>
      <c r="F243" s="511"/>
      <c r="G243" s="511"/>
      <c r="H243" s="666"/>
      <c r="I243" s="676">
        <f t="shared" si="7"/>
        <v>0</v>
      </c>
      <c r="J243" s="417"/>
      <c r="K243" s="417"/>
      <c r="L243" s="417">
        <v>17400</v>
      </c>
      <c r="M243" s="417"/>
      <c r="N243" s="418">
        <v>-17400</v>
      </c>
    </row>
    <row r="244" spans="1:14" s="59" customFormat="1" ht="17.25">
      <c r="A244" s="1044">
        <v>238</v>
      </c>
      <c r="B244" s="422"/>
      <c r="C244" s="423"/>
      <c r="D244" s="419" t="s">
        <v>1169</v>
      </c>
      <c r="E244" s="420"/>
      <c r="F244" s="510"/>
      <c r="G244" s="510"/>
      <c r="H244" s="667"/>
      <c r="I244" s="677">
        <f t="shared" si="7"/>
        <v>17400</v>
      </c>
      <c r="J244" s="510">
        <f>SUM(J242:J243)</f>
        <v>0</v>
      </c>
      <c r="K244" s="510">
        <f>SUM(K242:K243)</f>
        <v>0</v>
      </c>
      <c r="L244" s="510">
        <f>SUM(L242:L243)</f>
        <v>17400</v>
      </c>
      <c r="M244" s="510">
        <f>SUM(M242:M243)</f>
        <v>0</v>
      </c>
      <c r="N244" s="637">
        <f>SUM(N242:N243)</f>
        <v>0</v>
      </c>
    </row>
    <row r="245" spans="1:14" s="60" customFormat="1" ht="25.5" customHeight="1">
      <c r="A245" s="1044">
        <v>239</v>
      </c>
      <c r="B245" s="172"/>
      <c r="C245" s="167">
        <v>45</v>
      </c>
      <c r="D245" s="168" t="s">
        <v>812</v>
      </c>
      <c r="E245" s="169" t="s">
        <v>400</v>
      </c>
      <c r="F245" s="509">
        <v>500</v>
      </c>
      <c r="G245" s="509">
        <v>1000</v>
      </c>
      <c r="H245" s="665">
        <v>1000</v>
      </c>
      <c r="I245" s="675"/>
      <c r="J245" s="169"/>
      <c r="K245" s="169"/>
      <c r="L245" s="169"/>
      <c r="M245" s="169"/>
      <c r="N245" s="638"/>
    </row>
    <row r="246" spans="1:14" s="60" customFormat="1" ht="16.5">
      <c r="A246" s="1044">
        <v>240</v>
      </c>
      <c r="B246" s="172"/>
      <c r="C246" s="167"/>
      <c r="D246" s="168" t="s">
        <v>1168</v>
      </c>
      <c r="E246" s="169"/>
      <c r="F246" s="509"/>
      <c r="G246" s="509"/>
      <c r="H246" s="665"/>
      <c r="I246" s="675">
        <f t="shared" si="7"/>
        <v>1700</v>
      </c>
      <c r="J246" s="170"/>
      <c r="K246" s="170"/>
      <c r="L246" s="170">
        <v>1700</v>
      </c>
      <c r="M246" s="170"/>
      <c r="N246" s="414"/>
    </row>
    <row r="247" spans="1:14" s="412" customFormat="1" ht="17.25">
      <c r="A247" s="1044">
        <v>241</v>
      </c>
      <c r="B247" s="174"/>
      <c r="C247" s="421"/>
      <c r="D247" s="415" t="s">
        <v>1170</v>
      </c>
      <c r="E247" s="416"/>
      <c r="F247" s="511"/>
      <c r="G247" s="511"/>
      <c r="H247" s="666"/>
      <c r="I247" s="676">
        <f t="shared" si="7"/>
        <v>0</v>
      </c>
      <c r="J247" s="417"/>
      <c r="K247" s="417"/>
      <c r="L247" s="417"/>
      <c r="M247" s="417"/>
      <c r="N247" s="418"/>
    </row>
    <row r="248" spans="1:14" s="59" customFormat="1" ht="17.25">
      <c r="A248" s="1044">
        <v>242</v>
      </c>
      <c r="B248" s="422"/>
      <c r="C248" s="423"/>
      <c r="D248" s="419" t="s">
        <v>1169</v>
      </c>
      <c r="E248" s="420"/>
      <c r="F248" s="510"/>
      <c r="G248" s="510"/>
      <c r="H248" s="667"/>
      <c r="I248" s="677">
        <f t="shared" si="7"/>
        <v>1700</v>
      </c>
      <c r="J248" s="510">
        <f>SUM(J246:J247)</f>
        <v>0</v>
      </c>
      <c r="K248" s="510">
        <f>SUM(K246:K247)</f>
        <v>0</v>
      </c>
      <c r="L248" s="510">
        <f>SUM(L246:L247)</f>
        <v>1700</v>
      </c>
      <c r="M248" s="510">
        <f>SUM(M246:M247)</f>
        <v>0</v>
      </c>
      <c r="N248" s="637">
        <f>SUM(N246:N247)</f>
        <v>0</v>
      </c>
    </row>
    <row r="249" spans="1:14" s="60" customFormat="1" ht="25.5" customHeight="1">
      <c r="A249" s="1044">
        <v>243</v>
      </c>
      <c r="B249" s="172"/>
      <c r="C249" s="167">
        <v>46</v>
      </c>
      <c r="D249" s="168" t="s">
        <v>910</v>
      </c>
      <c r="E249" s="169" t="s">
        <v>400</v>
      </c>
      <c r="F249" s="509">
        <v>115</v>
      </c>
      <c r="G249" s="509">
        <v>500</v>
      </c>
      <c r="H249" s="665">
        <v>0</v>
      </c>
      <c r="I249" s="675"/>
      <c r="J249" s="169"/>
      <c r="K249" s="169"/>
      <c r="L249" s="169"/>
      <c r="M249" s="169"/>
      <c r="N249" s="638"/>
    </row>
    <row r="250" spans="1:14" s="60" customFormat="1" ht="16.5">
      <c r="A250" s="1044">
        <v>244</v>
      </c>
      <c r="B250" s="172"/>
      <c r="C250" s="167"/>
      <c r="D250" s="168" t="s">
        <v>1168</v>
      </c>
      <c r="E250" s="169"/>
      <c r="F250" s="509"/>
      <c r="G250" s="509"/>
      <c r="H250" s="665"/>
      <c r="I250" s="675">
        <f t="shared" si="7"/>
        <v>500</v>
      </c>
      <c r="J250" s="170"/>
      <c r="K250" s="170"/>
      <c r="L250" s="170"/>
      <c r="M250" s="170">
        <v>500</v>
      </c>
      <c r="N250" s="414"/>
    </row>
    <row r="251" spans="1:14" s="412" customFormat="1" ht="17.25">
      <c r="A251" s="1044">
        <v>245</v>
      </c>
      <c r="B251" s="174"/>
      <c r="C251" s="421"/>
      <c r="D251" s="415" t="s">
        <v>1170</v>
      </c>
      <c r="E251" s="416"/>
      <c r="F251" s="511"/>
      <c r="G251" s="511"/>
      <c r="H251" s="666"/>
      <c r="I251" s="676">
        <f t="shared" si="7"/>
        <v>0</v>
      </c>
      <c r="J251" s="417"/>
      <c r="K251" s="417"/>
      <c r="L251" s="417"/>
      <c r="M251" s="417"/>
      <c r="N251" s="418"/>
    </row>
    <row r="252" spans="1:14" s="59" customFormat="1" ht="17.25">
      <c r="A252" s="1044">
        <v>246</v>
      </c>
      <c r="B252" s="422"/>
      <c r="C252" s="423"/>
      <c r="D252" s="419" t="s">
        <v>1169</v>
      </c>
      <c r="E252" s="420"/>
      <c r="F252" s="510"/>
      <c r="G252" s="510"/>
      <c r="H252" s="667"/>
      <c r="I252" s="677">
        <f t="shared" si="7"/>
        <v>500</v>
      </c>
      <c r="J252" s="510">
        <f>SUM(J250:J251)</f>
        <v>0</v>
      </c>
      <c r="K252" s="510">
        <f>SUM(K250:K251)</f>
        <v>0</v>
      </c>
      <c r="L252" s="510">
        <f>SUM(L250:L251)</f>
        <v>0</v>
      </c>
      <c r="M252" s="510">
        <f>SUM(M250:M251)</f>
        <v>500</v>
      </c>
      <c r="N252" s="637">
        <f>SUM(N250:N251)</f>
        <v>0</v>
      </c>
    </row>
    <row r="253" spans="1:14" s="60" customFormat="1" ht="25.5" customHeight="1">
      <c r="A253" s="1044">
        <v>247</v>
      </c>
      <c r="B253" s="172"/>
      <c r="C253" s="167">
        <v>47</v>
      </c>
      <c r="D253" s="168" t="s">
        <v>821</v>
      </c>
      <c r="E253" s="169" t="s">
        <v>400</v>
      </c>
      <c r="F253" s="509">
        <v>24120</v>
      </c>
      <c r="G253" s="509"/>
      <c r="H253" s="665">
        <v>2110</v>
      </c>
      <c r="I253" s="675"/>
      <c r="J253" s="169"/>
      <c r="K253" s="169"/>
      <c r="L253" s="169"/>
      <c r="M253" s="169"/>
      <c r="N253" s="638"/>
    </row>
    <row r="254" spans="1:14" s="60" customFormat="1" ht="16.5">
      <c r="A254" s="1044">
        <v>248</v>
      </c>
      <c r="B254" s="172"/>
      <c r="C254" s="167"/>
      <c r="D254" s="168" t="s">
        <v>1168</v>
      </c>
      <c r="E254" s="169"/>
      <c r="F254" s="509"/>
      <c r="G254" s="509"/>
      <c r="H254" s="665"/>
      <c r="I254" s="675">
        <f t="shared" si="7"/>
        <v>6000</v>
      </c>
      <c r="J254" s="170"/>
      <c r="K254" s="170"/>
      <c r="L254" s="170"/>
      <c r="M254" s="170"/>
      <c r="N254" s="414">
        <v>6000</v>
      </c>
    </row>
    <row r="255" spans="1:14" s="412" customFormat="1" ht="17.25">
      <c r="A255" s="1044">
        <v>249</v>
      </c>
      <c r="B255" s="174"/>
      <c r="C255" s="421"/>
      <c r="D255" s="415" t="s">
        <v>1170</v>
      </c>
      <c r="E255" s="416"/>
      <c r="F255" s="511"/>
      <c r="G255" s="511"/>
      <c r="H255" s="666"/>
      <c r="I255" s="676">
        <f t="shared" si="7"/>
        <v>0</v>
      </c>
      <c r="J255" s="417"/>
      <c r="K255" s="417"/>
      <c r="L255" s="417"/>
      <c r="M255" s="417"/>
      <c r="N255" s="418"/>
    </row>
    <row r="256" spans="1:14" s="59" customFormat="1" ht="17.25">
      <c r="A256" s="1044">
        <v>250</v>
      </c>
      <c r="B256" s="422"/>
      <c r="C256" s="423"/>
      <c r="D256" s="419" t="s">
        <v>1169</v>
      </c>
      <c r="E256" s="420"/>
      <c r="F256" s="510"/>
      <c r="G256" s="510"/>
      <c r="H256" s="667"/>
      <c r="I256" s="677">
        <f t="shared" si="7"/>
        <v>6000</v>
      </c>
      <c r="J256" s="510">
        <f>SUM(J254:J255)</f>
        <v>0</v>
      </c>
      <c r="K256" s="510">
        <f>SUM(K254:K255)</f>
        <v>0</v>
      </c>
      <c r="L256" s="510">
        <f>SUM(L254:L255)</f>
        <v>0</v>
      </c>
      <c r="M256" s="510">
        <f>SUM(M254:M255)</f>
        <v>0</v>
      </c>
      <c r="N256" s="637">
        <f>SUM(N254:N255)</f>
        <v>6000</v>
      </c>
    </row>
    <row r="257" spans="1:14" s="60" customFormat="1" ht="25.5" customHeight="1">
      <c r="A257" s="1044">
        <v>251</v>
      </c>
      <c r="B257" s="172"/>
      <c r="C257" s="167">
        <v>48</v>
      </c>
      <c r="D257" s="168" t="s">
        <v>839</v>
      </c>
      <c r="E257" s="169" t="s">
        <v>400</v>
      </c>
      <c r="F257" s="509">
        <v>1000</v>
      </c>
      <c r="G257" s="509">
        <v>500</v>
      </c>
      <c r="H257" s="665">
        <v>500</v>
      </c>
      <c r="I257" s="675"/>
      <c r="J257" s="169"/>
      <c r="K257" s="169"/>
      <c r="L257" s="169"/>
      <c r="M257" s="169"/>
      <c r="N257" s="638"/>
    </row>
    <row r="258" spans="1:14" s="60" customFormat="1" ht="16.5">
      <c r="A258" s="1044">
        <v>252</v>
      </c>
      <c r="B258" s="172"/>
      <c r="C258" s="167"/>
      <c r="D258" s="168" t="s">
        <v>1168</v>
      </c>
      <c r="E258" s="169"/>
      <c r="F258" s="509"/>
      <c r="G258" s="509"/>
      <c r="H258" s="665"/>
      <c r="I258" s="675">
        <f t="shared" si="7"/>
        <v>2000</v>
      </c>
      <c r="J258" s="170"/>
      <c r="K258" s="170"/>
      <c r="L258" s="170"/>
      <c r="M258" s="170"/>
      <c r="N258" s="414">
        <v>2000</v>
      </c>
    </row>
    <row r="259" spans="1:14" s="412" customFormat="1" ht="17.25">
      <c r="A259" s="1044">
        <v>253</v>
      </c>
      <c r="B259" s="174"/>
      <c r="C259" s="421"/>
      <c r="D259" s="415" t="s">
        <v>1170</v>
      </c>
      <c r="E259" s="416"/>
      <c r="F259" s="511"/>
      <c r="G259" s="511"/>
      <c r="H259" s="666"/>
      <c r="I259" s="676">
        <f t="shared" si="7"/>
        <v>0</v>
      </c>
      <c r="J259" s="417"/>
      <c r="K259" s="417"/>
      <c r="L259" s="417"/>
      <c r="M259" s="417"/>
      <c r="N259" s="418"/>
    </row>
    <row r="260" spans="1:14" s="59" customFormat="1" ht="17.25">
      <c r="A260" s="1044">
        <v>254</v>
      </c>
      <c r="B260" s="422"/>
      <c r="C260" s="423"/>
      <c r="D260" s="419" t="s">
        <v>1169</v>
      </c>
      <c r="E260" s="420"/>
      <c r="F260" s="510"/>
      <c r="G260" s="510"/>
      <c r="H260" s="667"/>
      <c r="I260" s="677">
        <f t="shared" si="7"/>
        <v>2000</v>
      </c>
      <c r="J260" s="510">
        <f>SUM(J258:J259)</f>
        <v>0</v>
      </c>
      <c r="K260" s="510">
        <f>SUM(K258:K259)</f>
        <v>0</v>
      </c>
      <c r="L260" s="510">
        <f>SUM(L258:L259)</f>
        <v>0</v>
      </c>
      <c r="M260" s="510">
        <f>SUM(M258:M259)</f>
        <v>0</v>
      </c>
      <c r="N260" s="637">
        <f>SUM(N258:N259)</f>
        <v>2000</v>
      </c>
    </row>
    <row r="261" spans="1:14" s="60" customFormat="1" ht="25.5" customHeight="1">
      <c r="A261" s="1044">
        <v>255</v>
      </c>
      <c r="B261" s="172"/>
      <c r="C261" s="167">
        <v>49</v>
      </c>
      <c r="D261" s="168" t="s">
        <v>1117</v>
      </c>
      <c r="E261" s="169" t="s">
        <v>466</v>
      </c>
      <c r="F261" s="509">
        <v>10000</v>
      </c>
      <c r="G261" s="509">
        <v>5000</v>
      </c>
      <c r="H261" s="665">
        <v>5000</v>
      </c>
      <c r="I261" s="675"/>
      <c r="J261" s="169"/>
      <c r="K261" s="169"/>
      <c r="L261" s="169"/>
      <c r="M261" s="169"/>
      <c r="N261" s="638"/>
    </row>
    <row r="262" spans="1:14" s="60" customFormat="1" ht="16.5">
      <c r="A262" s="1044">
        <v>256</v>
      </c>
      <c r="B262" s="172"/>
      <c r="C262" s="167"/>
      <c r="D262" s="168" t="s">
        <v>1168</v>
      </c>
      <c r="E262" s="169"/>
      <c r="F262" s="509"/>
      <c r="G262" s="509"/>
      <c r="H262" s="665"/>
      <c r="I262" s="675">
        <f t="shared" si="7"/>
        <v>5000</v>
      </c>
      <c r="J262" s="170"/>
      <c r="K262" s="170"/>
      <c r="L262" s="170">
        <v>5000</v>
      </c>
      <c r="M262" s="170"/>
      <c r="N262" s="414"/>
    </row>
    <row r="263" spans="1:14" s="412" customFormat="1" ht="17.25">
      <c r="A263" s="1044">
        <v>257</v>
      </c>
      <c r="B263" s="174"/>
      <c r="C263" s="421"/>
      <c r="D263" s="415" t="s">
        <v>1170</v>
      </c>
      <c r="E263" s="416"/>
      <c r="F263" s="511"/>
      <c r="G263" s="511"/>
      <c r="H263" s="666"/>
      <c r="I263" s="676">
        <f t="shared" si="7"/>
        <v>0</v>
      </c>
      <c r="J263" s="417"/>
      <c r="K263" s="417"/>
      <c r="L263" s="417"/>
      <c r="M263" s="417"/>
      <c r="N263" s="418"/>
    </row>
    <row r="264" spans="1:14" s="59" customFormat="1" ht="17.25">
      <c r="A264" s="1044">
        <v>258</v>
      </c>
      <c r="B264" s="422"/>
      <c r="C264" s="423"/>
      <c r="D264" s="419" t="s">
        <v>1169</v>
      </c>
      <c r="E264" s="420"/>
      <c r="F264" s="510"/>
      <c r="G264" s="510"/>
      <c r="H264" s="667"/>
      <c r="I264" s="677">
        <f t="shared" si="7"/>
        <v>5000</v>
      </c>
      <c r="J264" s="510">
        <f>SUM(J262:J263)</f>
        <v>0</v>
      </c>
      <c r="K264" s="510">
        <f>SUM(K262:K263)</f>
        <v>0</v>
      </c>
      <c r="L264" s="510">
        <f>SUM(L262:L263)</f>
        <v>5000</v>
      </c>
      <c r="M264" s="510">
        <f>SUM(M262:M263)</f>
        <v>0</v>
      </c>
      <c r="N264" s="637">
        <f>SUM(N262:N263)</f>
        <v>0</v>
      </c>
    </row>
    <row r="265" spans="1:14" s="60" customFormat="1" ht="24" customHeight="1">
      <c r="A265" s="1044">
        <v>259</v>
      </c>
      <c r="B265" s="172"/>
      <c r="C265" s="167">
        <v>50</v>
      </c>
      <c r="D265" s="168" t="s">
        <v>822</v>
      </c>
      <c r="E265" s="169" t="s">
        <v>400</v>
      </c>
      <c r="F265" s="509">
        <v>5735</v>
      </c>
      <c r="G265" s="509">
        <v>4760</v>
      </c>
      <c r="H265" s="665">
        <v>5760</v>
      </c>
      <c r="I265" s="675"/>
      <c r="J265" s="169"/>
      <c r="K265" s="169"/>
      <c r="L265" s="169"/>
      <c r="M265" s="169"/>
      <c r="N265" s="638"/>
    </row>
    <row r="266" spans="1:14" s="60" customFormat="1" ht="16.5">
      <c r="A266" s="1044">
        <v>260</v>
      </c>
      <c r="B266" s="172"/>
      <c r="C266" s="167"/>
      <c r="D266" s="168" t="s">
        <v>1168</v>
      </c>
      <c r="E266" s="169"/>
      <c r="F266" s="509"/>
      <c r="G266" s="509"/>
      <c r="H266" s="665"/>
      <c r="I266" s="675">
        <f t="shared" si="7"/>
        <v>5760</v>
      </c>
      <c r="J266" s="170"/>
      <c r="K266" s="170"/>
      <c r="L266" s="170">
        <v>5760</v>
      </c>
      <c r="M266" s="170"/>
      <c r="N266" s="414"/>
    </row>
    <row r="267" spans="1:14" s="412" customFormat="1" ht="17.25">
      <c r="A267" s="1044">
        <v>261</v>
      </c>
      <c r="B267" s="174"/>
      <c r="C267" s="421"/>
      <c r="D267" s="415" t="s">
        <v>1170</v>
      </c>
      <c r="E267" s="416"/>
      <c r="F267" s="511"/>
      <c r="G267" s="511"/>
      <c r="H267" s="666"/>
      <c r="I267" s="676">
        <f t="shared" si="7"/>
        <v>0</v>
      </c>
      <c r="J267" s="417"/>
      <c r="K267" s="417"/>
      <c r="L267" s="417"/>
      <c r="M267" s="417"/>
      <c r="N267" s="418"/>
    </row>
    <row r="268" spans="1:14" s="59" customFormat="1" ht="17.25">
      <c r="A268" s="1044">
        <v>262</v>
      </c>
      <c r="B268" s="422"/>
      <c r="C268" s="423"/>
      <c r="D268" s="419" t="s">
        <v>1169</v>
      </c>
      <c r="E268" s="420"/>
      <c r="F268" s="510"/>
      <c r="G268" s="510"/>
      <c r="H268" s="667"/>
      <c r="I268" s="677">
        <f t="shared" si="7"/>
        <v>5760</v>
      </c>
      <c r="J268" s="510">
        <f>SUM(J266:J267)</f>
        <v>0</v>
      </c>
      <c r="K268" s="510">
        <f>SUM(K266:K267)</f>
        <v>0</v>
      </c>
      <c r="L268" s="510">
        <f>SUM(L266:L267)</f>
        <v>5760</v>
      </c>
      <c r="M268" s="510">
        <f>SUM(M266:M267)</f>
        <v>0</v>
      </c>
      <c r="N268" s="637">
        <f>SUM(N266:N267)</f>
        <v>0</v>
      </c>
    </row>
    <row r="269" spans="1:14" s="60" customFormat="1" ht="25.5" customHeight="1">
      <c r="A269" s="1044">
        <v>263</v>
      </c>
      <c r="B269" s="172"/>
      <c r="C269" s="167">
        <v>51</v>
      </c>
      <c r="D269" s="168" t="s">
        <v>1119</v>
      </c>
      <c r="E269" s="169" t="s">
        <v>400</v>
      </c>
      <c r="F269" s="509">
        <v>3095</v>
      </c>
      <c r="G269" s="509">
        <v>3000</v>
      </c>
      <c r="H269" s="665">
        <v>1942</v>
      </c>
      <c r="I269" s="675"/>
      <c r="J269" s="169"/>
      <c r="K269" s="169"/>
      <c r="L269" s="169"/>
      <c r="M269" s="169"/>
      <c r="N269" s="638"/>
    </row>
    <row r="270" spans="1:14" s="60" customFormat="1" ht="16.5">
      <c r="A270" s="1044">
        <v>264</v>
      </c>
      <c r="B270" s="172"/>
      <c r="C270" s="167"/>
      <c r="D270" s="168" t="s">
        <v>1168</v>
      </c>
      <c r="E270" s="169"/>
      <c r="F270" s="509"/>
      <c r="G270" s="509"/>
      <c r="H270" s="665"/>
      <c r="I270" s="675">
        <f t="shared" si="7"/>
        <v>3000</v>
      </c>
      <c r="J270" s="170"/>
      <c r="K270" s="170"/>
      <c r="L270" s="170">
        <v>3000</v>
      </c>
      <c r="M270" s="170"/>
      <c r="N270" s="414"/>
    </row>
    <row r="271" spans="1:14" s="412" customFormat="1" ht="17.25">
      <c r="A271" s="1044">
        <v>265</v>
      </c>
      <c r="B271" s="174"/>
      <c r="C271" s="421"/>
      <c r="D271" s="415" t="s">
        <v>1170</v>
      </c>
      <c r="E271" s="416"/>
      <c r="F271" s="511"/>
      <c r="G271" s="511"/>
      <c r="H271" s="666"/>
      <c r="I271" s="676">
        <f aca="true" t="shared" si="8" ref="I271:I334">SUM(J271:N271)</f>
        <v>0</v>
      </c>
      <c r="J271" s="417"/>
      <c r="K271" s="417"/>
      <c r="L271" s="417"/>
      <c r="M271" s="417"/>
      <c r="N271" s="418"/>
    </row>
    <row r="272" spans="1:14" s="59" customFormat="1" ht="17.25">
      <c r="A272" s="1044">
        <v>266</v>
      </c>
      <c r="B272" s="422"/>
      <c r="C272" s="423"/>
      <c r="D272" s="419" t="s">
        <v>1169</v>
      </c>
      <c r="E272" s="420"/>
      <c r="F272" s="510"/>
      <c r="G272" s="510"/>
      <c r="H272" s="667"/>
      <c r="I272" s="677">
        <f t="shared" si="8"/>
        <v>3000</v>
      </c>
      <c r="J272" s="510">
        <f>SUM(J270:J271)</f>
        <v>0</v>
      </c>
      <c r="K272" s="510">
        <f>SUM(K270:K271)</f>
        <v>0</v>
      </c>
      <c r="L272" s="510">
        <f>SUM(L270:L271)</f>
        <v>3000</v>
      </c>
      <c r="M272" s="510">
        <f>SUM(M270:M271)</f>
        <v>0</v>
      </c>
      <c r="N272" s="637">
        <f>SUM(N270:N271)</f>
        <v>0</v>
      </c>
    </row>
    <row r="273" spans="1:14" s="60" customFormat="1" ht="25.5" customHeight="1">
      <c r="A273" s="1044">
        <v>267</v>
      </c>
      <c r="B273" s="172"/>
      <c r="C273" s="167">
        <v>52</v>
      </c>
      <c r="D273" s="168" t="s">
        <v>375</v>
      </c>
      <c r="E273" s="169" t="s">
        <v>400</v>
      </c>
      <c r="F273" s="509">
        <v>39210</v>
      </c>
      <c r="G273" s="509">
        <v>45649</v>
      </c>
      <c r="H273" s="665">
        <v>42884</v>
      </c>
      <c r="I273" s="675"/>
      <c r="J273" s="169"/>
      <c r="K273" s="169"/>
      <c r="L273" s="169"/>
      <c r="M273" s="169"/>
      <c r="N273" s="638"/>
    </row>
    <row r="274" spans="1:14" s="60" customFormat="1" ht="16.5">
      <c r="A274" s="1044">
        <v>268</v>
      </c>
      <c r="B274" s="172"/>
      <c r="C274" s="167"/>
      <c r="D274" s="168" t="s">
        <v>1168</v>
      </c>
      <c r="E274" s="169"/>
      <c r="F274" s="509"/>
      <c r="G274" s="509"/>
      <c r="H274" s="665"/>
      <c r="I274" s="675">
        <f t="shared" si="8"/>
        <v>59233</v>
      </c>
      <c r="J274" s="170">
        <v>9088</v>
      </c>
      <c r="K274" s="170">
        <v>2208</v>
      </c>
      <c r="L274" s="170">
        <v>47937</v>
      </c>
      <c r="M274" s="170"/>
      <c r="N274" s="414"/>
    </row>
    <row r="275" spans="1:14" s="412" customFormat="1" ht="17.25">
      <c r="A275" s="1044">
        <v>269</v>
      </c>
      <c r="B275" s="174"/>
      <c r="C275" s="421"/>
      <c r="D275" s="415" t="s">
        <v>1170</v>
      </c>
      <c r="E275" s="416"/>
      <c r="F275" s="511"/>
      <c r="G275" s="511"/>
      <c r="H275" s="666"/>
      <c r="I275" s="676">
        <f t="shared" si="8"/>
        <v>0</v>
      </c>
      <c r="J275" s="417"/>
      <c r="K275" s="417"/>
      <c r="L275" s="417"/>
      <c r="M275" s="417"/>
      <c r="N275" s="418"/>
    </row>
    <row r="276" spans="1:14" s="59" customFormat="1" ht="17.25">
      <c r="A276" s="1044">
        <v>270</v>
      </c>
      <c r="B276" s="422"/>
      <c r="C276" s="423"/>
      <c r="D276" s="419" t="s">
        <v>1169</v>
      </c>
      <c r="E276" s="420"/>
      <c r="F276" s="510"/>
      <c r="G276" s="510"/>
      <c r="H276" s="667"/>
      <c r="I276" s="677">
        <f t="shared" si="8"/>
        <v>59233</v>
      </c>
      <c r="J276" s="510">
        <f>SUM(J274:J275)</f>
        <v>9088</v>
      </c>
      <c r="K276" s="510">
        <f>SUM(K274:K275)</f>
        <v>2208</v>
      </c>
      <c r="L276" s="510">
        <f>SUM(L274:L275)</f>
        <v>47937</v>
      </c>
      <c r="M276" s="510">
        <f>SUM(M274:M275)</f>
        <v>0</v>
      </c>
      <c r="N276" s="637">
        <f>SUM(N274:N275)</f>
        <v>0</v>
      </c>
    </row>
    <row r="277" spans="1:14" s="60" customFormat="1" ht="25.5" customHeight="1">
      <c r="A277" s="1044">
        <v>271</v>
      </c>
      <c r="B277" s="172"/>
      <c r="C277" s="167">
        <v>53</v>
      </c>
      <c r="D277" s="168" t="s">
        <v>565</v>
      </c>
      <c r="E277" s="169" t="s">
        <v>400</v>
      </c>
      <c r="F277" s="509">
        <v>82397</v>
      </c>
      <c r="G277" s="509">
        <v>95800</v>
      </c>
      <c r="H277" s="665">
        <v>80327</v>
      </c>
      <c r="I277" s="675"/>
      <c r="J277" s="169"/>
      <c r="K277" s="169"/>
      <c r="L277" s="169"/>
      <c r="M277" s="169"/>
      <c r="N277" s="638"/>
    </row>
    <row r="278" spans="1:14" s="60" customFormat="1" ht="16.5">
      <c r="A278" s="1044">
        <v>272</v>
      </c>
      <c r="B278" s="172"/>
      <c r="C278" s="167"/>
      <c r="D278" s="168" t="s">
        <v>1168</v>
      </c>
      <c r="E278" s="169"/>
      <c r="F278" s="509"/>
      <c r="G278" s="509"/>
      <c r="H278" s="665"/>
      <c r="I278" s="675">
        <f t="shared" si="8"/>
        <v>67500</v>
      </c>
      <c r="J278" s="170"/>
      <c r="K278" s="170"/>
      <c r="L278" s="170">
        <v>67500</v>
      </c>
      <c r="M278" s="170"/>
      <c r="N278" s="414"/>
    </row>
    <row r="279" spans="1:14" s="412" customFormat="1" ht="17.25">
      <c r="A279" s="1044">
        <v>273</v>
      </c>
      <c r="B279" s="174"/>
      <c r="C279" s="421"/>
      <c r="D279" s="415" t="s">
        <v>760</v>
      </c>
      <c r="E279" s="416"/>
      <c r="F279" s="511"/>
      <c r="G279" s="511"/>
      <c r="H279" s="666"/>
      <c r="I279" s="676">
        <f t="shared" si="8"/>
        <v>36308</v>
      </c>
      <c r="J279" s="417"/>
      <c r="K279" s="417"/>
      <c r="L279" s="417">
        <v>36308</v>
      </c>
      <c r="M279" s="417"/>
      <c r="N279" s="418"/>
    </row>
    <row r="280" spans="1:14" s="59" customFormat="1" ht="17.25">
      <c r="A280" s="1044">
        <v>274</v>
      </c>
      <c r="B280" s="422"/>
      <c r="C280" s="423"/>
      <c r="D280" s="419" t="s">
        <v>1169</v>
      </c>
      <c r="E280" s="420"/>
      <c r="F280" s="510"/>
      <c r="G280" s="510"/>
      <c r="H280" s="667"/>
      <c r="I280" s="677">
        <f t="shared" si="8"/>
        <v>103808</v>
      </c>
      <c r="J280" s="510">
        <f>SUM(J278:J279)</f>
        <v>0</v>
      </c>
      <c r="K280" s="510">
        <f>SUM(K278:K279)</f>
        <v>0</v>
      </c>
      <c r="L280" s="510">
        <f>SUM(L278:L279)</f>
        <v>103808</v>
      </c>
      <c r="M280" s="510">
        <f>SUM(M278:M279)</f>
        <v>0</v>
      </c>
      <c r="N280" s="637">
        <f>SUM(N278:N279)</f>
        <v>0</v>
      </c>
    </row>
    <row r="281" spans="1:14" s="60" customFormat="1" ht="25.5" customHeight="1">
      <c r="A281" s="1044">
        <v>275</v>
      </c>
      <c r="B281" s="172"/>
      <c r="C281" s="167">
        <v>54</v>
      </c>
      <c r="D281" s="168" t="s">
        <v>4</v>
      </c>
      <c r="E281" s="169" t="s">
        <v>400</v>
      </c>
      <c r="F281" s="509">
        <v>568965</v>
      </c>
      <c r="G281" s="509">
        <v>281589</v>
      </c>
      <c r="H281" s="665">
        <v>263651</v>
      </c>
      <c r="I281" s="675"/>
      <c r="J281" s="169"/>
      <c r="K281" s="169"/>
      <c r="L281" s="169"/>
      <c r="M281" s="169"/>
      <c r="N281" s="638"/>
    </row>
    <row r="282" spans="1:14" s="60" customFormat="1" ht="16.5">
      <c r="A282" s="1044">
        <v>276</v>
      </c>
      <c r="B282" s="172"/>
      <c r="C282" s="167"/>
      <c r="D282" s="168" t="s">
        <v>1168</v>
      </c>
      <c r="E282" s="169"/>
      <c r="F282" s="509"/>
      <c r="G282" s="509"/>
      <c r="H282" s="665"/>
      <c r="I282" s="675">
        <f t="shared" si="8"/>
        <v>87500</v>
      </c>
      <c r="J282" s="170"/>
      <c r="K282" s="170"/>
      <c r="L282" s="170">
        <v>87500</v>
      </c>
      <c r="M282" s="170"/>
      <c r="N282" s="414"/>
    </row>
    <row r="283" spans="1:14" s="412" customFormat="1" ht="17.25">
      <c r="A283" s="1044">
        <v>277</v>
      </c>
      <c r="B283" s="174"/>
      <c r="C283" s="421"/>
      <c r="D283" s="415" t="s">
        <v>1170</v>
      </c>
      <c r="E283" s="416"/>
      <c r="F283" s="511"/>
      <c r="G283" s="511"/>
      <c r="H283" s="666"/>
      <c r="I283" s="676">
        <f t="shared" si="8"/>
        <v>0</v>
      </c>
      <c r="J283" s="417"/>
      <c r="K283" s="417"/>
      <c r="L283" s="417"/>
      <c r="M283" s="417"/>
      <c r="N283" s="418"/>
    </row>
    <row r="284" spans="1:14" s="59" customFormat="1" ht="17.25">
      <c r="A284" s="1044">
        <v>278</v>
      </c>
      <c r="B284" s="422"/>
      <c r="C284" s="423"/>
      <c r="D284" s="419" t="s">
        <v>1169</v>
      </c>
      <c r="E284" s="420"/>
      <c r="F284" s="510"/>
      <c r="G284" s="510"/>
      <c r="H284" s="667"/>
      <c r="I284" s="677">
        <f t="shared" si="8"/>
        <v>87500</v>
      </c>
      <c r="J284" s="510">
        <f>SUM(J282:J283)</f>
        <v>0</v>
      </c>
      <c r="K284" s="510">
        <f>SUM(K282:K283)</f>
        <v>0</v>
      </c>
      <c r="L284" s="510">
        <f>SUM(L282:L283)</f>
        <v>87500</v>
      </c>
      <c r="M284" s="510">
        <f>SUM(M282:M283)</f>
        <v>0</v>
      </c>
      <c r="N284" s="637">
        <f>SUM(N282:N283)</f>
        <v>0</v>
      </c>
    </row>
    <row r="285" spans="1:14" s="60" customFormat="1" ht="25.5" customHeight="1">
      <c r="A285" s="1044">
        <v>279</v>
      </c>
      <c r="B285" s="172"/>
      <c r="C285" s="167">
        <v>55</v>
      </c>
      <c r="D285" s="168" t="s">
        <v>820</v>
      </c>
      <c r="E285" s="169" t="s">
        <v>400</v>
      </c>
      <c r="F285" s="509">
        <v>2044</v>
      </c>
      <c r="G285" s="509"/>
      <c r="H285" s="665">
        <v>2387</v>
      </c>
      <c r="I285" s="675"/>
      <c r="J285" s="169"/>
      <c r="K285" s="169"/>
      <c r="L285" s="169"/>
      <c r="M285" s="169"/>
      <c r="N285" s="638"/>
    </row>
    <row r="286" spans="1:14" s="60" customFormat="1" ht="16.5">
      <c r="A286" s="1044">
        <v>280</v>
      </c>
      <c r="B286" s="172"/>
      <c r="C286" s="167"/>
      <c r="D286" s="168" t="s">
        <v>1168</v>
      </c>
      <c r="E286" s="169"/>
      <c r="F286" s="509"/>
      <c r="G286" s="509"/>
      <c r="H286" s="665"/>
      <c r="I286" s="675">
        <f t="shared" si="8"/>
        <v>3000</v>
      </c>
      <c r="J286" s="170">
        <v>1200</v>
      </c>
      <c r="K286" s="170">
        <v>324</v>
      </c>
      <c r="L286" s="170">
        <v>1476</v>
      </c>
      <c r="M286" s="170"/>
      <c r="N286" s="414"/>
    </row>
    <row r="287" spans="1:14" s="412" customFormat="1" ht="17.25">
      <c r="A287" s="1044">
        <v>281</v>
      </c>
      <c r="B287" s="174"/>
      <c r="C287" s="421"/>
      <c r="D287" s="415" t="s">
        <v>1170</v>
      </c>
      <c r="E287" s="416"/>
      <c r="F287" s="511"/>
      <c r="G287" s="511"/>
      <c r="H287" s="666"/>
      <c r="I287" s="676">
        <f t="shared" si="8"/>
        <v>0</v>
      </c>
      <c r="J287" s="417"/>
      <c r="K287" s="417"/>
      <c r="L287" s="417"/>
      <c r="M287" s="417"/>
      <c r="N287" s="418"/>
    </row>
    <row r="288" spans="1:14" s="59" customFormat="1" ht="17.25">
      <c r="A288" s="1044">
        <v>282</v>
      </c>
      <c r="B288" s="422"/>
      <c r="C288" s="423"/>
      <c r="D288" s="419" t="s">
        <v>1169</v>
      </c>
      <c r="E288" s="420"/>
      <c r="F288" s="510"/>
      <c r="G288" s="510"/>
      <c r="H288" s="667"/>
      <c r="I288" s="677">
        <f t="shared" si="8"/>
        <v>3000</v>
      </c>
      <c r="J288" s="510">
        <f>SUM(J286:J287)</f>
        <v>1200</v>
      </c>
      <c r="K288" s="510">
        <f>SUM(K286:K287)</f>
        <v>324</v>
      </c>
      <c r="L288" s="510">
        <f>SUM(L286:L287)</f>
        <v>1476</v>
      </c>
      <c r="M288" s="510">
        <f>SUM(M286:M287)</f>
        <v>0</v>
      </c>
      <c r="N288" s="637">
        <f>SUM(N286:N287)</f>
        <v>0</v>
      </c>
    </row>
    <row r="289" spans="1:14" s="60" customFormat="1" ht="25.5" customHeight="1">
      <c r="A289" s="1044">
        <v>283</v>
      </c>
      <c r="B289" s="172"/>
      <c r="C289" s="167">
        <v>56</v>
      </c>
      <c r="D289" s="168" t="s">
        <v>1118</v>
      </c>
      <c r="E289" s="169" t="s">
        <v>400</v>
      </c>
      <c r="F289" s="509">
        <v>2247</v>
      </c>
      <c r="G289" s="509">
        <v>1200</v>
      </c>
      <c r="H289" s="665">
        <v>1200</v>
      </c>
      <c r="I289" s="675"/>
      <c r="J289" s="169"/>
      <c r="K289" s="169"/>
      <c r="L289" s="169"/>
      <c r="M289" s="169"/>
      <c r="N289" s="638"/>
    </row>
    <row r="290" spans="1:14" s="60" customFormat="1" ht="16.5">
      <c r="A290" s="1044">
        <v>284</v>
      </c>
      <c r="B290" s="172"/>
      <c r="C290" s="167"/>
      <c r="D290" s="168" t="s">
        <v>1168</v>
      </c>
      <c r="E290" s="169"/>
      <c r="F290" s="509"/>
      <c r="G290" s="509"/>
      <c r="H290" s="665"/>
      <c r="I290" s="675">
        <f t="shared" si="8"/>
        <v>1200</v>
      </c>
      <c r="J290" s="170"/>
      <c r="K290" s="170"/>
      <c r="L290" s="170"/>
      <c r="M290" s="170"/>
      <c r="N290" s="414">
        <v>1200</v>
      </c>
    </row>
    <row r="291" spans="1:14" s="412" customFormat="1" ht="17.25">
      <c r="A291" s="1044">
        <v>285</v>
      </c>
      <c r="B291" s="174"/>
      <c r="C291" s="421"/>
      <c r="D291" s="415" t="s">
        <v>1170</v>
      </c>
      <c r="E291" s="416"/>
      <c r="F291" s="511"/>
      <c r="G291" s="511"/>
      <c r="H291" s="666"/>
      <c r="I291" s="676">
        <f t="shared" si="8"/>
        <v>0</v>
      </c>
      <c r="J291" s="417"/>
      <c r="K291" s="417"/>
      <c r="L291" s="417"/>
      <c r="M291" s="417"/>
      <c r="N291" s="418"/>
    </row>
    <row r="292" spans="1:14" s="59" customFormat="1" ht="17.25">
      <c r="A292" s="1044">
        <v>286</v>
      </c>
      <c r="B292" s="422"/>
      <c r="C292" s="423"/>
      <c r="D292" s="419" t="s">
        <v>1169</v>
      </c>
      <c r="E292" s="420"/>
      <c r="F292" s="510"/>
      <c r="G292" s="510"/>
      <c r="H292" s="667"/>
      <c r="I292" s="677">
        <f t="shared" si="8"/>
        <v>1200</v>
      </c>
      <c r="J292" s="510">
        <f>SUM(J290:J291)</f>
        <v>0</v>
      </c>
      <c r="K292" s="510">
        <f>SUM(K290:K291)</f>
        <v>0</v>
      </c>
      <c r="L292" s="510">
        <f>SUM(L290:L291)</f>
        <v>0</v>
      </c>
      <c r="M292" s="510">
        <f>SUM(M290:M291)</f>
        <v>0</v>
      </c>
      <c r="N292" s="637">
        <f>SUM(N290:N291)</f>
        <v>1200</v>
      </c>
    </row>
    <row r="293" spans="1:14" s="60" customFormat="1" ht="25.5" customHeight="1">
      <c r="A293" s="1044">
        <v>287</v>
      </c>
      <c r="B293" s="172"/>
      <c r="C293" s="167">
        <v>57</v>
      </c>
      <c r="D293" s="168" t="s">
        <v>895</v>
      </c>
      <c r="E293" s="169" t="s">
        <v>466</v>
      </c>
      <c r="F293" s="509"/>
      <c r="G293" s="509">
        <v>22860</v>
      </c>
      <c r="H293" s="665">
        <v>20955</v>
      </c>
      <c r="I293" s="675"/>
      <c r="J293" s="169"/>
      <c r="K293" s="169"/>
      <c r="L293" s="169"/>
      <c r="M293" s="169"/>
      <c r="N293" s="638"/>
    </row>
    <row r="294" spans="1:14" s="60" customFormat="1" ht="16.5">
      <c r="A294" s="1044">
        <v>288</v>
      </c>
      <c r="B294" s="172"/>
      <c r="C294" s="167"/>
      <c r="D294" s="168" t="s">
        <v>1168</v>
      </c>
      <c r="E294" s="169"/>
      <c r="F294" s="509"/>
      <c r="G294" s="509"/>
      <c r="H294" s="665"/>
      <c r="I294" s="675">
        <f t="shared" si="8"/>
        <v>22860</v>
      </c>
      <c r="J294" s="170"/>
      <c r="K294" s="170"/>
      <c r="L294" s="170">
        <v>22860</v>
      </c>
      <c r="M294" s="170"/>
      <c r="N294" s="414"/>
    </row>
    <row r="295" spans="1:14" s="412" customFormat="1" ht="17.25">
      <c r="A295" s="1044">
        <v>289</v>
      </c>
      <c r="B295" s="174"/>
      <c r="C295" s="421"/>
      <c r="D295" s="415" t="s">
        <v>618</v>
      </c>
      <c r="E295" s="416"/>
      <c r="F295" s="511"/>
      <c r="G295" s="511"/>
      <c r="H295" s="666"/>
      <c r="I295" s="676">
        <f t="shared" si="8"/>
        <v>1905</v>
      </c>
      <c r="J295" s="417"/>
      <c r="K295" s="417"/>
      <c r="L295" s="417">
        <v>1905</v>
      </c>
      <c r="M295" s="417"/>
      <c r="N295" s="418"/>
    </row>
    <row r="296" spans="1:14" s="59" customFormat="1" ht="17.25">
      <c r="A296" s="1044">
        <v>290</v>
      </c>
      <c r="B296" s="422"/>
      <c r="C296" s="423"/>
      <c r="D296" s="419" t="s">
        <v>1169</v>
      </c>
      <c r="E296" s="420"/>
      <c r="F296" s="510"/>
      <c r="G296" s="510"/>
      <c r="H296" s="667"/>
      <c r="I296" s="677">
        <f t="shared" si="8"/>
        <v>24765</v>
      </c>
      <c r="J296" s="510">
        <f>SUM(J294:J295)</f>
        <v>0</v>
      </c>
      <c r="K296" s="510">
        <f>SUM(K294:K295)</f>
        <v>0</v>
      </c>
      <c r="L296" s="510">
        <f>SUM(L294:L295)</f>
        <v>24765</v>
      </c>
      <c r="M296" s="510">
        <f>SUM(M294:M295)</f>
        <v>0</v>
      </c>
      <c r="N296" s="637">
        <f>SUM(N294:N295)</f>
        <v>0</v>
      </c>
    </row>
    <row r="297" spans="1:14" s="60" customFormat="1" ht="25.5" customHeight="1">
      <c r="A297" s="1044">
        <v>291</v>
      </c>
      <c r="B297" s="172"/>
      <c r="C297" s="167">
        <v>58</v>
      </c>
      <c r="D297" s="168" t="s">
        <v>579</v>
      </c>
      <c r="E297" s="169" t="s">
        <v>466</v>
      </c>
      <c r="F297" s="509"/>
      <c r="G297" s="509">
        <v>230897</v>
      </c>
      <c r="H297" s="665">
        <v>222353</v>
      </c>
      <c r="I297" s="675"/>
      <c r="J297" s="169"/>
      <c r="K297" s="169"/>
      <c r="L297" s="169"/>
      <c r="M297" s="169"/>
      <c r="N297" s="638"/>
    </row>
    <row r="298" spans="1:14" s="60" customFormat="1" ht="16.5">
      <c r="A298" s="1044">
        <v>292</v>
      </c>
      <c r="B298" s="172"/>
      <c r="C298" s="167"/>
      <c r="D298" s="168" t="s">
        <v>1168</v>
      </c>
      <c r="E298" s="169"/>
      <c r="F298" s="509"/>
      <c r="G298" s="509"/>
      <c r="H298" s="665"/>
      <c r="I298" s="675">
        <f t="shared" si="8"/>
        <v>289200</v>
      </c>
      <c r="J298" s="170"/>
      <c r="K298" s="170"/>
      <c r="L298" s="170">
        <v>289200</v>
      </c>
      <c r="M298" s="170"/>
      <c r="N298" s="414"/>
    </row>
    <row r="299" spans="1:14" s="412" customFormat="1" ht="17.25">
      <c r="A299" s="1044">
        <v>293</v>
      </c>
      <c r="B299" s="174"/>
      <c r="C299" s="421"/>
      <c r="D299" s="415" t="s">
        <v>618</v>
      </c>
      <c r="E299" s="416"/>
      <c r="F299" s="511"/>
      <c r="G299" s="511"/>
      <c r="H299" s="666"/>
      <c r="I299" s="676">
        <f t="shared" si="8"/>
        <v>8544</v>
      </c>
      <c r="J299" s="417"/>
      <c r="K299" s="417"/>
      <c r="L299" s="417">
        <v>8544</v>
      </c>
      <c r="M299" s="417"/>
      <c r="N299" s="418"/>
    </row>
    <row r="300" spans="1:14" s="59" customFormat="1" ht="17.25">
      <c r="A300" s="1044">
        <v>294</v>
      </c>
      <c r="B300" s="422"/>
      <c r="C300" s="423"/>
      <c r="D300" s="419" t="s">
        <v>1169</v>
      </c>
      <c r="E300" s="420"/>
      <c r="F300" s="510"/>
      <c r="G300" s="510"/>
      <c r="H300" s="667"/>
      <c r="I300" s="677">
        <f t="shared" si="8"/>
        <v>297744</v>
      </c>
      <c r="J300" s="510">
        <f>SUM(J298:J299)</f>
        <v>0</v>
      </c>
      <c r="K300" s="510">
        <f>SUM(K298:K299)</f>
        <v>0</v>
      </c>
      <c r="L300" s="510">
        <f>SUM(L298:L299)</f>
        <v>297744</v>
      </c>
      <c r="M300" s="510">
        <f>SUM(M298:M299)</f>
        <v>0</v>
      </c>
      <c r="N300" s="637">
        <f>SUM(N298:N299)</f>
        <v>0</v>
      </c>
    </row>
    <row r="301" spans="1:14" s="60" customFormat="1" ht="25.5" customHeight="1">
      <c r="A301" s="1044">
        <v>295</v>
      </c>
      <c r="B301" s="172"/>
      <c r="C301" s="167">
        <v>59</v>
      </c>
      <c r="D301" s="168" t="s">
        <v>376</v>
      </c>
      <c r="E301" s="169" t="s">
        <v>466</v>
      </c>
      <c r="F301" s="509"/>
      <c r="G301" s="509">
        <v>500000</v>
      </c>
      <c r="H301" s="665">
        <f>686819-273</f>
        <v>686546</v>
      </c>
      <c r="I301" s="675"/>
      <c r="J301" s="169"/>
      <c r="K301" s="169"/>
      <c r="L301" s="169"/>
      <c r="M301" s="169"/>
      <c r="N301" s="638"/>
    </row>
    <row r="302" spans="1:14" s="60" customFormat="1" ht="16.5">
      <c r="A302" s="1044">
        <v>296</v>
      </c>
      <c r="B302" s="172"/>
      <c r="C302" s="167"/>
      <c r="D302" s="168" t="s">
        <v>1168</v>
      </c>
      <c r="E302" s="169"/>
      <c r="F302" s="509"/>
      <c r="G302" s="509"/>
      <c r="H302" s="665"/>
      <c r="I302" s="675">
        <f t="shared" si="8"/>
        <v>550000</v>
      </c>
      <c r="J302" s="170"/>
      <c r="K302" s="170"/>
      <c r="L302" s="170">
        <v>550000</v>
      </c>
      <c r="M302" s="170"/>
      <c r="N302" s="414"/>
    </row>
    <row r="303" spans="1:14" s="412" customFormat="1" ht="17.25">
      <c r="A303" s="1044">
        <v>297</v>
      </c>
      <c r="B303" s="174"/>
      <c r="C303" s="421"/>
      <c r="D303" s="415" t="s">
        <v>1170</v>
      </c>
      <c r="E303" s="416"/>
      <c r="F303" s="511"/>
      <c r="G303" s="511"/>
      <c r="H303" s="666"/>
      <c r="I303" s="676">
        <f t="shared" si="8"/>
        <v>0</v>
      </c>
      <c r="J303" s="417"/>
      <c r="K303" s="417"/>
      <c r="L303" s="417"/>
      <c r="M303" s="417"/>
      <c r="N303" s="418"/>
    </row>
    <row r="304" spans="1:14" s="59" customFormat="1" ht="17.25">
      <c r="A304" s="1044">
        <v>298</v>
      </c>
      <c r="B304" s="422"/>
      <c r="C304" s="423"/>
      <c r="D304" s="419" t="s">
        <v>1169</v>
      </c>
      <c r="E304" s="420"/>
      <c r="F304" s="510"/>
      <c r="G304" s="510"/>
      <c r="H304" s="667"/>
      <c r="I304" s="677">
        <f t="shared" si="8"/>
        <v>550000</v>
      </c>
      <c r="J304" s="510">
        <f>SUM(J302:J303)</f>
        <v>0</v>
      </c>
      <c r="K304" s="510">
        <f>SUM(K302:K303)</f>
        <v>0</v>
      </c>
      <c r="L304" s="510">
        <f>SUM(L302:L303)</f>
        <v>550000</v>
      </c>
      <c r="M304" s="510">
        <f>SUM(M302:M303)</f>
        <v>0</v>
      </c>
      <c r="N304" s="637">
        <f>SUM(N302:N303)</f>
        <v>0</v>
      </c>
    </row>
    <row r="305" spans="1:14" s="60" customFormat="1" ht="24" customHeight="1">
      <c r="A305" s="1044">
        <v>299</v>
      </c>
      <c r="B305" s="172"/>
      <c r="C305" s="167">
        <v>60</v>
      </c>
      <c r="D305" s="168" t="s">
        <v>896</v>
      </c>
      <c r="E305" s="169" t="s">
        <v>466</v>
      </c>
      <c r="F305" s="509"/>
      <c r="G305" s="509">
        <v>18500</v>
      </c>
      <c r="H305" s="665">
        <v>18144</v>
      </c>
      <c r="I305" s="675"/>
      <c r="J305" s="169"/>
      <c r="K305" s="169"/>
      <c r="L305" s="169"/>
      <c r="M305" s="169"/>
      <c r="N305" s="638"/>
    </row>
    <row r="306" spans="1:14" s="60" customFormat="1" ht="16.5">
      <c r="A306" s="1044">
        <v>300</v>
      </c>
      <c r="B306" s="172"/>
      <c r="C306" s="167"/>
      <c r="D306" s="168" t="s">
        <v>1168</v>
      </c>
      <c r="E306" s="169"/>
      <c r="F306" s="509"/>
      <c r="G306" s="509"/>
      <c r="H306" s="665"/>
      <c r="I306" s="675">
        <f t="shared" si="8"/>
        <v>19200</v>
      </c>
      <c r="J306" s="170"/>
      <c r="K306" s="170"/>
      <c r="L306" s="170">
        <v>19200</v>
      </c>
      <c r="M306" s="170"/>
      <c r="N306" s="414"/>
    </row>
    <row r="307" spans="1:14" s="412" customFormat="1" ht="17.25">
      <c r="A307" s="1044">
        <v>301</v>
      </c>
      <c r="B307" s="174"/>
      <c r="C307" s="421"/>
      <c r="D307" s="415" t="s">
        <v>618</v>
      </c>
      <c r="E307" s="416"/>
      <c r="F307" s="511"/>
      <c r="G307" s="511"/>
      <c r="H307" s="666"/>
      <c r="I307" s="676">
        <f t="shared" si="8"/>
        <v>356</v>
      </c>
      <c r="J307" s="417"/>
      <c r="K307" s="417"/>
      <c r="L307" s="417">
        <v>356</v>
      </c>
      <c r="M307" s="417"/>
      <c r="N307" s="418"/>
    </row>
    <row r="308" spans="1:14" s="59" customFormat="1" ht="17.25">
      <c r="A308" s="1044">
        <v>302</v>
      </c>
      <c r="B308" s="422"/>
      <c r="C308" s="423"/>
      <c r="D308" s="419" t="s">
        <v>1169</v>
      </c>
      <c r="E308" s="420"/>
      <c r="F308" s="510"/>
      <c r="G308" s="510"/>
      <c r="H308" s="667"/>
      <c r="I308" s="677">
        <f t="shared" si="8"/>
        <v>19556</v>
      </c>
      <c r="J308" s="510">
        <f>SUM(J306:J307)</f>
        <v>0</v>
      </c>
      <c r="K308" s="510">
        <f>SUM(K306:K307)</f>
        <v>0</v>
      </c>
      <c r="L308" s="510">
        <f>SUM(L306:L307)</f>
        <v>19556</v>
      </c>
      <c r="M308" s="510">
        <f>SUM(M306:M307)</f>
        <v>0</v>
      </c>
      <c r="N308" s="637">
        <f>SUM(N306:N307)</f>
        <v>0</v>
      </c>
    </row>
    <row r="309" spans="1:14" s="60" customFormat="1" ht="25.5" customHeight="1">
      <c r="A309" s="1044">
        <v>303</v>
      </c>
      <c r="B309" s="172"/>
      <c r="C309" s="167">
        <v>61</v>
      </c>
      <c r="D309" s="168" t="s">
        <v>1180</v>
      </c>
      <c r="E309" s="169" t="s">
        <v>466</v>
      </c>
      <c r="F309" s="509">
        <v>20000</v>
      </c>
      <c r="G309" s="509">
        <v>20000</v>
      </c>
      <c r="H309" s="665">
        <v>20000</v>
      </c>
      <c r="I309" s="675"/>
      <c r="J309" s="169"/>
      <c r="K309" s="169"/>
      <c r="L309" s="169"/>
      <c r="M309" s="169"/>
      <c r="N309" s="638"/>
    </row>
    <row r="310" spans="1:14" s="60" customFormat="1" ht="16.5">
      <c r="A310" s="1044">
        <v>304</v>
      </c>
      <c r="B310" s="172"/>
      <c r="C310" s="167"/>
      <c r="D310" s="168" t="s">
        <v>1168</v>
      </c>
      <c r="E310" s="169"/>
      <c r="F310" s="509"/>
      <c r="G310" s="509"/>
      <c r="H310" s="665"/>
      <c r="I310" s="675">
        <f t="shared" si="8"/>
        <v>23000</v>
      </c>
      <c r="J310" s="170"/>
      <c r="K310" s="170"/>
      <c r="L310" s="170">
        <v>23000</v>
      </c>
      <c r="M310" s="170"/>
      <c r="N310" s="414"/>
    </row>
    <row r="311" spans="1:14" s="412" customFormat="1" ht="17.25">
      <c r="A311" s="1044">
        <v>305</v>
      </c>
      <c r="B311" s="174"/>
      <c r="C311" s="421"/>
      <c r="D311" s="415" t="s">
        <v>1170</v>
      </c>
      <c r="E311" s="416"/>
      <c r="F311" s="511"/>
      <c r="G311" s="511"/>
      <c r="H311" s="666"/>
      <c r="I311" s="676">
        <f t="shared" si="8"/>
        <v>0</v>
      </c>
      <c r="J311" s="417"/>
      <c r="K311" s="417"/>
      <c r="L311" s="417"/>
      <c r="M311" s="417"/>
      <c r="N311" s="418"/>
    </row>
    <row r="312" spans="1:14" s="59" customFormat="1" ht="17.25">
      <c r="A312" s="1044">
        <v>306</v>
      </c>
      <c r="B312" s="422"/>
      <c r="C312" s="423"/>
      <c r="D312" s="419" t="s">
        <v>1169</v>
      </c>
      <c r="E312" s="420"/>
      <c r="F312" s="510"/>
      <c r="G312" s="510"/>
      <c r="H312" s="667"/>
      <c r="I312" s="677">
        <f t="shared" si="8"/>
        <v>23000</v>
      </c>
      <c r="J312" s="510">
        <f>SUM(J310:J311)</f>
        <v>0</v>
      </c>
      <c r="K312" s="510">
        <f>SUM(K310:K311)</f>
        <v>0</v>
      </c>
      <c r="L312" s="510">
        <f>SUM(L310:L311)</f>
        <v>23000</v>
      </c>
      <c r="M312" s="510">
        <f>SUM(M310:M311)</f>
        <v>0</v>
      </c>
      <c r="N312" s="637">
        <f>SUM(N310:N311)</f>
        <v>0</v>
      </c>
    </row>
    <row r="313" spans="1:14" s="60" customFormat="1" ht="25.5" customHeight="1">
      <c r="A313" s="1044">
        <v>307</v>
      </c>
      <c r="B313" s="172"/>
      <c r="C313" s="167">
        <v>62</v>
      </c>
      <c r="D313" s="168" t="s">
        <v>377</v>
      </c>
      <c r="E313" s="169" t="s">
        <v>466</v>
      </c>
      <c r="F313" s="509"/>
      <c r="G313" s="509"/>
      <c r="H313" s="665"/>
      <c r="I313" s="675"/>
      <c r="J313" s="169"/>
      <c r="K313" s="169"/>
      <c r="L313" s="169"/>
      <c r="M313" s="169"/>
      <c r="N313" s="638"/>
    </row>
    <row r="314" spans="1:14" s="60" customFormat="1" ht="16.5">
      <c r="A314" s="1044">
        <v>308</v>
      </c>
      <c r="B314" s="172"/>
      <c r="C314" s="167"/>
      <c r="D314" s="168" t="s">
        <v>1168</v>
      </c>
      <c r="E314" s="169"/>
      <c r="F314" s="509"/>
      <c r="G314" s="509"/>
      <c r="H314" s="665"/>
      <c r="I314" s="675">
        <f t="shared" si="8"/>
        <v>50000</v>
      </c>
      <c r="J314" s="170"/>
      <c r="K314" s="170"/>
      <c r="L314" s="170"/>
      <c r="M314" s="170"/>
      <c r="N314" s="414">
        <v>50000</v>
      </c>
    </row>
    <row r="315" spans="1:14" s="412" customFormat="1" ht="17.25">
      <c r="A315" s="1044">
        <v>309</v>
      </c>
      <c r="B315" s="174"/>
      <c r="C315" s="421"/>
      <c r="D315" s="415" t="s">
        <v>1170</v>
      </c>
      <c r="E315" s="416"/>
      <c r="F315" s="511"/>
      <c r="G315" s="511"/>
      <c r="H315" s="666"/>
      <c r="I315" s="676">
        <f t="shared" si="8"/>
        <v>0</v>
      </c>
      <c r="J315" s="417"/>
      <c r="K315" s="417"/>
      <c r="L315" s="417"/>
      <c r="M315" s="417"/>
      <c r="N315" s="418"/>
    </row>
    <row r="316" spans="1:14" s="59" customFormat="1" ht="17.25">
      <c r="A316" s="1044">
        <v>310</v>
      </c>
      <c r="B316" s="422"/>
      <c r="C316" s="423"/>
      <c r="D316" s="419" t="s">
        <v>1169</v>
      </c>
      <c r="E316" s="420"/>
      <c r="F316" s="510"/>
      <c r="G316" s="510"/>
      <c r="H316" s="667"/>
      <c r="I316" s="677">
        <f t="shared" si="8"/>
        <v>50000</v>
      </c>
      <c r="J316" s="510">
        <f>SUM(J314:J315)</f>
        <v>0</v>
      </c>
      <c r="K316" s="510">
        <f>SUM(K314:K315)</f>
        <v>0</v>
      </c>
      <c r="L316" s="510">
        <f>SUM(L314:L315)</f>
        <v>0</v>
      </c>
      <c r="M316" s="510">
        <f>SUM(M314:M315)</f>
        <v>0</v>
      </c>
      <c r="N316" s="637">
        <f>SUM(N314:N315)</f>
        <v>50000</v>
      </c>
    </row>
    <row r="317" spans="1:14" s="60" customFormat="1" ht="25.5" customHeight="1">
      <c r="A317" s="1044">
        <v>311</v>
      </c>
      <c r="B317" s="172"/>
      <c r="C317" s="167">
        <v>63</v>
      </c>
      <c r="D317" s="168" t="s">
        <v>378</v>
      </c>
      <c r="E317" s="169" t="s">
        <v>466</v>
      </c>
      <c r="F317" s="509"/>
      <c r="G317" s="509">
        <v>250000</v>
      </c>
      <c r="H317" s="665">
        <v>291122</v>
      </c>
      <c r="I317" s="675"/>
      <c r="J317" s="169"/>
      <c r="K317" s="169"/>
      <c r="L317" s="169"/>
      <c r="M317" s="169"/>
      <c r="N317" s="638"/>
    </row>
    <row r="318" spans="1:14" s="60" customFormat="1" ht="16.5">
      <c r="A318" s="1044">
        <v>312</v>
      </c>
      <c r="B318" s="172"/>
      <c r="C318" s="167"/>
      <c r="D318" s="168" t="s">
        <v>1168</v>
      </c>
      <c r="E318" s="169"/>
      <c r="F318" s="509"/>
      <c r="G318" s="509"/>
      <c r="H318" s="665"/>
      <c r="I318" s="675">
        <f t="shared" si="8"/>
        <v>250000</v>
      </c>
      <c r="J318" s="170"/>
      <c r="K318" s="170"/>
      <c r="L318" s="170">
        <v>250000</v>
      </c>
      <c r="M318" s="170"/>
      <c r="N318" s="414"/>
    </row>
    <row r="319" spans="1:14" s="412" customFormat="1" ht="17.25">
      <c r="A319" s="1044">
        <v>313</v>
      </c>
      <c r="B319" s="174"/>
      <c r="C319" s="421"/>
      <c r="D319" s="415" t="s">
        <v>618</v>
      </c>
      <c r="E319" s="416"/>
      <c r="F319" s="511"/>
      <c r="G319" s="511"/>
      <c r="H319" s="666"/>
      <c r="I319" s="676">
        <f t="shared" si="8"/>
        <v>45085</v>
      </c>
      <c r="J319" s="417"/>
      <c r="K319" s="417"/>
      <c r="L319" s="417">
        <v>45085</v>
      </c>
      <c r="M319" s="417"/>
      <c r="N319" s="418"/>
    </row>
    <row r="320" spans="1:14" s="59" customFormat="1" ht="17.25">
      <c r="A320" s="1044">
        <v>314</v>
      </c>
      <c r="B320" s="422"/>
      <c r="C320" s="423"/>
      <c r="D320" s="419" t="s">
        <v>1169</v>
      </c>
      <c r="E320" s="420"/>
      <c r="F320" s="510"/>
      <c r="G320" s="510"/>
      <c r="H320" s="667"/>
      <c r="I320" s="677">
        <f t="shared" si="8"/>
        <v>295085</v>
      </c>
      <c r="J320" s="510">
        <f>SUM(J318:J319)</f>
        <v>0</v>
      </c>
      <c r="K320" s="510">
        <f>SUM(K318:K319)</f>
        <v>0</v>
      </c>
      <c r="L320" s="510">
        <f>SUM(L318:L319)</f>
        <v>295085</v>
      </c>
      <c r="M320" s="510">
        <f>SUM(M318:M319)</f>
        <v>0</v>
      </c>
      <c r="N320" s="637">
        <f>SUM(N318:N319)</f>
        <v>0</v>
      </c>
    </row>
    <row r="321" spans="1:14" s="60" customFormat="1" ht="25.5" customHeight="1">
      <c r="A321" s="1044">
        <v>315</v>
      </c>
      <c r="B321" s="172"/>
      <c r="C321" s="167">
        <v>64</v>
      </c>
      <c r="D321" s="168" t="s">
        <v>911</v>
      </c>
      <c r="E321" s="169" t="s">
        <v>400</v>
      </c>
      <c r="F321" s="509">
        <v>41814</v>
      </c>
      <c r="G321" s="509">
        <v>24355</v>
      </c>
      <c r="H321" s="665">
        <v>24355</v>
      </c>
      <c r="I321" s="675"/>
      <c r="J321" s="169"/>
      <c r="K321" s="169"/>
      <c r="L321" s="169"/>
      <c r="M321" s="169"/>
      <c r="N321" s="638"/>
    </row>
    <row r="322" spans="1:14" s="60" customFormat="1" ht="16.5">
      <c r="A322" s="1044">
        <v>316</v>
      </c>
      <c r="B322" s="172"/>
      <c r="C322" s="167"/>
      <c r="D322" s="168" t="s">
        <v>1168</v>
      </c>
      <c r="E322" s="169"/>
      <c r="F322" s="509"/>
      <c r="G322" s="509"/>
      <c r="H322" s="665"/>
      <c r="I322" s="675">
        <f t="shared" si="8"/>
        <v>26055</v>
      </c>
      <c r="J322" s="170"/>
      <c r="K322" s="170"/>
      <c r="L322" s="170">
        <v>26055</v>
      </c>
      <c r="M322" s="170"/>
      <c r="N322" s="414"/>
    </row>
    <row r="323" spans="1:14" s="412" customFormat="1" ht="17.25">
      <c r="A323" s="1044">
        <v>317</v>
      </c>
      <c r="B323" s="174"/>
      <c r="C323" s="421"/>
      <c r="D323" s="415" t="s">
        <v>760</v>
      </c>
      <c r="E323" s="416"/>
      <c r="F323" s="511"/>
      <c r="G323" s="511"/>
      <c r="H323" s="666"/>
      <c r="I323" s="676">
        <f t="shared" si="8"/>
        <v>0</v>
      </c>
      <c r="J323" s="417"/>
      <c r="K323" s="417"/>
      <c r="L323" s="417">
        <v>-26055</v>
      </c>
      <c r="M323" s="417"/>
      <c r="N323" s="418">
        <v>26055</v>
      </c>
    </row>
    <row r="324" spans="1:14" s="59" customFormat="1" ht="17.25">
      <c r="A324" s="1044">
        <v>318</v>
      </c>
      <c r="B324" s="422"/>
      <c r="C324" s="423"/>
      <c r="D324" s="419" t="s">
        <v>1169</v>
      </c>
      <c r="E324" s="420"/>
      <c r="F324" s="510"/>
      <c r="G324" s="510"/>
      <c r="H324" s="667"/>
      <c r="I324" s="677">
        <f t="shared" si="8"/>
        <v>26055</v>
      </c>
      <c r="J324" s="510">
        <f>SUM(J322:J323)</f>
        <v>0</v>
      </c>
      <c r="K324" s="510">
        <f>SUM(K322:K323)</f>
        <v>0</v>
      </c>
      <c r="L324" s="510">
        <f>SUM(L322:L323)</f>
        <v>0</v>
      </c>
      <c r="M324" s="510">
        <f>SUM(M322:M323)</f>
        <v>0</v>
      </c>
      <c r="N324" s="637">
        <f>SUM(N322:N323)</f>
        <v>26055</v>
      </c>
    </row>
    <row r="325" spans="1:14" s="60" customFormat="1" ht="25.5" customHeight="1">
      <c r="A325" s="1044">
        <v>319</v>
      </c>
      <c r="B325" s="172"/>
      <c r="C325" s="167">
        <v>65</v>
      </c>
      <c r="D325" s="168" t="s">
        <v>827</v>
      </c>
      <c r="E325" s="169" t="s">
        <v>400</v>
      </c>
      <c r="F325" s="509">
        <v>50000</v>
      </c>
      <c r="G325" s="509">
        <v>45000</v>
      </c>
      <c r="H325" s="665">
        <v>45000</v>
      </c>
      <c r="I325" s="675"/>
      <c r="J325" s="169"/>
      <c r="K325" s="169"/>
      <c r="L325" s="169"/>
      <c r="M325" s="169"/>
      <c r="N325" s="638"/>
    </row>
    <row r="326" spans="1:14" s="60" customFormat="1" ht="16.5">
      <c r="A326" s="1044">
        <v>320</v>
      </c>
      <c r="B326" s="172"/>
      <c r="C326" s="167"/>
      <c r="D326" s="168" t="s">
        <v>1168</v>
      </c>
      <c r="E326" s="169"/>
      <c r="F326" s="509"/>
      <c r="G326" s="509"/>
      <c r="H326" s="665"/>
      <c r="I326" s="675">
        <f t="shared" si="8"/>
        <v>50000</v>
      </c>
      <c r="J326" s="170"/>
      <c r="K326" s="170"/>
      <c r="L326" s="170">
        <v>50000</v>
      </c>
      <c r="M326" s="170"/>
      <c r="N326" s="414"/>
    </row>
    <row r="327" spans="1:14" s="412" customFormat="1" ht="17.25">
      <c r="A327" s="1044">
        <v>321</v>
      </c>
      <c r="B327" s="174"/>
      <c r="C327" s="421"/>
      <c r="D327" s="415" t="s">
        <v>760</v>
      </c>
      <c r="E327" s="416"/>
      <c r="F327" s="511"/>
      <c r="G327" s="511"/>
      <c r="H327" s="666"/>
      <c r="I327" s="676">
        <f t="shared" si="8"/>
        <v>0</v>
      </c>
      <c r="J327" s="417"/>
      <c r="K327" s="417"/>
      <c r="L327" s="417">
        <v>-50000</v>
      </c>
      <c r="M327" s="417"/>
      <c r="N327" s="418">
        <v>50000</v>
      </c>
    </row>
    <row r="328" spans="1:14" s="59" customFormat="1" ht="17.25">
      <c r="A328" s="1044">
        <v>322</v>
      </c>
      <c r="B328" s="422"/>
      <c r="C328" s="423"/>
      <c r="D328" s="419" t="s">
        <v>1169</v>
      </c>
      <c r="E328" s="420"/>
      <c r="F328" s="510"/>
      <c r="G328" s="510"/>
      <c r="H328" s="667"/>
      <c r="I328" s="677">
        <f t="shared" si="8"/>
        <v>50000</v>
      </c>
      <c r="J328" s="510">
        <f>SUM(J326:J327)</f>
        <v>0</v>
      </c>
      <c r="K328" s="510">
        <f>SUM(K326:K327)</f>
        <v>0</v>
      </c>
      <c r="L328" s="510">
        <f>SUM(L326:L327)</f>
        <v>0</v>
      </c>
      <c r="M328" s="510">
        <f>SUM(M326:M327)</f>
        <v>0</v>
      </c>
      <c r="N328" s="637">
        <f>SUM(N326:N327)</f>
        <v>50000</v>
      </c>
    </row>
    <row r="329" spans="1:14" s="60" customFormat="1" ht="25.5" customHeight="1">
      <c r="A329" s="1044">
        <v>323</v>
      </c>
      <c r="B329" s="172"/>
      <c r="C329" s="167">
        <v>66</v>
      </c>
      <c r="D329" s="168" t="s">
        <v>881</v>
      </c>
      <c r="E329" s="169" t="s">
        <v>400</v>
      </c>
      <c r="F329" s="509"/>
      <c r="G329" s="509"/>
      <c r="H329" s="665"/>
      <c r="I329" s="675"/>
      <c r="J329" s="169"/>
      <c r="K329" s="169"/>
      <c r="L329" s="169"/>
      <c r="M329" s="169"/>
      <c r="N329" s="638"/>
    </row>
    <row r="330" spans="1:14" s="60" customFormat="1" ht="16.5">
      <c r="A330" s="1044">
        <v>324</v>
      </c>
      <c r="B330" s="172"/>
      <c r="C330" s="167"/>
      <c r="D330" s="168" t="s">
        <v>1168</v>
      </c>
      <c r="E330" s="169"/>
      <c r="F330" s="509"/>
      <c r="G330" s="509"/>
      <c r="H330" s="665"/>
      <c r="I330" s="675">
        <f t="shared" si="8"/>
        <v>13900</v>
      </c>
      <c r="J330" s="170"/>
      <c r="K330" s="170"/>
      <c r="L330" s="170">
        <v>13900</v>
      </c>
      <c r="M330" s="170"/>
      <c r="N330" s="414"/>
    </row>
    <row r="331" spans="1:14" s="412" customFormat="1" ht="17.25">
      <c r="A331" s="1044">
        <v>325</v>
      </c>
      <c r="B331" s="174"/>
      <c r="C331" s="421"/>
      <c r="D331" s="415" t="s">
        <v>178</v>
      </c>
      <c r="E331" s="416"/>
      <c r="F331" s="511"/>
      <c r="G331" s="511"/>
      <c r="H331" s="666"/>
      <c r="I331" s="676">
        <f t="shared" si="8"/>
        <v>-13900</v>
      </c>
      <c r="J331" s="417"/>
      <c r="K331" s="417"/>
      <c r="L331" s="417">
        <v>-13900</v>
      </c>
      <c r="M331" s="417"/>
      <c r="N331" s="418"/>
    </row>
    <row r="332" spans="1:14" s="59" customFormat="1" ht="17.25">
      <c r="A332" s="1044">
        <v>326</v>
      </c>
      <c r="B332" s="422"/>
      <c r="C332" s="423"/>
      <c r="D332" s="419" t="s">
        <v>1169</v>
      </c>
      <c r="E332" s="420"/>
      <c r="F332" s="510"/>
      <c r="G332" s="510"/>
      <c r="H332" s="667"/>
      <c r="I332" s="677">
        <f t="shared" si="8"/>
        <v>0</v>
      </c>
      <c r="J332" s="510">
        <f>SUM(J330:J331)</f>
        <v>0</v>
      </c>
      <c r="K332" s="510">
        <f>SUM(K330:K331)</f>
        <v>0</v>
      </c>
      <c r="L332" s="510">
        <f>SUM(L330:L331)</f>
        <v>0</v>
      </c>
      <c r="M332" s="510">
        <f>SUM(M330:M331)</f>
        <v>0</v>
      </c>
      <c r="N332" s="637">
        <f>SUM(N330:N331)</f>
        <v>0</v>
      </c>
    </row>
    <row r="333" spans="1:14" s="60" customFormat="1" ht="25.5" customHeight="1">
      <c r="A333" s="1044">
        <v>327</v>
      </c>
      <c r="B333" s="172"/>
      <c r="C333" s="167">
        <v>67</v>
      </c>
      <c r="D333" s="168" t="s">
        <v>533</v>
      </c>
      <c r="E333" s="169" t="s">
        <v>400</v>
      </c>
      <c r="F333" s="509">
        <v>71400</v>
      </c>
      <c r="G333" s="509">
        <v>60000</v>
      </c>
      <c r="H333" s="665">
        <v>60000</v>
      </c>
      <c r="I333" s="675"/>
      <c r="J333" s="169"/>
      <c r="K333" s="169"/>
      <c r="L333" s="169"/>
      <c r="M333" s="169"/>
      <c r="N333" s="638"/>
    </row>
    <row r="334" spans="1:14" s="60" customFormat="1" ht="16.5">
      <c r="A334" s="1044">
        <v>328</v>
      </c>
      <c r="B334" s="172"/>
      <c r="C334" s="167"/>
      <c r="D334" s="168" t="s">
        <v>1168</v>
      </c>
      <c r="E334" s="169"/>
      <c r="F334" s="509"/>
      <c r="G334" s="509"/>
      <c r="H334" s="665"/>
      <c r="I334" s="675">
        <f t="shared" si="8"/>
        <v>85000</v>
      </c>
      <c r="J334" s="170"/>
      <c r="K334" s="170"/>
      <c r="L334" s="170">
        <v>85000</v>
      </c>
      <c r="M334" s="170"/>
      <c r="N334" s="414"/>
    </row>
    <row r="335" spans="1:14" s="412" customFormat="1" ht="17.25">
      <c r="A335" s="1044">
        <v>329</v>
      </c>
      <c r="B335" s="174"/>
      <c r="C335" s="421"/>
      <c r="D335" s="415" t="s">
        <v>760</v>
      </c>
      <c r="E335" s="416"/>
      <c r="F335" s="511"/>
      <c r="G335" s="511"/>
      <c r="H335" s="666"/>
      <c r="I335" s="676">
        <f aca="true" t="shared" si="9" ref="I335:I401">SUM(J335:N335)</f>
        <v>0</v>
      </c>
      <c r="J335" s="417"/>
      <c r="K335" s="417"/>
      <c r="L335" s="417">
        <v>-85000</v>
      </c>
      <c r="M335" s="417"/>
      <c r="N335" s="418">
        <v>85000</v>
      </c>
    </row>
    <row r="336" spans="1:14" s="59" customFormat="1" ht="17.25">
      <c r="A336" s="1044">
        <v>330</v>
      </c>
      <c r="B336" s="422"/>
      <c r="C336" s="423"/>
      <c r="D336" s="419" t="s">
        <v>1169</v>
      </c>
      <c r="E336" s="420"/>
      <c r="F336" s="510"/>
      <c r="G336" s="510"/>
      <c r="H336" s="667"/>
      <c r="I336" s="677">
        <f t="shared" si="9"/>
        <v>85000</v>
      </c>
      <c r="J336" s="510">
        <f>SUM(J334:J335)</f>
        <v>0</v>
      </c>
      <c r="K336" s="510">
        <f>SUM(K334:K335)</f>
        <v>0</v>
      </c>
      <c r="L336" s="510">
        <f>SUM(L334:L335)</f>
        <v>0</v>
      </c>
      <c r="M336" s="510">
        <f>SUM(M334:M335)</f>
        <v>0</v>
      </c>
      <c r="N336" s="637">
        <f>SUM(N334:N335)</f>
        <v>85000</v>
      </c>
    </row>
    <row r="337" spans="1:14" s="60" customFormat="1" ht="25.5" customHeight="1">
      <c r="A337" s="1044">
        <v>331</v>
      </c>
      <c r="B337" s="172"/>
      <c r="C337" s="167">
        <v>68</v>
      </c>
      <c r="D337" s="168" t="s">
        <v>899</v>
      </c>
      <c r="E337" s="169" t="s">
        <v>400</v>
      </c>
      <c r="F337" s="509">
        <v>19950</v>
      </c>
      <c r="G337" s="509">
        <v>8000</v>
      </c>
      <c r="H337" s="665">
        <v>4957</v>
      </c>
      <c r="I337" s="675"/>
      <c r="J337" s="169"/>
      <c r="K337" s="169"/>
      <c r="L337" s="169"/>
      <c r="M337" s="169"/>
      <c r="N337" s="638"/>
    </row>
    <row r="338" spans="1:14" s="60" customFormat="1" ht="16.5">
      <c r="A338" s="1044">
        <v>332</v>
      </c>
      <c r="B338" s="172"/>
      <c r="C338" s="167"/>
      <c r="D338" s="168" t="s">
        <v>1168</v>
      </c>
      <c r="E338" s="169"/>
      <c r="F338" s="509"/>
      <c r="G338" s="509"/>
      <c r="H338" s="665"/>
      <c r="I338" s="675">
        <f t="shared" si="9"/>
        <v>17500</v>
      </c>
      <c r="J338" s="170"/>
      <c r="K338" s="170"/>
      <c r="L338" s="170">
        <v>17500</v>
      </c>
      <c r="M338" s="170"/>
      <c r="N338" s="414"/>
    </row>
    <row r="339" spans="1:14" s="412" customFormat="1" ht="17.25">
      <c r="A339" s="1044">
        <v>333</v>
      </c>
      <c r="B339" s="174"/>
      <c r="C339" s="421"/>
      <c r="D339" s="415" t="s">
        <v>1170</v>
      </c>
      <c r="E339" s="416"/>
      <c r="F339" s="511"/>
      <c r="G339" s="511"/>
      <c r="H339" s="666"/>
      <c r="I339" s="676">
        <f t="shared" si="9"/>
        <v>0</v>
      </c>
      <c r="J339" s="417"/>
      <c r="K339" s="417"/>
      <c r="L339" s="417"/>
      <c r="M339" s="417"/>
      <c r="N339" s="418"/>
    </row>
    <row r="340" spans="1:14" s="59" customFormat="1" ht="17.25">
      <c r="A340" s="1044">
        <v>334</v>
      </c>
      <c r="B340" s="422"/>
      <c r="C340" s="423"/>
      <c r="D340" s="419" t="s">
        <v>1169</v>
      </c>
      <c r="E340" s="420"/>
      <c r="F340" s="510"/>
      <c r="G340" s="510"/>
      <c r="H340" s="667"/>
      <c r="I340" s="677">
        <f t="shared" si="9"/>
        <v>17500</v>
      </c>
      <c r="J340" s="510">
        <f>SUM(J338:J339)</f>
        <v>0</v>
      </c>
      <c r="K340" s="510">
        <f>SUM(K338:K339)</f>
        <v>0</v>
      </c>
      <c r="L340" s="510">
        <f>SUM(L338:L339)</f>
        <v>17500</v>
      </c>
      <c r="M340" s="510">
        <f>SUM(M338:M339)</f>
        <v>0</v>
      </c>
      <c r="N340" s="637">
        <f>SUM(N338:N339)</f>
        <v>0</v>
      </c>
    </row>
    <row r="341" spans="1:14" s="60" customFormat="1" ht="25.5" customHeight="1">
      <c r="A341" s="1044">
        <v>335</v>
      </c>
      <c r="B341" s="172"/>
      <c r="C341" s="167">
        <v>69</v>
      </c>
      <c r="D341" s="168" t="s">
        <v>900</v>
      </c>
      <c r="E341" s="169" t="s">
        <v>400</v>
      </c>
      <c r="F341" s="509"/>
      <c r="G341" s="509">
        <v>14000</v>
      </c>
      <c r="H341" s="665">
        <v>12573</v>
      </c>
      <c r="I341" s="675"/>
      <c r="J341" s="169"/>
      <c r="K341" s="169"/>
      <c r="L341" s="169"/>
      <c r="M341" s="169"/>
      <c r="N341" s="638"/>
    </row>
    <row r="342" spans="1:14" s="60" customFormat="1" ht="16.5">
      <c r="A342" s="1044">
        <v>336</v>
      </c>
      <c r="B342" s="172"/>
      <c r="C342" s="167"/>
      <c r="D342" s="168" t="s">
        <v>1168</v>
      </c>
      <c r="E342" s="169"/>
      <c r="F342" s="509"/>
      <c r="G342" s="509"/>
      <c r="H342" s="665"/>
      <c r="I342" s="675">
        <f t="shared" si="9"/>
        <v>14000</v>
      </c>
      <c r="J342" s="170"/>
      <c r="K342" s="170"/>
      <c r="L342" s="170">
        <v>14000</v>
      </c>
      <c r="M342" s="170"/>
      <c r="N342" s="414"/>
    </row>
    <row r="343" spans="1:14" s="412" customFormat="1" ht="17.25">
      <c r="A343" s="1044">
        <v>337</v>
      </c>
      <c r="B343" s="174"/>
      <c r="C343" s="421"/>
      <c r="D343" s="415" t="s">
        <v>1170</v>
      </c>
      <c r="E343" s="416"/>
      <c r="F343" s="511"/>
      <c r="G343" s="511"/>
      <c r="H343" s="666"/>
      <c r="I343" s="676">
        <f t="shared" si="9"/>
        <v>0</v>
      </c>
      <c r="J343" s="417"/>
      <c r="K343" s="417"/>
      <c r="L343" s="417"/>
      <c r="M343" s="417"/>
      <c r="N343" s="418"/>
    </row>
    <row r="344" spans="1:14" s="59" customFormat="1" ht="17.25">
      <c r="A344" s="1044">
        <v>338</v>
      </c>
      <c r="B344" s="422"/>
      <c r="C344" s="423"/>
      <c r="D344" s="419" t="s">
        <v>1169</v>
      </c>
      <c r="E344" s="420"/>
      <c r="F344" s="510"/>
      <c r="G344" s="510"/>
      <c r="H344" s="667"/>
      <c r="I344" s="677">
        <f t="shared" si="9"/>
        <v>14000</v>
      </c>
      <c r="J344" s="510">
        <f>SUM(J342:J343)</f>
        <v>0</v>
      </c>
      <c r="K344" s="510">
        <f>SUM(K342:K343)</f>
        <v>0</v>
      </c>
      <c r="L344" s="510">
        <f>SUM(L342:L343)</f>
        <v>14000</v>
      </c>
      <c r="M344" s="510">
        <f>SUM(M342:M343)</f>
        <v>0</v>
      </c>
      <c r="N344" s="637">
        <f>SUM(N342:N343)</f>
        <v>0</v>
      </c>
    </row>
    <row r="345" spans="1:14" s="60" customFormat="1" ht="24" customHeight="1">
      <c r="A345" s="1044">
        <v>339</v>
      </c>
      <c r="B345" s="172"/>
      <c r="C345" s="167">
        <v>70</v>
      </c>
      <c r="D345" s="168" t="s">
        <v>1120</v>
      </c>
      <c r="E345" s="169" t="s">
        <v>400</v>
      </c>
      <c r="F345" s="509">
        <v>70146</v>
      </c>
      <c r="G345" s="509">
        <v>33400</v>
      </c>
      <c r="H345" s="665">
        <v>33263</v>
      </c>
      <c r="I345" s="675"/>
      <c r="J345" s="169"/>
      <c r="K345" s="169"/>
      <c r="L345" s="169"/>
      <c r="M345" s="169"/>
      <c r="N345" s="638"/>
    </row>
    <row r="346" spans="1:14" s="60" customFormat="1" ht="16.5">
      <c r="A346" s="1044">
        <v>340</v>
      </c>
      <c r="B346" s="172"/>
      <c r="C346" s="167"/>
      <c r="D346" s="168" t="s">
        <v>1168</v>
      </c>
      <c r="E346" s="169"/>
      <c r="F346" s="509"/>
      <c r="G346" s="509"/>
      <c r="H346" s="665"/>
      <c r="I346" s="675">
        <f t="shared" si="9"/>
        <v>34200</v>
      </c>
      <c r="J346" s="170"/>
      <c r="K346" s="170"/>
      <c r="L346" s="170">
        <v>34200</v>
      </c>
      <c r="M346" s="170"/>
      <c r="N346" s="414"/>
    </row>
    <row r="347" spans="1:14" s="412" customFormat="1" ht="17.25">
      <c r="A347" s="1044">
        <v>341</v>
      </c>
      <c r="B347" s="174"/>
      <c r="C347" s="421"/>
      <c r="D347" s="415" t="s">
        <v>1170</v>
      </c>
      <c r="E347" s="416"/>
      <c r="F347" s="511"/>
      <c r="G347" s="511"/>
      <c r="H347" s="666"/>
      <c r="I347" s="676">
        <f t="shared" si="9"/>
        <v>0</v>
      </c>
      <c r="J347" s="417"/>
      <c r="K347" s="417"/>
      <c r="L347" s="417"/>
      <c r="M347" s="417"/>
      <c r="N347" s="418"/>
    </row>
    <row r="348" spans="1:14" s="59" customFormat="1" ht="17.25">
      <c r="A348" s="1044">
        <v>342</v>
      </c>
      <c r="B348" s="422"/>
      <c r="C348" s="423"/>
      <c r="D348" s="419" t="s">
        <v>1169</v>
      </c>
      <c r="E348" s="420"/>
      <c r="F348" s="510"/>
      <c r="G348" s="510"/>
      <c r="H348" s="667"/>
      <c r="I348" s="677">
        <f t="shared" si="9"/>
        <v>34200</v>
      </c>
      <c r="J348" s="510">
        <f>SUM(J346:J347)</f>
        <v>0</v>
      </c>
      <c r="K348" s="510">
        <f>SUM(K346:K347)</f>
        <v>0</v>
      </c>
      <c r="L348" s="510">
        <f>SUM(L346:L347)</f>
        <v>34200</v>
      </c>
      <c r="M348" s="510">
        <f>SUM(M346:M347)</f>
        <v>0</v>
      </c>
      <c r="N348" s="637">
        <f>SUM(N346:N347)</f>
        <v>0</v>
      </c>
    </row>
    <row r="349" spans="1:14" s="60" customFormat="1" ht="25.5" customHeight="1">
      <c r="A349" s="1044">
        <v>343</v>
      </c>
      <c r="B349" s="172"/>
      <c r="C349" s="167">
        <v>71</v>
      </c>
      <c r="D349" s="168" t="s">
        <v>1182</v>
      </c>
      <c r="E349" s="169" t="s">
        <v>400</v>
      </c>
      <c r="F349" s="509"/>
      <c r="G349" s="509"/>
      <c r="H349" s="665"/>
      <c r="I349" s="675"/>
      <c r="J349" s="169"/>
      <c r="K349" s="169"/>
      <c r="L349" s="169"/>
      <c r="M349" s="169"/>
      <c r="N349" s="638"/>
    </row>
    <row r="350" spans="1:14" s="60" customFormat="1" ht="16.5">
      <c r="A350" s="1044">
        <v>344</v>
      </c>
      <c r="B350" s="172"/>
      <c r="C350" s="167"/>
      <c r="D350" s="168" t="s">
        <v>1168</v>
      </c>
      <c r="E350" s="169"/>
      <c r="F350" s="509"/>
      <c r="G350" s="509"/>
      <c r="H350" s="665"/>
      <c r="I350" s="675">
        <f t="shared" si="9"/>
        <v>38100</v>
      </c>
      <c r="J350" s="170"/>
      <c r="K350" s="170"/>
      <c r="L350" s="170">
        <v>38100</v>
      </c>
      <c r="M350" s="170"/>
      <c r="N350" s="414"/>
    </row>
    <row r="351" spans="1:14" s="412" customFormat="1" ht="17.25">
      <c r="A351" s="1044">
        <v>345</v>
      </c>
      <c r="B351" s="174"/>
      <c r="C351" s="421"/>
      <c r="D351" s="415" t="s">
        <v>1170</v>
      </c>
      <c r="E351" s="416"/>
      <c r="F351" s="511"/>
      <c r="G351" s="511"/>
      <c r="H351" s="666"/>
      <c r="I351" s="676">
        <f t="shared" si="9"/>
        <v>0</v>
      </c>
      <c r="J351" s="417"/>
      <c r="K351" s="417"/>
      <c r="L351" s="417"/>
      <c r="M351" s="417"/>
      <c r="N351" s="418"/>
    </row>
    <row r="352" spans="1:14" s="59" customFormat="1" ht="17.25">
      <c r="A352" s="1044">
        <v>346</v>
      </c>
      <c r="B352" s="422"/>
      <c r="C352" s="423"/>
      <c r="D352" s="419" t="s">
        <v>1169</v>
      </c>
      <c r="E352" s="420"/>
      <c r="F352" s="510"/>
      <c r="G352" s="510"/>
      <c r="H352" s="667"/>
      <c r="I352" s="677">
        <f t="shared" si="9"/>
        <v>38100</v>
      </c>
      <c r="J352" s="510">
        <f>SUM(J350:J351)</f>
        <v>0</v>
      </c>
      <c r="K352" s="510">
        <f>SUM(K350:K351)</f>
        <v>0</v>
      </c>
      <c r="L352" s="510">
        <f>SUM(L350:L351)</f>
        <v>38100</v>
      </c>
      <c r="M352" s="510">
        <f>SUM(M350:M351)</f>
        <v>0</v>
      </c>
      <c r="N352" s="637">
        <f>SUM(N350:N351)</f>
        <v>0</v>
      </c>
    </row>
    <row r="353" spans="1:14" s="60" customFormat="1" ht="25.5" customHeight="1">
      <c r="A353" s="1044">
        <v>347</v>
      </c>
      <c r="B353" s="172"/>
      <c r="C353" s="167">
        <v>72</v>
      </c>
      <c r="D353" s="168" t="s">
        <v>534</v>
      </c>
      <c r="E353" s="169" t="s">
        <v>400</v>
      </c>
      <c r="F353" s="509">
        <v>32000</v>
      </c>
      <c r="G353" s="509">
        <v>34750</v>
      </c>
      <c r="H353" s="665">
        <v>34750</v>
      </c>
      <c r="I353" s="675"/>
      <c r="J353" s="169"/>
      <c r="K353" s="169"/>
      <c r="L353" s="169"/>
      <c r="M353" s="169"/>
      <c r="N353" s="638"/>
    </row>
    <row r="354" spans="1:14" s="60" customFormat="1" ht="16.5">
      <c r="A354" s="1044">
        <v>348</v>
      </c>
      <c r="B354" s="172"/>
      <c r="C354" s="167"/>
      <c r="D354" s="168" t="s">
        <v>1168</v>
      </c>
      <c r="E354" s="169"/>
      <c r="F354" s="509"/>
      <c r="G354" s="509"/>
      <c r="H354" s="665"/>
      <c r="I354" s="675">
        <f t="shared" si="9"/>
        <v>38848</v>
      </c>
      <c r="J354" s="170"/>
      <c r="K354" s="170"/>
      <c r="L354" s="170">
        <v>38848</v>
      </c>
      <c r="M354" s="170"/>
      <c r="N354" s="414"/>
    </row>
    <row r="355" spans="1:14" s="412" customFormat="1" ht="17.25">
      <c r="A355" s="1044">
        <v>349</v>
      </c>
      <c r="B355" s="174"/>
      <c r="C355" s="421"/>
      <c r="D355" s="415" t="s">
        <v>1170</v>
      </c>
      <c r="E355" s="416"/>
      <c r="F355" s="511"/>
      <c r="G355" s="511"/>
      <c r="H355" s="666"/>
      <c r="I355" s="676">
        <f t="shared" si="9"/>
        <v>0</v>
      </c>
      <c r="J355" s="417"/>
      <c r="K355" s="417"/>
      <c r="L355" s="417"/>
      <c r="M355" s="417"/>
      <c r="N355" s="418"/>
    </row>
    <row r="356" spans="1:14" s="59" customFormat="1" ht="17.25">
      <c r="A356" s="1044">
        <v>350</v>
      </c>
      <c r="B356" s="422"/>
      <c r="C356" s="423"/>
      <c r="D356" s="419" t="s">
        <v>1169</v>
      </c>
      <c r="E356" s="420"/>
      <c r="F356" s="510"/>
      <c r="G356" s="510"/>
      <c r="H356" s="667"/>
      <c r="I356" s="677">
        <f t="shared" si="9"/>
        <v>38848</v>
      </c>
      <c r="J356" s="510">
        <f>SUM(J354:J355)</f>
        <v>0</v>
      </c>
      <c r="K356" s="510">
        <f>SUM(K354:K355)</f>
        <v>0</v>
      </c>
      <c r="L356" s="510">
        <f>SUM(L354:L355)</f>
        <v>38848</v>
      </c>
      <c r="M356" s="510">
        <f>SUM(M354:M355)</f>
        <v>0</v>
      </c>
      <c r="N356" s="637">
        <f>SUM(N354:N355)</f>
        <v>0</v>
      </c>
    </row>
    <row r="357" spans="1:14" s="60" customFormat="1" ht="25.5" customHeight="1">
      <c r="A357" s="1044">
        <v>351</v>
      </c>
      <c r="B357" s="172"/>
      <c r="C357" s="167">
        <v>73</v>
      </c>
      <c r="D357" s="168" t="s">
        <v>882</v>
      </c>
      <c r="E357" s="169" t="s">
        <v>400</v>
      </c>
      <c r="F357" s="509"/>
      <c r="G357" s="509"/>
      <c r="H357" s="665"/>
      <c r="I357" s="675"/>
      <c r="J357" s="169"/>
      <c r="K357" s="169"/>
      <c r="L357" s="169"/>
      <c r="M357" s="169"/>
      <c r="N357" s="638"/>
    </row>
    <row r="358" spans="1:14" s="60" customFormat="1" ht="16.5">
      <c r="A358" s="1044">
        <v>352</v>
      </c>
      <c r="B358" s="172"/>
      <c r="C358" s="167"/>
      <c r="D358" s="168" t="s">
        <v>1168</v>
      </c>
      <c r="E358" s="169"/>
      <c r="F358" s="509"/>
      <c r="G358" s="509"/>
      <c r="H358" s="665"/>
      <c r="I358" s="675">
        <f t="shared" si="9"/>
        <v>1500</v>
      </c>
      <c r="J358" s="170"/>
      <c r="K358" s="170"/>
      <c r="L358" s="170">
        <v>1500</v>
      </c>
      <c r="M358" s="170"/>
      <c r="N358" s="414"/>
    </row>
    <row r="359" spans="1:14" s="412" customFormat="1" ht="17.25">
      <c r="A359" s="1044">
        <v>353</v>
      </c>
      <c r="B359" s="174"/>
      <c r="C359" s="421"/>
      <c r="D359" s="415" t="s">
        <v>1170</v>
      </c>
      <c r="E359" s="416"/>
      <c r="F359" s="511"/>
      <c r="G359" s="511"/>
      <c r="H359" s="666"/>
      <c r="I359" s="676">
        <f t="shared" si="9"/>
        <v>0</v>
      </c>
      <c r="J359" s="417"/>
      <c r="K359" s="417"/>
      <c r="L359" s="417"/>
      <c r="M359" s="417"/>
      <c r="N359" s="418"/>
    </row>
    <row r="360" spans="1:14" s="59" customFormat="1" ht="17.25">
      <c r="A360" s="1044">
        <v>354</v>
      </c>
      <c r="B360" s="422"/>
      <c r="C360" s="423"/>
      <c r="D360" s="419" t="s">
        <v>1169</v>
      </c>
      <c r="E360" s="420"/>
      <c r="F360" s="510"/>
      <c r="G360" s="510"/>
      <c r="H360" s="667"/>
      <c r="I360" s="677">
        <f t="shared" si="9"/>
        <v>1500</v>
      </c>
      <c r="J360" s="510">
        <f>SUM(J358:J359)</f>
        <v>0</v>
      </c>
      <c r="K360" s="510">
        <f>SUM(K358:K359)</f>
        <v>0</v>
      </c>
      <c r="L360" s="510">
        <f>SUM(L358:L359)</f>
        <v>1500</v>
      </c>
      <c r="M360" s="510">
        <f>SUM(M358:M359)</f>
        <v>0</v>
      </c>
      <c r="N360" s="637">
        <f>SUM(N358:N359)</f>
        <v>0</v>
      </c>
    </row>
    <row r="361" spans="1:14" s="60" customFormat="1" ht="25.5" customHeight="1">
      <c r="A361" s="1044">
        <v>355</v>
      </c>
      <c r="B361" s="172"/>
      <c r="C361" s="167">
        <v>74</v>
      </c>
      <c r="D361" s="168" t="s">
        <v>888</v>
      </c>
      <c r="E361" s="169" t="s">
        <v>400</v>
      </c>
      <c r="F361" s="509"/>
      <c r="G361" s="509"/>
      <c r="H361" s="665"/>
      <c r="I361" s="675"/>
      <c r="J361" s="169"/>
      <c r="K361" s="169"/>
      <c r="L361" s="169"/>
      <c r="M361" s="169"/>
      <c r="N361" s="638"/>
    </row>
    <row r="362" spans="1:14" s="60" customFormat="1" ht="16.5">
      <c r="A362" s="1044">
        <v>356</v>
      </c>
      <c r="B362" s="172"/>
      <c r="C362" s="167"/>
      <c r="D362" s="168" t="s">
        <v>1168</v>
      </c>
      <c r="E362" s="169"/>
      <c r="F362" s="509"/>
      <c r="G362" s="509"/>
      <c r="H362" s="665"/>
      <c r="I362" s="675">
        <f t="shared" si="9"/>
        <v>12300</v>
      </c>
      <c r="J362" s="170"/>
      <c r="K362" s="170"/>
      <c r="L362" s="170">
        <v>12300</v>
      </c>
      <c r="M362" s="170"/>
      <c r="N362" s="414"/>
    </row>
    <row r="363" spans="1:14" s="412" customFormat="1" ht="17.25">
      <c r="A363" s="1044">
        <v>357</v>
      </c>
      <c r="B363" s="174"/>
      <c r="C363" s="421"/>
      <c r="D363" s="415" t="s">
        <v>1170</v>
      </c>
      <c r="E363" s="416"/>
      <c r="F363" s="511"/>
      <c r="G363" s="511"/>
      <c r="H363" s="666"/>
      <c r="I363" s="676">
        <f t="shared" si="9"/>
        <v>0</v>
      </c>
      <c r="J363" s="417"/>
      <c r="K363" s="417"/>
      <c r="L363" s="417"/>
      <c r="M363" s="417"/>
      <c r="N363" s="418"/>
    </row>
    <row r="364" spans="1:14" s="59" customFormat="1" ht="17.25">
      <c r="A364" s="1044">
        <v>358</v>
      </c>
      <c r="B364" s="422"/>
      <c r="C364" s="423"/>
      <c r="D364" s="419" t="s">
        <v>1169</v>
      </c>
      <c r="E364" s="420"/>
      <c r="F364" s="510"/>
      <c r="G364" s="510"/>
      <c r="H364" s="667"/>
      <c r="I364" s="677">
        <f t="shared" si="9"/>
        <v>12300</v>
      </c>
      <c r="J364" s="510">
        <f>SUM(J362:J363)</f>
        <v>0</v>
      </c>
      <c r="K364" s="510">
        <f>SUM(K362:K363)</f>
        <v>0</v>
      </c>
      <c r="L364" s="510">
        <f>SUM(L362:L363)</f>
        <v>12300</v>
      </c>
      <c r="M364" s="510">
        <f>SUM(M362:M363)</f>
        <v>0</v>
      </c>
      <c r="N364" s="637">
        <f>SUM(N362:N363)</f>
        <v>0</v>
      </c>
    </row>
    <row r="365" spans="1:14" s="60" customFormat="1" ht="25.5" customHeight="1">
      <c r="A365" s="1044">
        <v>359</v>
      </c>
      <c r="B365" s="172"/>
      <c r="C365" s="167">
        <v>75</v>
      </c>
      <c r="D365" s="168" t="s">
        <v>863</v>
      </c>
      <c r="E365" s="169" t="s">
        <v>400</v>
      </c>
      <c r="F365" s="509"/>
      <c r="G365" s="509"/>
      <c r="H365" s="665"/>
      <c r="I365" s="675"/>
      <c r="J365" s="169"/>
      <c r="K365" s="169"/>
      <c r="L365" s="169"/>
      <c r="M365" s="169"/>
      <c r="N365" s="638"/>
    </row>
    <row r="366" spans="1:14" s="60" customFormat="1" ht="16.5">
      <c r="A366" s="1044">
        <v>360</v>
      </c>
      <c r="B366" s="172"/>
      <c r="C366" s="167"/>
      <c r="D366" s="168" t="s">
        <v>1168</v>
      </c>
      <c r="E366" s="169"/>
      <c r="F366" s="509"/>
      <c r="G366" s="509"/>
      <c r="H366" s="665"/>
      <c r="I366" s="675">
        <f t="shared" si="9"/>
        <v>400</v>
      </c>
      <c r="J366" s="170"/>
      <c r="K366" s="170"/>
      <c r="L366" s="170">
        <v>400</v>
      </c>
      <c r="M366" s="170"/>
      <c r="N366" s="414"/>
    </row>
    <row r="367" spans="1:14" s="412" customFormat="1" ht="17.25">
      <c r="A367" s="1044">
        <v>361</v>
      </c>
      <c r="B367" s="174"/>
      <c r="C367" s="421"/>
      <c r="D367" s="415" t="s">
        <v>1170</v>
      </c>
      <c r="E367" s="416"/>
      <c r="F367" s="511"/>
      <c r="G367" s="511"/>
      <c r="H367" s="666"/>
      <c r="I367" s="676">
        <f t="shared" si="9"/>
        <v>0</v>
      </c>
      <c r="J367" s="417"/>
      <c r="K367" s="417"/>
      <c r="L367" s="417"/>
      <c r="M367" s="417"/>
      <c r="N367" s="418"/>
    </row>
    <row r="368" spans="1:14" s="59" customFormat="1" ht="17.25">
      <c r="A368" s="1044">
        <v>362</v>
      </c>
      <c r="B368" s="422"/>
      <c r="C368" s="423"/>
      <c r="D368" s="419" t="s">
        <v>1169</v>
      </c>
      <c r="E368" s="420"/>
      <c r="F368" s="510"/>
      <c r="G368" s="510"/>
      <c r="H368" s="667"/>
      <c r="I368" s="677">
        <f t="shared" si="9"/>
        <v>400</v>
      </c>
      <c r="J368" s="510">
        <f>SUM(J366:J367)</f>
        <v>0</v>
      </c>
      <c r="K368" s="510">
        <f>SUM(K366:K367)</f>
        <v>0</v>
      </c>
      <c r="L368" s="510">
        <f>SUM(L366:L367)</f>
        <v>400</v>
      </c>
      <c r="M368" s="510">
        <f>SUM(M366:M367)</f>
        <v>0</v>
      </c>
      <c r="N368" s="637">
        <f>SUM(N366:N367)</f>
        <v>0</v>
      </c>
    </row>
    <row r="369" spans="1:14" s="60" customFormat="1" ht="39.75" customHeight="1">
      <c r="A369" s="1044">
        <v>363</v>
      </c>
      <c r="B369" s="173"/>
      <c r="C369" s="631">
        <v>76</v>
      </c>
      <c r="D369" s="612" t="s">
        <v>577</v>
      </c>
      <c r="E369" s="169" t="s">
        <v>400</v>
      </c>
      <c r="F369" s="509"/>
      <c r="G369" s="509"/>
      <c r="H369" s="665"/>
      <c r="I369" s="675"/>
      <c r="J369" s="169"/>
      <c r="K369" s="169"/>
      <c r="L369" s="169"/>
      <c r="M369" s="169"/>
      <c r="N369" s="638"/>
    </row>
    <row r="370" spans="1:14" s="60" customFormat="1" ht="16.5">
      <c r="A370" s="1044">
        <v>364</v>
      </c>
      <c r="B370" s="172"/>
      <c r="C370" s="167"/>
      <c r="D370" s="168" t="s">
        <v>1168</v>
      </c>
      <c r="E370" s="169"/>
      <c r="F370" s="509"/>
      <c r="G370" s="509"/>
      <c r="H370" s="665"/>
      <c r="I370" s="675">
        <f t="shared" si="9"/>
        <v>1000</v>
      </c>
      <c r="J370" s="170"/>
      <c r="K370" s="170"/>
      <c r="L370" s="170">
        <v>1000</v>
      </c>
      <c r="M370" s="170"/>
      <c r="N370" s="414"/>
    </row>
    <row r="371" spans="1:14" s="412" customFormat="1" ht="17.25">
      <c r="A371" s="1044">
        <v>365</v>
      </c>
      <c r="B371" s="174"/>
      <c r="C371" s="421"/>
      <c r="D371" s="415" t="s">
        <v>1170</v>
      </c>
      <c r="E371" s="416"/>
      <c r="F371" s="511"/>
      <c r="G371" s="511"/>
      <c r="H371" s="666"/>
      <c r="I371" s="676">
        <f t="shared" si="9"/>
        <v>0</v>
      </c>
      <c r="J371" s="417"/>
      <c r="K371" s="417"/>
      <c r="L371" s="417"/>
      <c r="M371" s="417"/>
      <c r="N371" s="418"/>
    </row>
    <row r="372" spans="1:14" s="59" customFormat="1" ht="17.25">
      <c r="A372" s="1044">
        <v>366</v>
      </c>
      <c r="B372" s="422"/>
      <c r="C372" s="423"/>
      <c r="D372" s="419" t="s">
        <v>1169</v>
      </c>
      <c r="E372" s="420"/>
      <c r="F372" s="510"/>
      <c r="G372" s="510"/>
      <c r="H372" s="667"/>
      <c r="I372" s="677">
        <f t="shared" si="9"/>
        <v>1000</v>
      </c>
      <c r="J372" s="510">
        <f>SUM(J370:J371)</f>
        <v>0</v>
      </c>
      <c r="K372" s="510">
        <f>SUM(K370:K371)</f>
        <v>0</v>
      </c>
      <c r="L372" s="510">
        <f>SUM(L370:L371)</f>
        <v>1000</v>
      </c>
      <c r="M372" s="510">
        <f>SUM(M370:M371)</f>
        <v>0</v>
      </c>
      <c r="N372" s="637">
        <f>SUM(N370:N371)</f>
        <v>0</v>
      </c>
    </row>
    <row r="373" spans="1:14" s="60" customFormat="1" ht="24" customHeight="1">
      <c r="A373" s="1044">
        <v>367</v>
      </c>
      <c r="B373" s="172"/>
      <c r="C373" s="167">
        <v>77</v>
      </c>
      <c r="D373" s="168" t="s">
        <v>383</v>
      </c>
      <c r="E373" s="169" t="s">
        <v>400</v>
      </c>
      <c r="F373" s="509"/>
      <c r="G373" s="509"/>
      <c r="H373" s="665"/>
      <c r="I373" s="675"/>
      <c r="J373" s="169"/>
      <c r="K373" s="169"/>
      <c r="L373" s="169"/>
      <c r="M373" s="169"/>
      <c r="N373" s="638"/>
    </row>
    <row r="374" spans="1:14" s="60" customFormat="1" ht="16.5">
      <c r="A374" s="1044">
        <v>368</v>
      </c>
      <c r="B374" s="172"/>
      <c r="C374" s="167"/>
      <c r="D374" s="168" t="s">
        <v>1168</v>
      </c>
      <c r="E374" s="169"/>
      <c r="F374" s="509"/>
      <c r="G374" s="509"/>
      <c r="H374" s="665"/>
      <c r="I374" s="675">
        <f t="shared" si="9"/>
        <v>1000</v>
      </c>
      <c r="J374" s="170"/>
      <c r="K374" s="170"/>
      <c r="L374" s="170">
        <v>1000</v>
      </c>
      <c r="M374" s="170"/>
      <c r="N374" s="414"/>
    </row>
    <row r="375" spans="1:14" s="412" customFormat="1" ht="17.25">
      <c r="A375" s="1044">
        <v>369</v>
      </c>
      <c r="B375" s="174"/>
      <c r="C375" s="421"/>
      <c r="D375" s="415" t="s">
        <v>1170</v>
      </c>
      <c r="E375" s="416"/>
      <c r="F375" s="511"/>
      <c r="G375" s="511"/>
      <c r="H375" s="666"/>
      <c r="I375" s="676">
        <f t="shared" si="9"/>
        <v>0</v>
      </c>
      <c r="J375" s="417"/>
      <c r="K375" s="417"/>
      <c r="L375" s="417"/>
      <c r="M375" s="417"/>
      <c r="N375" s="418"/>
    </row>
    <row r="376" spans="1:14" s="59" customFormat="1" ht="17.25">
      <c r="A376" s="1044">
        <v>370</v>
      </c>
      <c r="B376" s="422"/>
      <c r="C376" s="423"/>
      <c r="D376" s="419" t="s">
        <v>1169</v>
      </c>
      <c r="E376" s="420"/>
      <c r="F376" s="510"/>
      <c r="G376" s="510"/>
      <c r="H376" s="667"/>
      <c r="I376" s="677">
        <f t="shared" si="9"/>
        <v>1000</v>
      </c>
      <c r="J376" s="510">
        <f>SUM(J374:J375)</f>
        <v>0</v>
      </c>
      <c r="K376" s="510">
        <f>SUM(K374:K375)</f>
        <v>0</v>
      </c>
      <c r="L376" s="510">
        <f>SUM(L374:L375)</f>
        <v>1000</v>
      </c>
      <c r="M376" s="510">
        <f>SUM(M374:M375)</f>
        <v>0</v>
      </c>
      <c r="N376" s="637">
        <f>SUM(N374:N375)</f>
        <v>0</v>
      </c>
    </row>
    <row r="377" spans="1:14" s="60" customFormat="1" ht="25.5" customHeight="1">
      <c r="A377" s="1044">
        <v>371</v>
      </c>
      <c r="B377" s="172"/>
      <c r="C377" s="167">
        <v>78</v>
      </c>
      <c r="D377" s="168" t="s">
        <v>837</v>
      </c>
      <c r="E377" s="169" t="s">
        <v>466</v>
      </c>
      <c r="F377" s="509">
        <v>43</v>
      </c>
      <c r="G377" s="509">
        <v>1700</v>
      </c>
      <c r="H377" s="665">
        <v>46</v>
      </c>
      <c r="I377" s="675"/>
      <c r="J377" s="169"/>
      <c r="K377" s="169"/>
      <c r="L377" s="169"/>
      <c r="M377" s="169"/>
      <c r="N377" s="638"/>
    </row>
    <row r="378" spans="1:14" s="60" customFormat="1" ht="16.5">
      <c r="A378" s="1044">
        <v>372</v>
      </c>
      <c r="B378" s="172"/>
      <c r="C378" s="167"/>
      <c r="D378" s="168" t="s">
        <v>1168</v>
      </c>
      <c r="E378" s="169"/>
      <c r="F378" s="509"/>
      <c r="G378" s="509"/>
      <c r="H378" s="665"/>
      <c r="I378" s="675">
        <f t="shared" si="9"/>
        <v>1700</v>
      </c>
      <c r="J378" s="170"/>
      <c r="K378" s="170"/>
      <c r="L378" s="170">
        <v>1700</v>
      </c>
      <c r="M378" s="170"/>
      <c r="N378" s="414"/>
    </row>
    <row r="379" spans="1:14" s="412" customFormat="1" ht="17.25">
      <c r="A379" s="1044">
        <v>373</v>
      </c>
      <c r="B379" s="174"/>
      <c r="C379" s="421"/>
      <c r="D379" s="415" t="s">
        <v>1170</v>
      </c>
      <c r="E379" s="416"/>
      <c r="F379" s="511"/>
      <c r="G379" s="511"/>
      <c r="H379" s="666"/>
      <c r="I379" s="676">
        <f t="shared" si="9"/>
        <v>0</v>
      </c>
      <c r="J379" s="417"/>
      <c r="K379" s="417"/>
      <c r="L379" s="417"/>
      <c r="M379" s="417"/>
      <c r="N379" s="418"/>
    </row>
    <row r="380" spans="1:14" s="59" customFormat="1" ht="17.25">
      <c r="A380" s="1044">
        <v>374</v>
      </c>
      <c r="B380" s="422"/>
      <c r="C380" s="423"/>
      <c r="D380" s="419" t="s">
        <v>1169</v>
      </c>
      <c r="E380" s="420"/>
      <c r="F380" s="510"/>
      <c r="G380" s="510"/>
      <c r="H380" s="667"/>
      <c r="I380" s="677">
        <f t="shared" si="9"/>
        <v>1700</v>
      </c>
      <c r="J380" s="510">
        <f>SUM(J378:J379)</f>
        <v>0</v>
      </c>
      <c r="K380" s="510">
        <f>SUM(K378:K379)</f>
        <v>0</v>
      </c>
      <c r="L380" s="510">
        <f>SUM(L378:L379)</f>
        <v>1700</v>
      </c>
      <c r="M380" s="510">
        <f>SUM(M378:M379)</f>
        <v>0</v>
      </c>
      <c r="N380" s="637">
        <f>SUM(N378:N379)</f>
        <v>0</v>
      </c>
    </row>
    <row r="381" spans="1:14" s="60" customFormat="1" ht="24" customHeight="1">
      <c r="A381" s="1044">
        <v>375</v>
      </c>
      <c r="B381" s="172"/>
      <c r="C381" s="167">
        <v>79</v>
      </c>
      <c r="D381" s="168" t="s">
        <v>828</v>
      </c>
      <c r="E381" s="169" t="s">
        <v>466</v>
      </c>
      <c r="F381" s="509">
        <v>6988</v>
      </c>
      <c r="G381" s="509">
        <v>5800</v>
      </c>
      <c r="H381" s="665">
        <v>843</v>
      </c>
      <c r="I381" s="675"/>
      <c r="J381" s="169"/>
      <c r="K381" s="169"/>
      <c r="L381" s="169"/>
      <c r="M381" s="169"/>
      <c r="N381" s="638"/>
    </row>
    <row r="382" spans="1:14" s="60" customFormat="1" ht="16.5">
      <c r="A382" s="1044">
        <v>376</v>
      </c>
      <c r="B382" s="172"/>
      <c r="C382" s="167"/>
      <c r="D382" s="168" t="s">
        <v>1168</v>
      </c>
      <c r="E382" s="169"/>
      <c r="F382" s="509"/>
      <c r="G382" s="509"/>
      <c r="H382" s="665"/>
      <c r="I382" s="675">
        <f t="shared" si="9"/>
        <v>4800</v>
      </c>
      <c r="J382" s="170">
        <v>300</v>
      </c>
      <c r="K382" s="170">
        <v>100</v>
      </c>
      <c r="L382" s="170">
        <v>4400</v>
      </c>
      <c r="M382" s="170"/>
      <c r="N382" s="414"/>
    </row>
    <row r="383" spans="1:14" s="412" customFormat="1" ht="17.25">
      <c r="A383" s="1044">
        <v>377</v>
      </c>
      <c r="B383" s="174"/>
      <c r="C383" s="421"/>
      <c r="D383" s="415" t="s">
        <v>1170</v>
      </c>
      <c r="E383" s="416"/>
      <c r="F383" s="511"/>
      <c r="G383" s="511"/>
      <c r="H383" s="666"/>
      <c r="I383" s="676">
        <f t="shared" si="9"/>
        <v>0</v>
      </c>
      <c r="J383" s="417"/>
      <c r="K383" s="417"/>
      <c r="L383" s="417"/>
      <c r="M383" s="417"/>
      <c r="N383" s="418"/>
    </row>
    <row r="384" spans="1:14" s="59" customFormat="1" ht="17.25">
      <c r="A384" s="1044">
        <v>378</v>
      </c>
      <c r="B384" s="422"/>
      <c r="C384" s="423"/>
      <c r="D384" s="419" t="s">
        <v>1169</v>
      </c>
      <c r="E384" s="420"/>
      <c r="F384" s="510"/>
      <c r="G384" s="510"/>
      <c r="H384" s="667"/>
      <c r="I384" s="677">
        <f t="shared" si="9"/>
        <v>4800</v>
      </c>
      <c r="J384" s="510">
        <f>SUM(J382:J383)</f>
        <v>300</v>
      </c>
      <c r="K384" s="510">
        <f>SUM(K382:K383)</f>
        <v>100</v>
      </c>
      <c r="L384" s="510">
        <f>SUM(L382:L383)</f>
        <v>4400</v>
      </c>
      <c r="M384" s="510">
        <f>SUM(M382:M383)</f>
        <v>0</v>
      </c>
      <c r="N384" s="637">
        <f>SUM(N382:N383)</f>
        <v>0</v>
      </c>
    </row>
    <row r="385" spans="1:14" s="60" customFormat="1" ht="27.75" customHeight="1">
      <c r="A385" s="1044">
        <v>379</v>
      </c>
      <c r="B385" s="172"/>
      <c r="C385" s="167">
        <v>80</v>
      </c>
      <c r="D385" s="168" t="s">
        <v>525</v>
      </c>
      <c r="E385" s="169" t="s">
        <v>466</v>
      </c>
      <c r="F385" s="509">
        <v>104605</v>
      </c>
      <c r="G385" s="509">
        <v>115000</v>
      </c>
      <c r="H385" s="665">
        <v>88514</v>
      </c>
      <c r="I385" s="675"/>
      <c r="J385" s="169"/>
      <c r="K385" s="169"/>
      <c r="L385" s="169"/>
      <c r="M385" s="169"/>
      <c r="N385" s="638"/>
    </row>
    <row r="386" spans="1:14" s="60" customFormat="1" ht="16.5">
      <c r="A386" s="1044">
        <v>380</v>
      </c>
      <c r="B386" s="172"/>
      <c r="C386" s="167"/>
      <c r="D386" s="168" t="s">
        <v>1168</v>
      </c>
      <c r="E386" s="169"/>
      <c r="F386" s="509"/>
      <c r="G386" s="509"/>
      <c r="H386" s="665"/>
      <c r="I386" s="675">
        <f t="shared" si="9"/>
        <v>148000</v>
      </c>
      <c r="J386" s="170"/>
      <c r="K386" s="170"/>
      <c r="L386" s="170">
        <v>148000</v>
      </c>
      <c r="M386" s="170"/>
      <c r="N386" s="414"/>
    </row>
    <row r="387" spans="1:14" s="412" customFormat="1" ht="17.25">
      <c r="A387" s="1044">
        <v>381</v>
      </c>
      <c r="B387" s="174"/>
      <c r="C387" s="421"/>
      <c r="D387" s="415" t="s">
        <v>618</v>
      </c>
      <c r="E387" s="416"/>
      <c r="F387" s="511"/>
      <c r="G387" s="511"/>
      <c r="H387" s="666"/>
      <c r="I387" s="676">
        <f t="shared" si="9"/>
        <v>36969</v>
      </c>
      <c r="J387" s="417"/>
      <c r="K387" s="417"/>
      <c r="L387" s="417">
        <v>36969</v>
      </c>
      <c r="M387" s="417"/>
      <c r="N387" s="418"/>
    </row>
    <row r="388" spans="1:14" s="59" customFormat="1" ht="17.25">
      <c r="A388" s="1044">
        <v>382</v>
      </c>
      <c r="B388" s="422"/>
      <c r="C388" s="423"/>
      <c r="D388" s="419" t="s">
        <v>1169</v>
      </c>
      <c r="E388" s="420"/>
      <c r="F388" s="510"/>
      <c r="G388" s="510"/>
      <c r="H388" s="667"/>
      <c r="I388" s="677">
        <f t="shared" si="9"/>
        <v>184969</v>
      </c>
      <c r="J388" s="510">
        <f>SUM(J386:J387)</f>
        <v>0</v>
      </c>
      <c r="K388" s="510">
        <f>SUM(K386:K387)</f>
        <v>0</v>
      </c>
      <c r="L388" s="510">
        <f>SUM(L386:L387)</f>
        <v>184969</v>
      </c>
      <c r="M388" s="510">
        <f>SUM(M386:M387)</f>
        <v>0</v>
      </c>
      <c r="N388" s="637">
        <f>SUM(N386:N387)</f>
        <v>0</v>
      </c>
    </row>
    <row r="389" spans="1:14" s="60" customFormat="1" ht="27.75" customHeight="1">
      <c r="A389" s="1044">
        <v>383</v>
      </c>
      <c r="B389" s="172"/>
      <c r="C389" s="167">
        <v>81</v>
      </c>
      <c r="D389" s="168" t="s">
        <v>1181</v>
      </c>
      <c r="E389" s="169" t="s">
        <v>466</v>
      </c>
      <c r="F389" s="509">
        <v>227503</v>
      </c>
      <c r="G389" s="509">
        <v>250000</v>
      </c>
      <c r="H389" s="665">
        <f>253303-1483</f>
        <v>251820</v>
      </c>
      <c r="I389" s="675"/>
      <c r="J389" s="169"/>
      <c r="K389" s="169"/>
      <c r="L389" s="169"/>
      <c r="M389" s="169"/>
      <c r="N389" s="638"/>
    </row>
    <row r="390" spans="1:14" s="60" customFormat="1" ht="16.5">
      <c r="A390" s="1044">
        <v>384</v>
      </c>
      <c r="B390" s="172"/>
      <c r="C390" s="167"/>
      <c r="D390" s="168" t="s">
        <v>1168</v>
      </c>
      <c r="E390" s="169"/>
      <c r="F390" s="509"/>
      <c r="G390" s="509"/>
      <c r="H390" s="665"/>
      <c r="I390" s="675">
        <f t="shared" si="9"/>
        <v>278000</v>
      </c>
      <c r="J390" s="170"/>
      <c r="K390" s="170"/>
      <c r="L390" s="170">
        <v>278000</v>
      </c>
      <c r="M390" s="170"/>
      <c r="N390" s="414"/>
    </row>
    <row r="391" spans="1:14" s="412" customFormat="1" ht="17.25">
      <c r="A391" s="1044">
        <v>385</v>
      </c>
      <c r="B391" s="174"/>
      <c r="C391" s="421"/>
      <c r="D391" s="415" t="s">
        <v>166</v>
      </c>
      <c r="E391" s="416"/>
      <c r="F391" s="511"/>
      <c r="G391" s="511"/>
      <c r="H391" s="666"/>
      <c r="I391" s="676">
        <f t="shared" si="9"/>
        <v>750</v>
      </c>
      <c r="J391" s="417"/>
      <c r="K391" s="417"/>
      <c r="L391" s="417">
        <v>750</v>
      </c>
      <c r="M391" s="417"/>
      <c r="N391" s="418"/>
    </row>
    <row r="392" spans="1:14" s="412" customFormat="1" ht="17.25">
      <c r="A392" s="1044">
        <v>386</v>
      </c>
      <c r="B392" s="174"/>
      <c r="C392" s="421"/>
      <c r="D392" s="415" t="s">
        <v>170</v>
      </c>
      <c r="E392" s="416"/>
      <c r="F392" s="511"/>
      <c r="G392" s="511"/>
      <c r="H392" s="666"/>
      <c r="I392" s="676">
        <f t="shared" si="9"/>
        <v>1999</v>
      </c>
      <c r="J392" s="417"/>
      <c r="K392" s="417"/>
      <c r="L392" s="417">
        <v>1999</v>
      </c>
      <c r="M392" s="417"/>
      <c r="N392" s="418"/>
    </row>
    <row r="393" spans="1:14" s="412" customFormat="1" ht="17.25">
      <c r="A393" s="1044">
        <v>387</v>
      </c>
      <c r="B393" s="174"/>
      <c r="C393" s="421"/>
      <c r="D393" s="415" t="s">
        <v>560</v>
      </c>
      <c r="E393" s="416"/>
      <c r="F393" s="511"/>
      <c r="G393" s="511"/>
      <c r="H393" s="666"/>
      <c r="I393" s="676">
        <f t="shared" si="9"/>
        <v>90</v>
      </c>
      <c r="J393" s="417"/>
      <c r="K393" s="417"/>
      <c r="L393" s="417">
        <v>90</v>
      </c>
      <c r="M393" s="417"/>
      <c r="N393" s="418"/>
    </row>
    <row r="394" spans="1:14" s="412" customFormat="1" ht="17.25">
      <c r="A394" s="1044">
        <v>388</v>
      </c>
      <c r="B394" s="174"/>
      <c r="C394" s="421"/>
      <c r="D394" s="415" t="s">
        <v>619</v>
      </c>
      <c r="E394" s="416"/>
      <c r="F394" s="511"/>
      <c r="G394" s="511"/>
      <c r="H394" s="666"/>
      <c r="I394" s="676">
        <f t="shared" si="9"/>
        <v>11282</v>
      </c>
      <c r="J394" s="417"/>
      <c r="K394" s="417"/>
      <c r="L394" s="417">
        <v>11282</v>
      </c>
      <c r="M394" s="417"/>
      <c r="N394" s="418"/>
    </row>
    <row r="395" spans="1:14" s="59" customFormat="1" ht="17.25">
      <c r="A395" s="1044">
        <v>389</v>
      </c>
      <c r="B395" s="422"/>
      <c r="C395" s="423"/>
      <c r="D395" s="419" t="s">
        <v>1169</v>
      </c>
      <c r="E395" s="420"/>
      <c r="F395" s="510"/>
      <c r="G395" s="510"/>
      <c r="H395" s="667"/>
      <c r="I395" s="677">
        <f>SUM(I390:I394)</f>
        <v>292121</v>
      </c>
      <c r="J395" s="510">
        <f>SUM(J390:J393)</f>
        <v>0</v>
      </c>
      <c r="K395" s="510">
        <f>SUM(K390:K393)</f>
        <v>0</v>
      </c>
      <c r="L395" s="510">
        <f>SUM(L390:L394)</f>
        <v>292121</v>
      </c>
      <c r="M395" s="510">
        <f>SUM(M390:M393)</f>
        <v>0</v>
      </c>
      <c r="N395" s="637">
        <f>SUM(N390:N393)</f>
        <v>0</v>
      </c>
    </row>
    <row r="396" spans="1:14" s="60" customFormat="1" ht="27.75" customHeight="1">
      <c r="A396" s="1044">
        <v>390</v>
      </c>
      <c r="B396" s="172"/>
      <c r="C396" s="167">
        <v>82</v>
      </c>
      <c r="D396" s="168" t="s">
        <v>829</v>
      </c>
      <c r="E396" s="169" t="s">
        <v>466</v>
      </c>
      <c r="F396" s="509">
        <v>36680</v>
      </c>
      <c r="G396" s="509">
        <v>40000</v>
      </c>
      <c r="H396" s="665">
        <v>39200</v>
      </c>
      <c r="I396" s="675"/>
      <c r="J396" s="169"/>
      <c r="K396" s="169"/>
      <c r="L396" s="169"/>
      <c r="M396" s="169"/>
      <c r="N396" s="638"/>
    </row>
    <row r="397" spans="1:14" s="60" customFormat="1" ht="16.5">
      <c r="A397" s="1044">
        <v>391</v>
      </c>
      <c r="B397" s="172"/>
      <c r="C397" s="167"/>
      <c r="D397" s="168" t="s">
        <v>1168</v>
      </c>
      <c r="E397" s="169"/>
      <c r="F397" s="509"/>
      <c r="G397" s="509"/>
      <c r="H397" s="665"/>
      <c r="I397" s="675">
        <f t="shared" si="9"/>
        <v>50000</v>
      </c>
      <c r="J397" s="170"/>
      <c r="K397" s="170"/>
      <c r="L397" s="170">
        <v>50000</v>
      </c>
      <c r="M397" s="170"/>
      <c r="N397" s="414"/>
    </row>
    <row r="398" spans="1:14" s="412" customFormat="1" ht="17.25">
      <c r="A398" s="1044">
        <v>392</v>
      </c>
      <c r="B398" s="174"/>
      <c r="C398" s="421"/>
      <c r="D398" s="415" t="s">
        <v>618</v>
      </c>
      <c r="E398" s="416"/>
      <c r="F398" s="511"/>
      <c r="G398" s="511"/>
      <c r="H398" s="666"/>
      <c r="I398" s="676">
        <f t="shared" si="9"/>
        <v>1900</v>
      </c>
      <c r="J398" s="417"/>
      <c r="K398" s="417"/>
      <c r="L398" s="417">
        <v>1900</v>
      </c>
      <c r="M398" s="417"/>
      <c r="N398" s="418"/>
    </row>
    <row r="399" spans="1:14" s="59" customFormat="1" ht="17.25">
      <c r="A399" s="1044">
        <v>393</v>
      </c>
      <c r="B399" s="422"/>
      <c r="C399" s="423"/>
      <c r="D399" s="419" t="s">
        <v>1169</v>
      </c>
      <c r="E399" s="420"/>
      <c r="F399" s="510"/>
      <c r="G399" s="510"/>
      <c r="H399" s="667"/>
      <c r="I399" s="677">
        <f t="shared" si="9"/>
        <v>51900</v>
      </c>
      <c r="J399" s="510">
        <f>SUM(J397:J398)</f>
        <v>0</v>
      </c>
      <c r="K399" s="510">
        <f>SUM(K397:K398)</f>
        <v>0</v>
      </c>
      <c r="L399" s="510">
        <f>SUM(L397:L398)</f>
        <v>51900</v>
      </c>
      <c r="M399" s="510">
        <f>SUM(M397:M398)</f>
        <v>0</v>
      </c>
      <c r="N399" s="637">
        <f>SUM(N397:N398)</f>
        <v>0</v>
      </c>
    </row>
    <row r="400" spans="1:14" s="60" customFormat="1" ht="27.75" customHeight="1">
      <c r="A400" s="1044">
        <v>394</v>
      </c>
      <c r="B400" s="172"/>
      <c r="C400" s="167">
        <v>83</v>
      </c>
      <c r="D400" s="168" t="s">
        <v>830</v>
      </c>
      <c r="E400" s="169" t="s">
        <v>466</v>
      </c>
      <c r="F400" s="509">
        <v>242142</v>
      </c>
      <c r="G400" s="509">
        <v>260000</v>
      </c>
      <c r="H400" s="665">
        <v>261079</v>
      </c>
      <c r="I400" s="675"/>
      <c r="J400" s="169"/>
      <c r="K400" s="169"/>
      <c r="L400" s="169"/>
      <c r="M400" s="169"/>
      <c r="N400" s="638"/>
    </row>
    <row r="401" spans="1:14" s="60" customFormat="1" ht="16.5">
      <c r="A401" s="1044">
        <v>395</v>
      </c>
      <c r="B401" s="172"/>
      <c r="C401" s="167"/>
      <c r="D401" s="168" t="s">
        <v>1168</v>
      </c>
      <c r="E401" s="169"/>
      <c r="F401" s="509"/>
      <c r="G401" s="509"/>
      <c r="H401" s="665"/>
      <c r="I401" s="675">
        <f t="shared" si="9"/>
        <v>300000</v>
      </c>
      <c r="J401" s="170"/>
      <c r="K401" s="170"/>
      <c r="L401" s="170">
        <v>300000</v>
      </c>
      <c r="M401" s="170"/>
      <c r="N401" s="414"/>
    </row>
    <row r="402" spans="1:14" s="412" customFormat="1" ht="17.25">
      <c r="A402" s="1044">
        <v>396</v>
      </c>
      <c r="B402" s="174"/>
      <c r="C402" s="421"/>
      <c r="D402" s="415" t="s">
        <v>563</v>
      </c>
      <c r="E402" s="416"/>
      <c r="F402" s="511"/>
      <c r="G402" s="511"/>
      <c r="H402" s="666"/>
      <c r="I402" s="676">
        <f aca="true" t="shared" si="10" ref="I402:I471">SUM(J402:N402)</f>
        <v>694</v>
      </c>
      <c r="J402" s="417"/>
      <c r="K402" s="417"/>
      <c r="L402" s="417">
        <v>694</v>
      </c>
      <c r="M402" s="417"/>
      <c r="N402" s="418"/>
    </row>
    <row r="403" spans="1:14" s="412" customFormat="1" ht="17.25">
      <c r="A403" s="1044">
        <v>397</v>
      </c>
      <c r="B403" s="174"/>
      <c r="C403" s="421"/>
      <c r="D403" s="415" t="s">
        <v>619</v>
      </c>
      <c r="E403" s="416"/>
      <c r="F403" s="511"/>
      <c r="G403" s="511"/>
      <c r="H403" s="666"/>
      <c r="I403" s="676">
        <f t="shared" si="10"/>
        <v>25000</v>
      </c>
      <c r="J403" s="417"/>
      <c r="K403" s="417"/>
      <c r="L403" s="417">
        <v>25000</v>
      </c>
      <c r="M403" s="417"/>
      <c r="N403" s="418"/>
    </row>
    <row r="404" spans="1:14" s="59" customFormat="1" ht="17.25">
      <c r="A404" s="1044">
        <v>398</v>
      </c>
      <c r="B404" s="422"/>
      <c r="C404" s="423"/>
      <c r="D404" s="419" t="s">
        <v>1169</v>
      </c>
      <c r="E404" s="420"/>
      <c r="F404" s="510"/>
      <c r="G404" s="510"/>
      <c r="H404" s="667"/>
      <c r="I404" s="677">
        <f aca="true" t="shared" si="11" ref="I404:N404">SUM(I401:I403)</f>
        <v>325694</v>
      </c>
      <c r="J404" s="510">
        <f t="shared" si="11"/>
        <v>0</v>
      </c>
      <c r="K404" s="510">
        <f t="shared" si="11"/>
        <v>0</v>
      </c>
      <c r="L404" s="510">
        <f t="shared" si="11"/>
        <v>325694</v>
      </c>
      <c r="M404" s="510">
        <f t="shared" si="11"/>
        <v>0</v>
      </c>
      <c r="N404" s="637">
        <f t="shared" si="11"/>
        <v>0</v>
      </c>
    </row>
    <row r="405" spans="1:14" s="60" customFormat="1" ht="27.75" customHeight="1">
      <c r="A405" s="1044">
        <v>399</v>
      </c>
      <c r="B405" s="172"/>
      <c r="C405" s="167">
        <v>84</v>
      </c>
      <c r="D405" s="168" t="s">
        <v>513</v>
      </c>
      <c r="E405" s="169" t="s">
        <v>466</v>
      </c>
      <c r="F405" s="509"/>
      <c r="G405" s="509"/>
      <c r="H405" s="665"/>
      <c r="I405" s="675"/>
      <c r="J405" s="169"/>
      <c r="K405" s="169"/>
      <c r="L405" s="169"/>
      <c r="M405" s="169"/>
      <c r="N405" s="638"/>
    </row>
    <row r="406" spans="1:14" s="60" customFormat="1" ht="16.5">
      <c r="A406" s="1044">
        <v>400</v>
      </c>
      <c r="B406" s="172"/>
      <c r="C406" s="167"/>
      <c r="D406" s="168" t="s">
        <v>1168</v>
      </c>
      <c r="E406" s="169"/>
      <c r="F406" s="509"/>
      <c r="G406" s="509"/>
      <c r="H406" s="665"/>
      <c r="I406" s="675">
        <f t="shared" si="10"/>
        <v>30000</v>
      </c>
      <c r="J406" s="170"/>
      <c r="K406" s="170"/>
      <c r="L406" s="170">
        <v>30000</v>
      </c>
      <c r="M406" s="170"/>
      <c r="N406" s="414"/>
    </row>
    <row r="407" spans="1:14" s="412" customFormat="1" ht="17.25">
      <c r="A407" s="1044">
        <v>401</v>
      </c>
      <c r="B407" s="174"/>
      <c r="C407" s="421"/>
      <c r="D407" s="415" t="s">
        <v>605</v>
      </c>
      <c r="E407" s="416"/>
      <c r="F407" s="511"/>
      <c r="G407" s="511"/>
      <c r="H407" s="666"/>
      <c r="I407" s="676">
        <f t="shared" si="10"/>
        <v>-30000</v>
      </c>
      <c r="J407" s="417"/>
      <c r="K407" s="417"/>
      <c r="L407" s="417">
        <v>-30000</v>
      </c>
      <c r="M407" s="417"/>
      <c r="N407" s="418"/>
    </row>
    <row r="408" spans="1:14" s="59" customFormat="1" ht="17.25">
      <c r="A408" s="1044">
        <v>402</v>
      </c>
      <c r="B408" s="422"/>
      <c r="C408" s="423"/>
      <c r="D408" s="419" t="s">
        <v>1169</v>
      </c>
      <c r="E408" s="420"/>
      <c r="F408" s="510"/>
      <c r="G408" s="510"/>
      <c r="H408" s="667"/>
      <c r="I408" s="677">
        <f t="shared" si="10"/>
        <v>0</v>
      </c>
      <c r="J408" s="510">
        <f>SUM(J406:J407)</f>
        <v>0</v>
      </c>
      <c r="K408" s="510">
        <f>SUM(K406:K407)</f>
        <v>0</v>
      </c>
      <c r="L408" s="510">
        <f>SUM(L406:L407)</f>
        <v>0</v>
      </c>
      <c r="M408" s="510">
        <f>SUM(M406:M407)</f>
        <v>0</v>
      </c>
      <c r="N408" s="637">
        <f>SUM(N406:N407)</f>
        <v>0</v>
      </c>
    </row>
    <row r="409" spans="1:14" s="60" customFormat="1" ht="27.75" customHeight="1">
      <c r="A409" s="1044">
        <v>403</v>
      </c>
      <c r="B409" s="172"/>
      <c r="C409" s="167">
        <v>85</v>
      </c>
      <c r="D409" s="168" t="s">
        <v>757</v>
      </c>
      <c r="E409" s="169" t="s">
        <v>400</v>
      </c>
      <c r="F409" s="509"/>
      <c r="G409" s="509"/>
      <c r="H409" s="665"/>
      <c r="I409" s="675"/>
      <c r="J409" s="169"/>
      <c r="K409" s="169"/>
      <c r="L409" s="169"/>
      <c r="M409" s="169"/>
      <c r="N409" s="638"/>
    </row>
    <row r="410" spans="1:14" s="412" customFormat="1" ht="17.25">
      <c r="A410" s="1044">
        <v>404</v>
      </c>
      <c r="B410" s="174"/>
      <c r="C410" s="421"/>
      <c r="D410" s="415" t="s">
        <v>605</v>
      </c>
      <c r="E410" s="416"/>
      <c r="F410" s="511"/>
      <c r="G410" s="511"/>
      <c r="H410" s="666"/>
      <c r="I410" s="676">
        <v>30000</v>
      </c>
      <c r="J410" s="417"/>
      <c r="K410" s="417"/>
      <c r="L410" s="417">
        <v>30000</v>
      </c>
      <c r="M410" s="417"/>
      <c r="N410" s="418"/>
    </row>
    <row r="411" spans="1:14" s="59" customFormat="1" ht="17.25">
      <c r="A411" s="1044">
        <v>405</v>
      </c>
      <c r="B411" s="422"/>
      <c r="C411" s="423"/>
      <c r="D411" s="419" t="s">
        <v>1169</v>
      </c>
      <c r="E411" s="420"/>
      <c r="F411" s="510"/>
      <c r="G411" s="510"/>
      <c r="H411" s="667"/>
      <c r="I411" s="677">
        <f aca="true" t="shared" si="12" ref="I411:N411">SUM(I410)</f>
        <v>30000</v>
      </c>
      <c r="J411" s="510">
        <f t="shared" si="12"/>
        <v>0</v>
      </c>
      <c r="K411" s="510">
        <f t="shared" si="12"/>
        <v>0</v>
      </c>
      <c r="L411" s="510">
        <f t="shared" si="12"/>
        <v>30000</v>
      </c>
      <c r="M411" s="510">
        <f t="shared" si="12"/>
        <v>0</v>
      </c>
      <c r="N411" s="637">
        <f t="shared" si="12"/>
        <v>0</v>
      </c>
    </row>
    <row r="412" spans="1:14" s="60" customFormat="1" ht="27.75" customHeight="1">
      <c r="A412" s="1044">
        <v>406</v>
      </c>
      <c r="B412" s="172"/>
      <c r="C412" s="167">
        <v>86</v>
      </c>
      <c r="D412" s="168" t="s">
        <v>514</v>
      </c>
      <c r="E412" s="169" t="s">
        <v>466</v>
      </c>
      <c r="F412" s="509"/>
      <c r="G412" s="509"/>
      <c r="H412" s="665"/>
      <c r="I412" s="675"/>
      <c r="J412" s="169"/>
      <c r="K412" s="169"/>
      <c r="L412" s="169"/>
      <c r="M412" s="169"/>
      <c r="N412" s="638"/>
    </row>
    <row r="413" spans="1:14" s="60" customFormat="1" ht="16.5">
      <c r="A413" s="1044">
        <v>407</v>
      </c>
      <c r="B413" s="172"/>
      <c r="C413" s="167"/>
      <c r="D413" s="168" t="s">
        <v>1168</v>
      </c>
      <c r="E413" s="169"/>
      <c r="F413" s="509"/>
      <c r="G413" s="509"/>
      <c r="H413" s="665"/>
      <c r="I413" s="675">
        <f t="shared" si="10"/>
        <v>1000</v>
      </c>
      <c r="J413" s="170"/>
      <c r="K413" s="170"/>
      <c r="L413" s="170">
        <v>1000</v>
      </c>
      <c r="M413" s="170"/>
      <c r="N413" s="414"/>
    </row>
    <row r="414" spans="1:14" s="412" customFormat="1" ht="17.25">
      <c r="A414" s="1044">
        <v>408</v>
      </c>
      <c r="B414" s="174"/>
      <c r="C414" s="421"/>
      <c r="D414" s="415" t="s">
        <v>1170</v>
      </c>
      <c r="E414" s="416"/>
      <c r="F414" s="511"/>
      <c r="G414" s="511"/>
      <c r="H414" s="666"/>
      <c r="I414" s="676">
        <f t="shared" si="10"/>
        <v>0</v>
      </c>
      <c r="J414" s="417"/>
      <c r="K414" s="417"/>
      <c r="L414" s="417"/>
      <c r="M414" s="417"/>
      <c r="N414" s="418"/>
    </row>
    <row r="415" spans="1:14" s="59" customFormat="1" ht="17.25">
      <c r="A415" s="1044">
        <v>409</v>
      </c>
      <c r="B415" s="422"/>
      <c r="C415" s="423"/>
      <c r="D415" s="419" t="s">
        <v>1169</v>
      </c>
      <c r="E415" s="420"/>
      <c r="F415" s="510"/>
      <c r="G415" s="510"/>
      <c r="H415" s="667"/>
      <c r="I415" s="677">
        <f t="shared" si="10"/>
        <v>1000</v>
      </c>
      <c r="J415" s="510">
        <f>SUM(J413:J414)</f>
        <v>0</v>
      </c>
      <c r="K415" s="510">
        <f>SUM(K413:K414)</f>
        <v>0</v>
      </c>
      <c r="L415" s="510">
        <f>SUM(L413:L414)</f>
        <v>1000</v>
      </c>
      <c r="M415" s="510">
        <f>SUM(M413:M414)</f>
        <v>0</v>
      </c>
      <c r="N415" s="637">
        <f>SUM(N413:N414)</f>
        <v>0</v>
      </c>
    </row>
    <row r="416" spans="1:14" s="60" customFormat="1" ht="27.75" customHeight="1">
      <c r="A416" s="1044">
        <v>410</v>
      </c>
      <c r="B416" s="172"/>
      <c r="C416" s="167">
        <v>87</v>
      </c>
      <c r="D416" s="168" t="s">
        <v>428</v>
      </c>
      <c r="E416" s="169" t="s">
        <v>466</v>
      </c>
      <c r="F416" s="509"/>
      <c r="G416" s="509"/>
      <c r="H416" s="665"/>
      <c r="I416" s="675"/>
      <c r="J416" s="169"/>
      <c r="K416" s="169"/>
      <c r="L416" s="169"/>
      <c r="M416" s="169"/>
      <c r="N416" s="638"/>
    </row>
    <row r="417" spans="1:14" s="60" customFormat="1" ht="16.5">
      <c r="A417" s="1044">
        <v>411</v>
      </c>
      <c r="B417" s="172"/>
      <c r="C417" s="167"/>
      <c r="D417" s="168" t="s">
        <v>1168</v>
      </c>
      <c r="E417" s="169"/>
      <c r="F417" s="509"/>
      <c r="G417" s="509"/>
      <c r="H417" s="665"/>
      <c r="I417" s="675">
        <f t="shared" si="10"/>
        <v>5000</v>
      </c>
      <c r="J417" s="170"/>
      <c r="K417" s="170"/>
      <c r="L417" s="170">
        <v>5000</v>
      </c>
      <c r="M417" s="170"/>
      <c r="N417" s="414"/>
    </row>
    <row r="418" spans="1:14" s="412" customFormat="1" ht="17.25">
      <c r="A418" s="1044">
        <v>412</v>
      </c>
      <c r="B418" s="174"/>
      <c r="C418" s="421"/>
      <c r="D418" s="415" t="s">
        <v>1170</v>
      </c>
      <c r="E418" s="416"/>
      <c r="F418" s="511"/>
      <c r="G418" s="511"/>
      <c r="H418" s="666"/>
      <c r="I418" s="676">
        <f t="shared" si="10"/>
        <v>0</v>
      </c>
      <c r="J418" s="417"/>
      <c r="K418" s="417"/>
      <c r="L418" s="417"/>
      <c r="M418" s="417"/>
      <c r="N418" s="418"/>
    </row>
    <row r="419" spans="1:14" s="59" customFormat="1" ht="17.25">
      <c r="A419" s="1044">
        <v>413</v>
      </c>
      <c r="B419" s="422"/>
      <c r="C419" s="423"/>
      <c r="D419" s="419" t="s">
        <v>1169</v>
      </c>
      <c r="E419" s="420"/>
      <c r="F419" s="510"/>
      <c r="G419" s="510"/>
      <c r="H419" s="667"/>
      <c r="I419" s="677">
        <f t="shared" si="10"/>
        <v>5000</v>
      </c>
      <c r="J419" s="510">
        <f>SUM(J417:J418)</f>
        <v>0</v>
      </c>
      <c r="K419" s="510">
        <f>SUM(K417:K418)</f>
        <v>0</v>
      </c>
      <c r="L419" s="510">
        <f>SUM(L417:L418)</f>
        <v>5000</v>
      </c>
      <c r="M419" s="510">
        <f>SUM(M417:M418)</f>
        <v>0</v>
      </c>
      <c r="N419" s="637">
        <f>SUM(N417:N418)</f>
        <v>0</v>
      </c>
    </row>
    <row r="420" spans="1:14" s="60" customFormat="1" ht="27.75" customHeight="1">
      <c r="A420" s="1044">
        <v>414</v>
      </c>
      <c r="B420" s="172"/>
      <c r="C420" s="167">
        <v>88</v>
      </c>
      <c r="D420" s="168" t="s">
        <v>831</v>
      </c>
      <c r="E420" s="169" t="s">
        <v>466</v>
      </c>
      <c r="F420" s="509">
        <v>12929</v>
      </c>
      <c r="G420" s="509">
        <v>13000</v>
      </c>
      <c r="H420" s="665">
        <f>10735-343</f>
        <v>10392</v>
      </c>
      <c r="I420" s="675"/>
      <c r="J420" s="169"/>
      <c r="K420" s="169"/>
      <c r="L420" s="169"/>
      <c r="M420" s="169"/>
      <c r="N420" s="638"/>
    </row>
    <row r="421" spans="1:14" s="60" customFormat="1" ht="16.5">
      <c r="A421" s="1044">
        <v>415</v>
      </c>
      <c r="B421" s="172"/>
      <c r="C421" s="167"/>
      <c r="D421" s="168" t="s">
        <v>1168</v>
      </c>
      <c r="E421" s="169"/>
      <c r="F421" s="509"/>
      <c r="G421" s="509"/>
      <c r="H421" s="665"/>
      <c r="I421" s="675">
        <f t="shared" si="10"/>
        <v>13000</v>
      </c>
      <c r="J421" s="170"/>
      <c r="K421" s="170"/>
      <c r="L421" s="170">
        <v>12000</v>
      </c>
      <c r="M421" s="170"/>
      <c r="N421" s="414">
        <v>1000</v>
      </c>
    </row>
    <row r="422" spans="1:14" s="412" customFormat="1" ht="17.25">
      <c r="A422" s="1044">
        <v>416</v>
      </c>
      <c r="B422" s="174"/>
      <c r="C422" s="421"/>
      <c r="D422" s="415" t="s">
        <v>166</v>
      </c>
      <c r="E422" s="416"/>
      <c r="F422" s="511"/>
      <c r="G422" s="511"/>
      <c r="H422" s="666"/>
      <c r="I422" s="676">
        <f t="shared" si="10"/>
        <v>690</v>
      </c>
      <c r="J422" s="417"/>
      <c r="K422" s="417"/>
      <c r="L422" s="417">
        <v>690</v>
      </c>
      <c r="M422" s="417"/>
      <c r="N422" s="418"/>
    </row>
    <row r="423" spans="1:14" s="412" customFormat="1" ht="17.25">
      <c r="A423" s="1044">
        <v>417</v>
      </c>
      <c r="B423" s="174"/>
      <c r="C423" s="421"/>
      <c r="D423" s="415" t="s">
        <v>560</v>
      </c>
      <c r="E423" s="416"/>
      <c r="F423" s="511"/>
      <c r="G423" s="511"/>
      <c r="H423" s="666"/>
      <c r="I423" s="676">
        <f t="shared" si="10"/>
        <v>1246</v>
      </c>
      <c r="J423" s="417"/>
      <c r="K423" s="417"/>
      <c r="L423" s="417">
        <v>1246</v>
      </c>
      <c r="M423" s="417"/>
      <c r="N423" s="418"/>
    </row>
    <row r="424" spans="1:14" s="412" customFormat="1" ht="17.25">
      <c r="A424" s="1044">
        <v>418</v>
      </c>
      <c r="B424" s="174"/>
      <c r="C424" s="421"/>
      <c r="D424" s="415" t="s">
        <v>619</v>
      </c>
      <c r="E424" s="416"/>
      <c r="F424" s="511"/>
      <c r="G424" s="511"/>
      <c r="H424" s="666"/>
      <c r="I424" s="676">
        <f t="shared" si="10"/>
        <v>4727</v>
      </c>
      <c r="J424" s="417"/>
      <c r="K424" s="417"/>
      <c r="L424" s="417">
        <v>4727</v>
      </c>
      <c r="M424" s="417"/>
      <c r="N424" s="418"/>
    </row>
    <row r="425" spans="1:14" s="59" customFormat="1" ht="17.25">
      <c r="A425" s="1044">
        <v>419</v>
      </c>
      <c r="B425" s="422"/>
      <c r="C425" s="423"/>
      <c r="D425" s="419" t="s">
        <v>1169</v>
      </c>
      <c r="E425" s="420"/>
      <c r="F425" s="510"/>
      <c r="G425" s="510"/>
      <c r="H425" s="667"/>
      <c r="I425" s="677">
        <f aca="true" t="shared" si="13" ref="I425:N425">SUM(I421:I423)</f>
        <v>14936</v>
      </c>
      <c r="J425" s="510">
        <f t="shared" si="13"/>
        <v>0</v>
      </c>
      <c r="K425" s="510">
        <f t="shared" si="13"/>
        <v>0</v>
      </c>
      <c r="L425" s="510">
        <f t="shared" si="13"/>
        <v>13936</v>
      </c>
      <c r="M425" s="510">
        <f t="shared" si="13"/>
        <v>0</v>
      </c>
      <c r="N425" s="637">
        <f t="shared" si="13"/>
        <v>1000</v>
      </c>
    </row>
    <row r="426" spans="1:14" s="60" customFormat="1" ht="21.75" customHeight="1">
      <c r="A426" s="1044">
        <v>420</v>
      </c>
      <c r="B426" s="172"/>
      <c r="C426" s="167">
        <v>89</v>
      </c>
      <c r="D426" s="168" t="s">
        <v>833</v>
      </c>
      <c r="E426" s="169" t="s">
        <v>466</v>
      </c>
      <c r="F426" s="509">
        <v>172385</v>
      </c>
      <c r="G426" s="509">
        <v>138000</v>
      </c>
      <c r="H426" s="665">
        <v>89927</v>
      </c>
      <c r="I426" s="675"/>
      <c r="J426" s="169"/>
      <c r="K426" s="169"/>
      <c r="L426" s="169"/>
      <c r="M426" s="169"/>
      <c r="N426" s="638"/>
    </row>
    <row r="427" spans="1:14" s="60" customFormat="1" ht="16.5">
      <c r="A427" s="1044">
        <v>421</v>
      </c>
      <c r="B427" s="172"/>
      <c r="C427" s="167"/>
      <c r="D427" s="168" t="s">
        <v>1168</v>
      </c>
      <c r="E427" s="169"/>
      <c r="F427" s="509"/>
      <c r="G427" s="509"/>
      <c r="H427" s="665"/>
      <c r="I427" s="675">
        <f t="shared" si="10"/>
        <v>120000</v>
      </c>
      <c r="J427" s="170"/>
      <c r="K427" s="170"/>
      <c r="L427" s="170">
        <v>120000</v>
      </c>
      <c r="M427" s="170"/>
      <c r="N427" s="414"/>
    </row>
    <row r="428" spans="1:14" s="412" customFormat="1" ht="17.25">
      <c r="A428" s="1044">
        <v>422</v>
      </c>
      <c r="B428" s="174"/>
      <c r="C428" s="421"/>
      <c r="D428" s="415" t="s">
        <v>618</v>
      </c>
      <c r="E428" s="416"/>
      <c r="F428" s="511"/>
      <c r="G428" s="511"/>
      <c r="H428" s="666"/>
      <c r="I428" s="676">
        <f t="shared" si="10"/>
        <v>48073</v>
      </c>
      <c r="J428" s="417"/>
      <c r="K428" s="417"/>
      <c r="L428" s="417">
        <v>48073</v>
      </c>
      <c r="M428" s="417"/>
      <c r="N428" s="418"/>
    </row>
    <row r="429" spans="1:14" s="59" customFormat="1" ht="17.25">
      <c r="A429" s="1044">
        <v>423</v>
      </c>
      <c r="B429" s="422"/>
      <c r="C429" s="423"/>
      <c r="D429" s="419" t="s">
        <v>1169</v>
      </c>
      <c r="E429" s="420"/>
      <c r="F429" s="510"/>
      <c r="G429" s="510"/>
      <c r="H429" s="667"/>
      <c r="I429" s="677">
        <f t="shared" si="10"/>
        <v>168073</v>
      </c>
      <c r="J429" s="510">
        <f>SUM(J427:J428)</f>
        <v>0</v>
      </c>
      <c r="K429" s="510">
        <f>SUM(K427:K428)</f>
        <v>0</v>
      </c>
      <c r="L429" s="510">
        <f>SUM(L427:L428)</f>
        <v>168073</v>
      </c>
      <c r="M429" s="510">
        <f>SUM(M427:M428)</f>
        <v>0</v>
      </c>
      <c r="N429" s="637">
        <f>SUM(N427:N428)</f>
        <v>0</v>
      </c>
    </row>
    <row r="430" spans="1:14" s="60" customFormat="1" ht="21.75" customHeight="1">
      <c r="A430" s="1044">
        <v>424</v>
      </c>
      <c r="B430" s="172"/>
      <c r="C430" s="167">
        <v>90</v>
      </c>
      <c r="D430" s="168" t="s">
        <v>834</v>
      </c>
      <c r="E430" s="169" t="s">
        <v>400</v>
      </c>
      <c r="F430" s="509">
        <v>5310</v>
      </c>
      <c r="G430" s="509">
        <v>5025</v>
      </c>
      <c r="H430" s="665">
        <v>5139</v>
      </c>
      <c r="I430" s="675"/>
      <c r="J430" s="169"/>
      <c r="K430" s="169"/>
      <c r="L430" s="169"/>
      <c r="M430" s="169"/>
      <c r="N430" s="638"/>
    </row>
    <row r="431" spans="1:14" s="60" customFormat="1" ht="16.5">
      <c r="A431" s="1044">
        <v>425</v>
      </c>
      <c r="B431" s="172"/>
      <c r="C431" s="167"/>
      <c r="D431" s="168" t="s">
        <v>1168</v>
      </c>
      <c r="E431" s="169"/>
      <c r="F431" s="509"/>
      <c r="G431" s="509"/>
      <c r="H431" s="665"/>
      <c r="I431" s="675">
        <f t="shared" si="10"/>
        <v>5856</v>
      </c>
      <c r="J431" s="170"/>
      <c r="K431" s="170"/>
      <c r="L431" s="170">
        <v>5856</v>
      </c>
      <c r="M431" s="170"/>
      <c r="N431" s="414"/>
    </row>
    <row r="432" spans="1:14" s="412" customFormat="1" ht="17.25">
      <c r="A432" s="1044">
        <v>426</v>
      </c>
      <c r="B432" s="174"/>
      <c r="C432" s="421"/>
      <c r="D432" s="415" t="s">
        <v>1170</v>
      </c>
      <c r="E432" s="416"/>
      <c r="F432" s="511"/>
      <c r="G432" s="511"/>
      <c r="H432" s="666"/>
      <c r="I432" s="676">
        <f t="shared" si="10"/>
        <v>0</v>
      </c>
      <c r="J432" s="417"/>
      <c r="K432" s="417"/>
      <c r="L432" s="417"/>
      <c r="M432" s="417"/>
      <c r="N432" s="418"/>
    </row>
    <row r="433" spans="1:14" s="59" customFormat="1" ht="17.25">
      <c r="A433" s="1044">
        <v>427</v>
      </c>
      <c r="B433" s="422"/>
      <c r="C433" s="423"/>
      <c r="D433" s="419" t="s">
        <v>1169</v>
      </c>
      <c r="E433" s="420"/>
      <c r="F433" s="510"/>
      <c r="G433" s="510"/>
      <c r="H433" s="667"/>
      <c r="I433" s="677">
        <f t="shared" si="10"/>
        <v>5856</v>
      </c>
      <c r="J433" s="510">
        <f>SUM(J431:J432)</f>
        <v>0</v>
      </c>
      <c r="K433" s="510">
        <f>SUM(K431:K432)</f>
        <v>0</v>
      </c>
      <c r="L433" s="510">
        <f>SUM(L431:L432)</f>
        <v>5856</v>
      </c>
      <c r="M433" s="510">
        <f>SUM(M431:M432)</f>
        <v>0</v>
      </c>
      <c r="N433" s="637">
        <f>SUM(N431:N432)</f>
        <v>0</v>
      </c>
    </row>
    <row r="434" spans="1:14" s="60" customFormat="1" ht="21.75" customHeight="1">
      <c r="A434" s="1044">
        <v>428</v>
      </c>
      <c r="B434" s="172"/>
      <c r="C434" s="167">
        <v>91</v>
      </c>
      <c r="D434" s="168" t="s">
        <v>835</v>
      </c>
      <c r="E434" s="169" t="s">
        <v>466</v>
      </c>
      <c r="F434" s="509">
        <v>3459</v>
      </c>
      <c r="G434" s="509">
        <v>5000</v>
      </c>
      <c r="H434" s="665">
        <v>3439</v>
      </c>
      <c r="I434" s="675"/>
      <c r="J434" s="169"/>
      <c r="K434" s="169"/>
      <c r="L434" s="169"/>
      <c r="M434" s="169"/>
      <c r="N434" s="638"/>
    </row>
    <row r="435" spans="1:14" s="60" customFormat="1" ht="16.5">
      <c r="A435" s="1044">
        <v>429</v>
      </c>
      <c r="B435" s="172"/>
      <c r="C435" s="167"/>
      <c r="D435" s="168" t="s">
        <v>1168</v>
      </c>
      <c r="E435" s="169"/>
      <c r="F435" s="509"/>
      <c r="G435" s="509"/>
      <c r="H435" s="665"/>
      <c r="I435" s="675">
        <f t="shared" si="10"/>
        <v>5000</v>
      </c>
      <c r="J435" s="170"/>
      <c r="K435" s="170"/>
      <c r="L435" s="170">
        <v>5000</v>
      </c>
      <c r="M435" s="170"/>
      <c r="N435" s="414"/>
    </row>
    <row r="436" spans="1:14" s="412" customFormat="1" ht="17.25">
      <c r="A436" s="1044">
        <v>430</v>
      </c>
      <c r="B436" s="174"/>
      <c r="C436" s="421"/>
      <c r="D436" s="415" t="s">
        <v>618</v>
      </c>
      <c r="E436" s="416"/>
      <c r="F436" s="511"/>
      <c r="G436" s="511"/>
      <c r="H436" s="666"/>
      <c r="I436" s="676">
        <f t="shared" si="10"/>
        <v>561</v>
      </c>
      <c r="J436" s="417"/>
      <c r="K436" s="417"/>
      <c r="L436" s="417">
        <v>561</v>
      </c>
      <c r="M436" s="417"/>
      <c r="N436" s="418"/>
    </row>
    <row r="437" spans="1:14" s="59" customFormat="1" ht="17.25">
      <c r="A437" s="1044">
        <v>431</v>
      </c>
      <c r="B437" s="422"/>
      <c r="C437" s="423"/>
      <c r="D437" s="419" t="s">
        <v>1169</v>
      </c>
      <c r="E437" s="420"/>
      <c r="F437" s="510"/>
      <c r="G437" s="510"/>
      <c r="H437" s="667"/>
      <c r="I437" s="677">
        <f t="shared" si="10"/>
        <v>5561</v>
      </c>
      <c r="J437" s="510">
        <f>SUM(J435:J436)</f>
        <v>0</v>
      </c>
      <c r="K437" s="510">
        <f>SUM(K435:K436)</f>
        <v>0</v>
      </c>
      <c r="L437" s="510">
        <f>SUM(L435:L436)</f>
        <v>5561</v>
      </c>
      <c r="M437" s="510">
        <f>SUM(M435:M436)</f>
        <v>0</v>
      </c>
      <c r="N437" s="637">
        <f>SUM(N435:N436)</f>
        <v>0</v>
      </c>
    </row>
    <row r="438" spans="1:14" s="60" customFormat="1" ht="21.75" customHeight="1">
      <c r="A438" s="1044">
        <v>432</v>
      </c>
      <c r="B438" s="172"/>
      <c r="C438" s="167">
        <v>92</v>
      </c>
      <c r="D438" s="168" t="s">
        <v>893</v>
      </c>
      <c r="E438" s="169" t="s">
        <v>466</v>
      </c>
      <c r="F438" s="509">
        <v>7585</v>
      </c>
      <c r="G438" s="509">
        <v>4000</v>
      </c>
      <c r="H438" s="665">
        <v>2622</v>
      </c>
      <c r="I438" s="675"/>
      <c r="J438" s="169"/>
      <c r="K438" s="169"/>
      <c r="L438" s="169"/>
      <c r="M438" s="169"/>
      <c r="N438" s="638"/>
    </row>
    <row r="439" spans="1:14" s="60" customFormat="1" ht="16.5">
      <c r="A439" s="1044">
        <v>433</v>
      </c>
      <c r="B439" s="172"/>
      <c r="C439" s="167"/>
      <c r="D439" s="168" t="s">
        <v>1168</v>
      </c>
      <c r="E439" s="169"/>
      <c r="F439" s="509"/>
      <c r="G439" s="509"/>
      <c r="H439" s="665"/>
      <c r="I439" s="675">
        <f t="shared" si="10"/>
        <v>6000</v>
      </c>
      <c r="J439" s="170"/>
      <c r="K439" s="170"/>
      <c r="L439" s="170">
        <v>6000</v>
      </c>
      <c r="M439" s="170"/>
      <c r="N439" s="414"/>
    </row>
    <row r="440" spans="1:14" s="412" customFormat="1" ht="17.25">
      <c r="A440" s="1044">
        <v>434</v>
      </c>
      <c r="B440" s="174"/>
      <c r="C440" s="421"/>
      <c r="D440" s="415" t="s">
        <v>618</v>
      </c>
      <c r="E440" s="416"/>
      <c r="F440" s="511"/>
      <c r="G440" s="511"/>
      <c r="H440" s="666"/>
      <c r="I440" s="676">
        <f t="shared" si="10"/>
        <v>1379</v>
      </c>
      <c r="J440" s="417"/>
      <c r="K440" s="417"/>
      <c r="L440" s="417">
        <v>1379</v>
      </c>
      <c r="M440" s="417"/>
      <c r="N440" s="418"/>
    </row>
    <row r="441" spans="1:14" s="59" customFormat="1" ht="17.25">
      <c r="A441" s="1044">
        <v>435</v>
      </c>
      <c r="B441" s="422"/>
      <c r="C441" s="423"/>
      <c r="D441" s="419" t="s">
        <v>1169</v>
      </c>
      <c r="E441" s="420"/>
      <c r="F441" s="510"/>
      <c r="G441" s="510"/>
      <c r="H441" s="667"/>
      <c r="I441" s="677">
        <f t="shared" si="10"/>
        <v>7379</v>
      </c>
      <c r="J441" s="510">
        <f>SUM(J439:J440)</f>
        <v>0</v>
      </c>
      <c r="K441" s="510">
        <f>SUM(K439:K440)</f>
        <v>0</v>
      </c>
      <c r="L441" s="510">
        <f>SUM(L439:L440)</f>
        <v>7379</v>
      </c>
      <c r="M441" s="510">
        <f>SUM(M439:M440)</f>
        <v>0</v>
      </c>
      <c r="N441" s="637">
        <f>SUM(N439:N440)</f>
        <v>0</v>
      </c>
    </row>
    <row r="442" spans="1:14" s="60" customFormat="1" ht="21.75" customHeight="1">
      <c r="A442" s="1044">
        <v>436</v>
      </c>
      <c r="B442" s="172"/>
      <c r="C442" s="167">
        <v>93</v>
      </c>
      <c r="D442" s="168" t="s">
        <v>894</v>
      </c>
      <c r="E442" s="169" t="s">
        <v>466</v>
      </c>
      <c r="F442" s="509"/>
      <c r="G442" s="509">
        <v>1000</v>
      </c>
      <c r="H442" s="665">
        <v>448</v>
      </c>
      <c r="I442" s="675"/>
      <c r="J442" s="169"/>
      <c r="K442" s="169"/>
      <c r="L442" s="169"/>
      <c r="M442" s="169"/>
      <c r="N442" s="638"/>
    </row>
    <row r="443" spans="1:14" s="60" customFormat="1" ht="16.5">
      <c r="A443" s="1044">
        <v>437</v>
      </c>
      <c r="B443" s="172"/>
      <c r="C443" s="167"/>
      <c r="D443" s="168" t="s">
        <v>1168</v>
      </c>
      <c r="E443" s="169"/>
      <c r="F443" s="509"/>
      <c r="G443" s="509"/>
      <c r="H443" s="665"/>
      <c r="I443" s="675">
        <f t="shared" si="10"/>
        <v>2000</v>
      </c>
      <c r="J443" s="170"/>
      <c r="K443" s="170"/>
      <c r="L443" s="170">
        <v>2000</v>
      </c>
      <c r="M443" s="170"/>
      <c r="N443" s="414"/>
    </row>
    <row r="444" spans="1:14" s="412" customFormat="1" ht="17.25">
      <c r="A444" s="1044">
        <v>438</v>
      </c>
      <c r="B444" s="174"/>
      <c r="C444" s="421"/>
      <c r="D444" s="415" t="s">
        <v>1170</v>
      </c>
      <c r="E444" s="416"/>
      <c r="F444" s="511"/>
      <c r="G444" s="511"/>
      <c r="H444" s="666"/>
      <c r="I444" s="676">
        <f t="shared" si="10"/>
        <v>0</v>
      </c>
      <c r="J444" s="417"/>
      <c r="K444" s="417"/>
      <c r="L444" s="417"/>
      <c r="M444" s="417"/>
      <c r="N444" s="418"/>
    </row>
    <row r="445" spans="1:14" s="59" customFormat="1" ht="17.25">
      <c r="A445" s="1044">
        <v>439</v>
      </c>
      <c r="B445" s="422"/>
      <c r="C445" s="423"/>
      <c r="D445" s="419" t="s">
        <v>1169</v>
      </c>
      <c r="E445" s="420"/>
      <c r="F445" s="510"/>
      <c r="G445" s="510"/>
      <c r="H445" s="667"/>
      <c r="I445" s="677">
        <f t="shared" si="10"/>
        <v>2000</v>
      </c>
      <c r="J445" s="510">
        <f>SUM(J443:J444)</f>
        <v>0</v>
      </c>
      <c r="K445" s="510">
        <f>SUM(K443:K444)</f>
        <v>0</v>
      </c>
      <c r="L445" s="510">
        <f>SUM(L443:L444)</f>
        <v>2000</v>
      </c>
      <c r="M445" s="510">
        <f>SUM(M443:M444)</f>
        <v>0</v>
      </c>
      <c r="N445" s="637">
        <f>SUM(N443:N444)</f>
        <v>0</v>
      </c>
    </row>
    <row r="446" spans="1:14" s="60" customFormat="1" ht="21.75" customHeight="1">
      <c r="A446" s="1044">
        <v>440</v>
      </c>
      <c r="B446" s="172"/>
      <c r="C446" s="167">
        <v>94</v>
      </c>
      <c r="D446" s="168" t="s">
        <v>897</v>
      </c>
      <c r="E446" s="169" t="s">
        <v>466</v>
      </c>
      <c r="F446" s="509">
        <v>63054</v>
      </c>
      <c r="G446" s="509">
        <v>38000</v>
      </c>
      <c r="H446" s="665">
        <v>25288</v>
      </c>
      <c r="I446" s="675"/>
      <c r="J446" s="169"/>
      <c r="K446" s="169"/>
      <c r="L446" s="169"/>
      <c r="M446" s="169"/>
      <c r="N446" s="638"/>
    </row>
    <row r="447" spans="1:14" s="60" customFormat="1" ht="16.5">
      <c r="A447" s="1044">
        <v>441</v>
      </c>
      <c r="B447" s="172"/>
      <c r="C447" s="167"/>
      <c r="D447" s="168" t="s">
        <v>1168</v>
      </c>
      <c r="E447" s="169"/>
      <c r="F447" s="509"/>
      <c r="G447" s="509"/>
      <c r="H447" s="665"/>
      <c r="I447" s="675">
        <f t="shared" si="10"/>
        <v>32500</v>
      </c>
      <c r="J447" s="170"/>
      <c r="K447" s="170"/>
      <c r="L447" s="170">
        <v>32500</v>
      </c>
      <c r="M447" s="170"/>
      <c r="N447" s="414"/>
    </row>
    <row r="448" spans="1:14" s="412" customFormat="1" ht="17.25">
      <c r="A448" s="1044">
        <v>442</v>
      </c>
      <c r="B448" s="174"/>
      <c r="C448" s="421"/>
      <c r="D448" s="415" t="s">
        <v>618</v>
      </c>
      <c r="E448" s="416"/>
      <c r="F448" s="511"/>
      <c r="G448" s="511"/>
      <c r="H448" s="666"/>
      <c r="I448" s="676">
        <f t="shared" si="10"/>
        <v>922</v>
      </c>
      <c r="J448" s="417"/>
      <c r="K448" s="417"/>
      <c r="L448" s="417">
        <v>922</v>
      </c>
      <c r="M448" s="417"/>
      <c r="N448" s="418"/>
    </row>
    <row r="449" spans="1:14" s="59" customFormat="1" ht="17.25">
      <c r="A449" s="1044">
        <v>443</v>
      </c>
      <c r="B449" s="422"/>
      <c r="C449" s="423"/>
      <c r="D449" s="419" t="s">
        <v>1169</v>
      </c>
      <c r="E449" s="420"/>
      <c r="F449" s="510"/>
      <c r="G449" s="510"/>
      <c r="H449" s="667"/>
      <c r="I449" s="677">
        <f t="shared" si="10"/>
        <v>33422</v>
      </c>
      <c r="J449" s="510">
        <f>SUM(J447:J448)</f>
        <v>0</v>
      </c>
      <c r="K449" s="510">
        <f>SUM(K447:K448)</f>
        <v>0</v>
      </c>
      <c r="L449" s="510">
        <f>SUM(L447:L448)</f>
        <v>33422</v>
      </c>
      <c r="M449" s="510">
        <f>SUM(M447:M448)</f>
        <v>0</v>
      </c>
      <c r="N449" s="637">
        <f>SUM(N447:N448)</f>
        <v>0</v>
      </c>
    </row>
    <row r="450" spans="1:14" s="60" customFormat="1" ht="21.75" customHeight="1">
      <c r="A450" s="1044">
        <v>444</v>
      </c>
      <c r="B450" s="172"/>
      <c r="C450" s="167">
        <v>95</v>
      </c>
      <c r="D450" s="168" t="s">
        <v>0</v>
      </c>
      <c r="E450" s="169" t="s">
        <v>466</v>
      </c>
      <c r="F450" s="509">
        <v>36898</v>
      </c>
      <c r="G450" s="509">
        <v>38000</v>
      </c>
      <c r="H450" s="665">
        <v>38863</v>
      </c>
      <c r="I450" s="675"/>
      <c r="J450" s="169"/>
      <c r="K450" s="169"/>
      <c r="L450" s="169"/>
      <c r="M450" s="169"/>
      <c r="N450" s="638"/>
    </row>
    <row r="451" spans="1:14" s="60" customFormat="1" ht="16.5">
      <c r="A451" s="1044">
        <v>445</v>
      </c>
      <c r="B451" s="172"/>
      <c r="C451" s="167"/>
      <c r="D451" s="168" t="s">
        <v>1168</v>
      </c>
      <c r="E451" s="169"/>
      <c r="F451" s="509"/>
      <c r="G451" s="509"/>
      <c r="H451" s="665"/>
      <c r="I451" s="675">
        <f t="shared" si="10"/>
        <v>43500</v>
      </c>
      <c r="J451" s="170"/>
      <c r="K451" s="170"/>
      <c r="L451" s="170">
        <v>43500</v>
      </c>
      <c r="M451" s="170"/>
      <c r="N451" s="414"/>
    </row>
    <row r="452" spans="1:14" s="412" customFormat="1" ht="17.25">
      <c r="A452" s="1044">
        <v>446</v>
      </c>
      <c r="B452" s="174"/>
      <c r="C452" s="421"/>
      <c r="D452" s="415" t="s">
        <v>618</v>
      </c>
      <c r="E452" s="416"/>
      <c r="F452" s="511"/>
      <c r="G452" s="511"/>
      <c r="H452" s="666"/>
      <c r="I452" s="676">
        <f t="shared" si="10"/>
        <v>2000</v>
      </c>
      <c r="J452" s="417"/>
      <c r="K452" s="417"/>
      <c r="L452" s="417">
        <v>2000</v>
      </c>
      <c r="M452" s="417"/>
      <c r="N452" s="418"/>
    </row>
    <row r="453" spans="1:14" s="59" customFormat="1" ht="17.25">
      <c r="A453" s="1044">
        <v>447</v>
      </c>
      <c r="B453" s="422"/>
      <c r="C453" s="423"/>
      <c r="D453" s="419" t="s">
        <v>1169</v>
      </c>
      <c r="E453" s="420"/>
      <c r="F453" s="510"/>
      <c r="G453" s="510"/>
      <c r="H453" s="667"/>
      <c r="I453" s="677">
        <f t="shared" si="10"/>
        <v>45500</v>
      </c>
      <c r="J453" s="510">
        <f>SUM(J451:J452)</f>
        <v>0</v>
      </c>
      <c r="K453" s="510">
        <f>SUM(K451:K452)</f>
        <v>0</v>
      </c>
      <c r="L453" s="510">
        <f>SUM(L451:L452)</f>
        <v>45500</v>
      </c>
      <c r="M453" s="510">
        <f>SUM(M451:M452)</f>
        <v>0</v>
      </c>
      <c r="N453" s="637">
        <f>SUM(N451:N452)</f>
        <v>0</v>
      </c>
    </row>
    <row r="454" spans="1:14" s="60" customFormat="1" ht="21.75" customHeight="1">
      <c r="A454" s="1044">
        <v>448</v>
      </c>
      <c r="B454" s="172"/>
      <c r="C454" s="167">
        <v>96</v>
      </c>
      <c r="D454" s="168" t="s">
        <v>892</v>
      </c>
      <c r="E454" s="169" t="s">
        <v>466</v>
      </c>
      <c r="F454" s="509"/>
      <c r="G454" s="509">
        <v>15500</v>
      </c>
      <c r="H454" s="665">
        <v>4093</v>
      </c>
      <c r="I454" s="675"/>
      <c r="J454" s="169"/>
      <c r="K454" s="169"/>
      <c r="L454" s="169"/>
      <c r="M454" s="169"/>
      <c r="N454" s="638"/>
    </row>
    <row r="455" spans="1:14" s="60" customFormat="1" ht="16.5">
      <c r="A455" s="1044">
        <v>449</v>
      </c>
      <c r="B455" s="172"/>
      <c r="C455" s="167"/>
      <c r="D455" s="168" t="s">
        <v>1168</v>
      </c>
      <c r="E455" s="169"/>
      <c r="F455" s="509"/>
      <c r="G455" s="509"/>
      <c r="H455" s="665"/>
      <c r="I455" s="675">
        <f t="shared" si="10"/>
        <v>16000</v>
      </c>
      <c r="J455" s="170"/>
      <c r="K455" s="170"/>
      <c r="L455" s="170">
        <v>16000</v>
      </c>
      <c r="M455" s="170"/>
      <c r="N455" s="414"/>
    </row>
    <row r="456" spans="1:14" s="412" customFormat="1" ht="17.25">
      <c r="A456" s="1044">
        <v>450</v>
      </c>
      <c r="B456" s="174"/>
      <c r="C456" s="421"/>
      <c r="D456" s="415" t="s">
        <v>618</v>
      </c>
      <c r="E456" s="416"/>
      <c r="F456" s="511"/>
      <c r="G456" s="511"/>
      <c r="H456" s="666"/>
      <c r="I456" s="676">
        <f t="shared" si="10"/>
        <v>11503</v>
      </c>
      <c r="J456" s="417"/>
      <c r="K456" s="417"/>
      <c r="L456" s="417">
        <v>11503</v>
      </c>
      <c r="M456" s="417"/>
      <c r="N456" s="418"/>
    </row>
    <row r="457" spans="1:14" s="59" customFormat="1" ht="17.25">
      <c r="A457" s="1044">
        <v>451</v>
      </c>
      <c r="B457" s="422"/>
      <c r="C457" s="423"/>
      <c r="D457" s="419" t="s">
        <v>1169</v>
      </c>
      <c r="E457" s="420"/>
      <c r="F457" s="510"/>
      <c r="G457" s="510"/>
      <c r="H457" s="667"/>
      <c r="I457" s="677">
        <f t="shared" si="10"/>
        <v>27503</v>
      </c>
      <c r="J457" s="510">
        <f>SUM(J455:J456)</f>
        <v>0</v>
      </c>
      <c r="K457" s="510">
        <f>SUM(K455:K456)</f>
        <v>0</v>
      </c>
      <c r="L457" s="510">
        <f>SUM(L455:L456)</f>
        <v>27503</v>
      </c>
      <c r="M457" s="510">
        <f>SUM(M455:M456)</f>
        <v>0</v>
      </c>
      <c r="N457" s="637">
        <f>SUM(N455:N456)</f>
        <v>0</v>
      </c>
    </row>
    <row r="458" spans="1:14" s="60" customFormat="1" ht="21.75" customHeight="1">
      <c r="A458" s="1044">
        <v>452</v>
      </c>
      <c r="B458" s="172"/>
      <c r="C458" s="167">
        <v>97</v>
      </c>
      <c r="D458" s="168" t="s">
        <v>526</v>
      </c>
      <c r="E458" s="169" t="s">
        <v>466</v>
      </c>
      <c r="F458" s="509">
        <v>1744</v>
      </c>
      <c r="G458" s="509">
        <v>500</v>
      </c>
      <c r="H458" s="665">
        <v>485</v>
      </c>
      <c r="I458" s="675"/>
      <c r="J458" s="169"/>
      <c r="K458" s="169"/>
      <c r="L458" s="169"/>
      <c r="M458" s="169"/>
      <c r="N458" s="638"/>
    </row>
    <row r="459" spans="1:14" s="60" customFormat="1" ht="16.5">
      <c r="A459" s="1044">
        <v>453</v>
      </c>
      <c r="B459" s="172"/>
      <c r="C459" s="167"/>
      <c r="D459" s="168" t="s">
        <v>1168</v>
      </c>
      <c r="E459" s="169"/>
      <c r="F459" s="509"/>
      <c r="G459" s="509"/>
      <c r="H459" s="665"/>
      <c r="I459" s="675">
        <f t="shared" si="10"/>
        <v>1000</v>
      </c>
      <c r="J459" s="170"/>
      <c r="K459" s="170"/>
      <c r="L459" s="170">
        <v>1000</v>
      </c>
      <c r="M459" s="170"/>
      <c r="N459" s="414"/>
    </row>
    <row r="460" spans="1:14" s="412" customFormat="1" ht="17.25">
      <c r="A460" s="1044">
        <v>454</v>
      </c>
      <c r="B460" s="174"/>
      <c r="C460" s="421"/>
      <c r="D460" s="415" t="s">
        <v>1170</v>
      </c>
      <c r="E460" s="416"/>
      <c r="F460" s="511"/>
      <c r="G460" s="511"/>
      <c r="H460" s="666"/>
      <c r="I460" s="676">
        <f t="shared" si="10"/>
        <v>0</v>
      </c>
      <c r="J460" s="417"/>
      <c r="K460" s="417"/>
      <c r="L460" s="417"/>
      <c r="M460" s="417"/>
      <c r="N460" s="418"/>
    </row>
    <row r="461" spans="1:14" s="59" customFormat="1" ht="17.25">
      <c r="A461" s="1044">
        <v>455</v>
      </c>
      <c r="B461" s="422"/>
      <c r="C461" s="423"/>
      <c r="D461" s="419" t="s">
        <v>1169</v>
      </c>
      <c r="E461" s="420"/>
      <c r="F461" s="510"/>
      <c r="G461" s="510"/>
      <c r="H461" s="667"/>
      <c r="I461" s="677">
        <f t="shared" si="10"/>
        <v>1000</v>
      </c>
      <c r="J461" s="510">
        <f>SUM(J459:J460)</f>
        <v>0</v>
      </c>
      <c r="K461" s="510">
        <f>SUM(K459:K460)</f>
        <v>0</v>
      </c>
      <c r="L461" s="510">
        <f>SUM(L459:L460)</f>
        <v>1000</v>
      </c>
      <c r="M461" s="510">
        <f>SUM(M459:M460)</f>
        <v>0</v>
      </c>
      <c r="N461" s="637">
        <f>SUM(N459:N460)</f>
        <v>0</v>
      </c>
    </row>
    <row r="462" spans="1:14" s="60" customFormat="1" ht="25.5" customHeight="1">
      <c r="A462" s="1044">
        <v>456</v>
      </c>
      <c r="B462" s="172"/>
      <c r="C462" s="167">
        <v>98</v>
      </c>
      <c r="D462" s="168" t="s">
        <v>832</v>
      </c>
      <c r="E462" s="169" t="s">
        <v>466</v>
      </c>
      <c r="F462" s="509">
        <v>519</v>
      </c>
      <c r="G462" s="509">
        <v>1950</v>
      </c>
      <c r="H462" s="665">
        <v>502</v>
      </c>
      <c r="I462" s="675"/>
      <c r="J462" s="169"/>
      <c r="K462" s="169"/>
      <c r="L462" s="169"/>
      <c r="M462" s="169"/>
      <c r="N462" s="638"/>
    </row>
    <row r="463" spans="1:14" s="60" customFormat="1" ht="16.5">
      <c r="A463" s="1044">
        <v>457</v>
      </c>
      <c r="B463" s="172"/>
      <c r="C463" s="167"/>
      <c r="D463" s="168" t="s">
        <v>1168</v>
      </c>
      <c r="E463" s="169"/>
      <c r="F463" s="509"/>
      <c r="G463" s="509"/>
      <c r="H463" s="665"/>
      <c r="I463" s="675">
        <f t="shared" si="10"/>
        <v>1970</v>
      </c>
      <c r="J463" s="170"/>
      <c r="K463" s="170"/>
      <c r="L463" s="170">
        <v>1970</v>
      </c>
      <c r="M463" s="170"/>
      <c r="N463" s="414"/>
    </row>
    <row r="464" spans="1:14" s="412" customFormat="1" ht="17.25">
      <c r="A464" s="1044">
        <v>458</v>
      </c>
      <c r="B464" s="174"/>
      <c r="C464" s="421"/>
      <c r="D464" s="415" t="s">
        <v>1170</v>
      </c>
      <c r="E464" s="416"/>
      <c r="F464" s="511"/>
      <c r="G464" s="511"/>
      <c r="H464" s="666"/>
      <c r="I464" s="676">
        <f t="shared" si="10"/>
        <v>0</v>
      </c>
      <c r="J464" s="417"/>
      <c r="K464" s="417"/>
      <c r="L464" s="417"/>
      <c r="M464" s="417"/>
      <c r="N464" s="418"/>
    </row>
    <row r="465" spans="1:14" s="59" customFormat="1" ht="17.25">
      <c r="A465" s="1044">
        <v>459</v>
      </c>
      <c r="B465" s="422"/>
      <c r="C465" s="423"/>
      <c r="D465" s="419" t="s">
        <v>1169</v>
      </c>
      <c r="E465" s="420"/>
      <c r="F465" s="510"/>
      <c r="G465" s="510"/>
      <c r="H465" s="667"/>
      <c r="I465" s="677">
        <f t="shared" si="10"/>
        <v>1970</v>
      </c>
      <c r="J465" s="510">
        <f>SUM(J463:J464)</f>
        <v>0</v>
      </c>
      <c r="K465" s="510">
        <f>SUM(K463:K464)</f>
        <v>0</v>
      </c>
      <c r="L465" s="510">
        <f>SUM(L463:L464)</f>
        <v>1970</v>
      </c>
      <c r="M465" s="510">
        <f>SUM(M463:M464)</f>
        <v>0</v>
      </c>
      <c r="N465" s="637">
        <f>SUM(N463:N464)</f>
        <v>0</v>
      </c>
    </row>
    <row r="466" spans="1:14" s="60" customFormat="1" ht="19.5" customHeight="1">
      <c r="A466" s="1044">
        <v>460</v>
      </c>
      <c r="B466" s="172"/>
      <c r="C466" s="167">
        <v>99</v>
      </c>
      <c r="D466" s="168" t="s">
        <v>617</v>
      </c>
      <c r="E466" s="169" t="s">
        <v>400</v>
      </c>
      <c r="F466" s="509"/>
      <c r="G466" s="509">
        <v>3286</v>
      </c>
      <c r="H466" s="665">
        <v>2659</v>
      </c>
      <c r="I466" s="675"/>
      <c r="J466" s="169"/>
      <c r="K466" s="169"/>
      <c r="L466" s="169"/>
      <c r="M466" s="169"/>
      <c r="N466" s="638"/>
    </row>
    <row r="467" spans="1:14" s="60" customFormat="1" ht="16.5">
      <c r="A467" s="1044">
        <v>461</v>
      </c>
      <c r="B467" s="172"/>
      <c r="C467" s="167"/>
      <c r="D467" s="168" t="s">
        <v>1168</v>
      </c>
      <c r="E467" s="169"/>
      <c r="F467" s="509"/>
      <c r="G467" s="509"/>
      <c r="H467" s="665"/>
      <c r="I467" s="675">
        <f t="shared" si="10"/>
        <v>5356</v>
      </c>
      <c r="J467" s="170"/>
      <c r="K467" s="170"/>
      <c r="L467" s="170">
        <v>5356</v>
      </c>
      <c r="M467" s="170"/>
      <c r="N467" s="414"/>
    </row>
    <row r="468" spans="1:14" s="412" customFormat="1" ht="17.25">
      <c r="A468" s="1044">
        <v>462</v>
      </c>
      <c r="B468" s="174"/>
      <c r="C468" s="421"/>
      <c r="D468" s="415" t="s">
        <v>618</v>
      </c>
      <c r="E468" s="416"/>
      <c r="F468" s="511"/>
      <c r="G468" s="511"/>
      <c r="H468" s="666"/>
      <c r="I468" s="676">
        <f t="shared" si="10"/>
        <v>415</v>
      </c>
      <c r="J468" s="417"/>
      <c r="K468" s="417"/>
      <c r="L468" s="417">
        <v>415</v>
      </c>
      <c r="M468" s="417"/>
      <c r="N468" s="418"/>
    </row>
    <row r="469" spans="1:14" s="59" customFormat="1" ht="17.25">
      <c r="A469" s="1044">
        <v>463</v>
      </c>
      <c r="B469" s="422"/>
      <c r="C469" s="423"/>
      <c r="D469" s="419" t="s">
        <v>1169</v>
      </c>
      <c r="E469" s="420"/>
      <c r="F469" s="510"/>
      <c r="G469" s="510"/>
      <c r="H469" s="667"/>
      <c r="I469" s="677">
        <f t="shared" si="10"/>
        <v>5771</v>
      </c>
      <c r="J469" s="510">
        <f>SUM(J467:J468)</f>
        <v>0</v>
      </c>
      <c r="K469" s="510">
        <f>SUM(K467:K468)</f>
        <v>0</v>
      </c>
      <c r="L469" s="510">
        <f>SUM(L467:L468)</f>
        <v>5771</v>
      </c>
      <c r="M469" s="510">
        <f>SUM(M467:M468)</f>
        <v>0</v>
      </c>
      <c r="N469" s="637">
        <f>SUM(N467:N468)</f>
        <v>0</v>
      </c>
    </row>
    <row r="470" spans="1:14" s="60" customFormat="1" ht="19.5" customHeight="1">
      <c r="A470" s="1044">
        <v>464</v>
      </c>
      <c r="B470" s="172"/>
      <c r="C470" s="167">
        <v>100</v>
      </c>
      <c r="D470" s="168" t="s">
        <v>836</v>
      </c>
      <c r="E470" s="169" t="s">
        <v>400</v>
      </c>
      <c r="F470" s="509">
        <v>6278</v>
      </c>
      <c r="G470" s="509">
        <v>9000</v>
      </c>
      <c r="H470" s="665">
        <v>5904</v>
      </c>
      <c r="I470" s="675"/>
      <c r="J470" s="169"/>
      <c r="K470" s="169"/>
      <c r="L470" s="169"/>
      <c r="M470" s="169"/>
      <c r="N470" s="638"/>
    </row>
    <row r="471" spans="1:14" s="60" customFormat="1" ht="16.5">
      <c r="A471" s="1044">
        <v>465</v>
      </c>
      <c r="B471" s="172"/>
      <c r="C471" s="167"/>
      <c r="D471" s="168" t="s">
        <v>1168</v>
      </c>
      <c r="E471" s="169"/>
      <c r="F471" s="509"/>
      <c r="G471" s="509"/>
      <c r="H471" s="665"/>
      <c r="I471" s="675">
        <f t="shared" si="10"/>
        <v>9000</v>
      </c>
      <c r="J471" s="170"/>
      <c r="K471" s="170"/>
      <c r="L471" s="170">
        <v>9000</v>
      </c>
      <c r="M471" s="170"/>
      <c r="N471" s="414"/>
    </row>
    <row r="472" spans="1:14" s="412" customFormat="1" ht="17.25">
      <c r="A472" s="1044">
        <v>466</v>
      </c>
      <c r="B472" s="174"/>
      <c r="C472" s="421"/>
      <c r="D472" s="415" t="s">
        <v>618</v>
      </c>
      <c r="E472" s="416"/>
      <c r="F472" s="511"/>
      <c r="G472" s="511"/>
      <c r="H472" s="666"/>
      <c r="I472" s="676">
        <f aca="true" t="shared" si="14" ref="I472:I572">SUM(J472:N472)</f>
        <v>3096</v>
      </c>
      <c r="J472" s="417"/>
      <c r="K472" s="417"/>
      <c r="L472" s="417">
        <v>3096</v>
      </c>
      <c r="M472" s="417"/>
      <c r="N472" s="418"/>
    </row>
    <row r="473" spans="1:14" s="59" customFormat="1" ht="17.25">
      <c r="A473" s="1044">
        <v>467</v>
      </c>
      <c r="B473" s="422"/>
      <c r="C473" s="423"/>
      <c r="D473" s="419" t="s">
        <v>1169</v>
      </c>
      <c r="E473" s="420"/>
      <c r="F473" s="510"/>
      <c r="G473" s="510"/>
      <c r="H473" s="667"/>
      <c r="I473" s="677">
        <f t="shared" si="14"/>
        <v>12096</v>
      </c>
      <c r="J473" s="510">
        <f>SUM(J471:J472)</f>
        <v>0</v>
      </c>
      <c r="K473" s="510">
        <f>SUM(K471:K472)</f>
        <v>0</v>
      </c>
      <c r="L473" s="510">
        <f>SUM(L471:L472)</f>
        <v>12096</v>
      </c>
      <c r="M473" s="510">
        <f>SUM(M471:M472)</f>
        <v>0</v>
      </c>
      <c r="N473" s="637">
        <f>SUM(N471:N472)</f>
        <v>0</v>
      </c>
    </row>
    <row r="474" spans="1:14" s="60" customFormat="1" ht="19.5" customHeight="1">
      <c r="A474" s="1044">
        <v>468</v>
      </c>
      <c r="B474" s="172"/>
      <c r="C474" s="167">
        <v>101</v>
      </c>
      <c r="D474" s="168" t="s">
        <v>898</v>
      </c>
      <c r="E474" s="169" t="s">
        <v>400</v>
      </c>
      <c r="F474" s="509"/>
      <c r="G474" s="509">
        <v>3000</v>
      </c>
      <c r="H474" s="665">
        <v>2010</v>
      </c>
      <c r="I474" s="675"/>
      <c r="J474" s="169"/>
      <c r="K474" s="169"/>
      <c r="L474" s="169"/>
      <c r="M474" s="169"/>
      <c r="N474" s="638"/>
    </row>
    <row r="475" spans="1:14" s="60" customFormat="1" ht="16.5">
      <c r="A475" s="1044">
        <v>469</v>
      </c>
      <c r="B475" s="172"/>
      <c r="C475" s="167"/>
      <c r="D475" s="168" t="s">
        <v>1168</v>
      </c>
      <c r="E475" s="169"/>
      <c r="F475" s="509"/>
      <c r="G475" s="509"/>
      <c r="H475" s="665"/>
      <c r="I475" s="675">
        <f t="shared" si="14"/>
        <v>3000</v>
      </c>
      <c r="J475" s="170"/>
      <c r="K475" s="170"/>
      <c r="L475" s="170"/>
      <c r="M475" s="170"/>
      <c r="N475" s="414">
        <v>3000</v>
      </c>
    </row>
    <row r="476" spans="1:14" s="412" customFormat="1" ht="17.25">
      <c r="A476" s="1044">
        <v>470</v>
      </c>
      <c r="B476" s="174"/>
      <c r="C476" s="421"/>
      <c r="D476" s="415" t="s">
        <v>1170</v>
      </c>
      <c r="E476" s="416"/>
      <c r="F476" s="511"/>
      <c r="G476" s="511"/>
      <c r="H476" s="666"/>
      <c r="I476" s="676">
        <f t="shared" si="14"/>
        <v>0</v>
      </c>
      <c r="J476" s="417"/>
      <c r="K476" s="417"/>
      <c r="L476" s="417"/>
      <c r="M476" s="417"/>
      <c r="N476" s="418"/>
    </row>
    <row r="477" spans="1:14" s="59" customFormat="1" ht="17.25">
      <c r="A477" s="1044">
        <v>471</v>
      </c>
      <c r="B477" s="422"/>
      <c r="C477" s="423"/>
      <c r="D477" s="419" t="s">
        <v>1169</v>
      </c>
      <c r="E477" s="420"/>
      <c r="F477" s="510"/>
      <c r="G477" s="510"/>
      <c r="H477" s="667"/>
      <c r="I477" s="677">
        <f t="shared" si="14"/>
        <v>3000</v>
      </c>
      <c r="J477" s="510">
        <f>SUM(J475:J476)</f>
        <v>0</v>
      </c>
      <c r="K477" s="510">
        <f>SUM(K475:K476)</f>
        <v>0</v>
      </c>
      <c r="L477" s="510">
        <f>SUM(L475:L476)</f>
        <v>0</v>
      </c>
      <c r="M477" s="510">
        <f>SUM(M475:M476)</f>
        <v>0</v>
      </c>
      <c r="N477" s="637">
        <f>SUM(N475:N476)</f>
        <v>3000</v>
      </c>
    </row>
    <row r="478" spans="1:14" s="60" customFormat="1" ht="19.5" customHeight="1">
      <c r="A478" s="1044">
        <v>472</v>
      </c>
      <c r="B478" s="172"/>
      <c r="C478" s="167">
        <v>102</v>
      </c>
      <c r="D478" s="168" t="s">
        <v>527</v>
      </c>
      <c r="E478" s="169" t="s">
        <v>466</v>
      </c>
      <c r="F478" s="509">
        <f>SUM(F482:F498)</f>
        <v>3250</v>
      </c>
      <c r="G478" s="509">
        <f>SUM(G482:G498)</f>
        <v>3250</v>
      </c>
      <c r="H478" s="665">
        <f>SUM(H482:H498)</f>
        <v>3250</v>
      </c>
      <c r="I478" s="675"/>
      <c r="J478" s="169"/>
      <c r="K478" s="169"/>
      <c r="L478" s="169"/>
      <c r="M478" s="169"/>
      <c r="N478" s="638"/>
    </row>
    <row r="479" spans="1:14" s="60" customFormat="1" ht="16.5">
      <c r="A479" s="1044">
        <v>473</v>
      </c>
      <c r="B479" s="172"/>
      <c r="C479" s="167"/>
      <c r="D479" s="168" t="s">
        <v>1168</v>
      </c>
      <c r="E479" s="169"/>
      <c r="F479" s="509"/>
      <c r="G479" s="509"/>
      <c r="H479" s="665"/>
      <c r="I479" s="675">
        <f t="shared" si="14"/>
        <v>3250</v>
      </c>
      <c r="J479" s="509">
        <f aca="true" t="shared" si="15" ref="J479:N480">SUM(J483,J487,J491,J495,J499)</f>
        <v>0</v>
      </c>
      <c r="K479" s="509">
        <f t="shared" si="15"/>
        <v>0</v>
      </c>
      <c r="L479" s="509">
        <f t="shared" si="15"/>
        <v>0</v>
      </c>
      <c r="M479" s="509">
        <f t="shared" si="15"/>
        <v>0</v>
      </c>
      <c r="N479" s="634">
        <f t="shared" si="15"/>
        <v>3250</v>
      </c>
    </row>
    <row r="480" spans="1:14" s="412" customFormat="1" ht="17.25">
      <c r="A480" s="1044">
        <v>474</v>
      </c>
      <c r="B480" s="174"/>
      <c r="C480" s="421"/>
      <c r="D480" s="415" t="s">
        <v>1170</v>
      </c>
      <c r="E480" s="416"/>
      <c r="F480" s="511"/>
      <c r="G480" s="511"/>
      <c r="H480" s="666"/>
      <c r="I480" s="676">
        <f t="shared" si="14"/>
        <v>0</v>
      </c>
      <c r="J480" s="511">
        <f t="shared" si="15"/>
        <v>0</v>
      </c>
      <c r="K480" s="511">
        <f t="shared" si="15"/>
        <v>0</v>
      </c>
      <c r="L480" s="511">
        <f t="shared" si="15"/>
        <v>0</v>
      </c>
      <c r="M480" s="511">
        <f t="shared" si="15"/>
        <v>0</v>
      </c>
      <c r="N480" s="635">
        <f t="shared" si="15"/>
        <v>0</v>
      </c>
    </row>
    <row r="481" spans="1:14" s="59" customFormat="1" ht="17.25">
      <c r="A481" s="1044">
        <v>475</v>
      </c>
      <c r="B481" s="422"/>
      <c r="C481" s="423"/>
      <c r="D481" s="419" t="s">
        <v>1169</v>
      </c>
      <c r="E481" s="420"/>
      <c r="F481" s="510"/>
      <c r="G481" s="510"/>
      <c r="H481" s="667"/>
      <c r="I481" s="677">
        <f t="shared" si="14"/>
        <v>3250</v>
      </c>
      <c r="J481" s="510">
        <f>SUM(J479:J480)</f>
        <v>0</v>
      </c>
      <c r="K481" s="510">
        <f>SUM(K479:K480)</f>
        <v>0</v>
      </c>
      <c r="L481" s="510">
        <f>SUM(L479:L480)</f>
        <v>0</v>
      </c>
      <c r="M481" s="510">
        <f>SUM(M479:M480)</f>
        <v>0</v>
      </c>
      <c r="N481" s="637">
        <f>SUM(N479:N480)</f>
        <v>3250</v>
      </c>
    </row>
    <row r="482" spans="1:14" s="60" customFormat="1" ht="17.25">
      <c r="A482" s="1044">
        <v>476</v>
      </c>
      <c r="B482" s="174"/>
      <c r="C482" s="167"/>
      <c r="D482" s="628" t="s">
        <v>908</v>
      </c>
      <c r="E482" s="416"/>
      <c r="F482" s="511">
        <v>650</v>
      </c>
      <c r="G482" s="511">
        <v>650</v>
      </c>
      <c r="H482" s="666">
        <v>650</v>
      </c>
      <c r="I482" s="676"/>
      <c r="J482" s="417"/>
      <c r="K482" s="417"/>
      <c r="L482" s="417"/>
      <c r="M482" s="417"/>
      <c r="N482" s="418"/>
    </row>
    <row r="483" spans="1:14" s="60" customFormat="1" ht="17.25">
      <c r="A483" s="1044">
        <v>477</v>
      </c>
      <c r="B483" s="172"/>
      <c r="C483" s="167"/>
      <c r="D483" s="629" t="s">
        <v>1168</v>
      </c>
      <c r="E483" s="416"/>
      <c r="F483" s="511"/>
      <c r="G483" s="511"/>
      <c r="H483" s="666"/>
      <c r="I483" s="676">
        <f t="shared" si="14"/>
        <v>650</v>
      </c>
      <c r="J483" s="417"/>
      <c r="K483" s="417"/>
      <c r="L483" s="417"/>
      <c r="M483" s="417"/>
      <c r="N483" s="418">
        <v>650</v>
      </c>
    </row>
    <row r="484" spans="1:14" s="412" customFormat="1" ht="17.25">
      <c r="A484" s="1044">
        <v>478</v>
      </c>
      <c r="B484" s="174"/>
      <c r="C484" s="421"/>
      <c r="D484" s="628" t="s">
        <v>1170</v>
      </c>
      <c r="E484" s="416"/>
      <c r="F484" s="511"/>
      <c r="G484" s="511"/>
      <c r="H484" s="666"/>
      <c r="I484" s="676">
        <f t="shared" si="14"/>
        <v>0</v>
      </c>
      <c r="J484" s="417"/>
      <c r="K484" s="417"/>
      <c r="L484" s="417"/>
      <c r="M484" s="417"/>
      <c r="N484" s="418"/>
    </row>
    <row r="485" spans="1:14" s="59" customFormat="1" ht="17.25">
      <c r="A485" s="1044">
        <v>479</v>
      </c>
      <c r="B485" s="422"/>
      <c r="C485" s="423"/>
      <c r="D485" s="630" t="s">
        <v>1169</v>
      </c>
      <c r="E485" s="633"/>
      <c r="F485" s="512"/>
      <c r="G485" s="512"/>
      <c r="H485" s="668"/>
      <c r="I485" s="678">
        <f t="shared" si="14"/>
        <v>650</v>
      </c>
      <c r="J485" s="512">
        <f>SUM(J483:J484)</f>
        <v>0</v>
      </c>
      <c r="K485" s="512">
        <f>SUM(K483:K484)</f>
        <v>0</v>
      </c>
      <c r="L485" s="512">
        <f>SUM(L483:L484)</f>
        <v>0</v>
      </c>
      <c r="M485" s="512">
        <f>SUM(M483:M484)</f>
        <v>0</v>
      </c>
      <c r="N485" s="639">
        <f>SUM(N483:N484)</f>
        <v>650</v>
      </c>
    </row>
    <row r="486" spans="1:14" s="60" customFormat="1" ht="17.25">
      <c r="A486" s="1044">
        <v>480</v>
      </c>
      <c r="B486" s="174"/>
      <c r="C486" s="167"/>
      <c r="D486" s="628" t="s">
        <v>528</v>
      </c>
      <c r="E486" s="416"/>
      <c r="F486" s="511">
        <v>650</v>
      </c>
      <c r="G486" s="511">
        <v>650</v>
      </c>
      <c r="H486" s="666">
        <v>650</v>
      </c>
      <c r="I486" s="676"/>
      <c r="J486" s="417"/>
      <c r="K486" s="417"/>
      <c r="L486" s="417"/>
      <c r="M486" s="417"/>
      <c r="N486" s="418"/>
    </row>
    <row r="487" spans="1:14" s="60" customFormat="1" ht="17.25">
      <c r="A487" s="1044">
        <v>481</v>
      </c>
      <c r="B487" s="172"/>
      <c r="C487" s="167"/>
      <c r="D487" s="629" t="s">
        <v>1168</v>
      </c>
      <c r="E487" s="416"/>
      <c r="F487" s="511"/>
      <c r="G487" s="511"/>
      <c r="H487" s="666"/>
      <c r="I487" s="676">
        <f t="shared" si="14"/>
        <v>650</v>
      </c>
      <c r="J487" s="417"/>
      <c r="K487" s="417"/>
      <c r="L487" s="417"/>
      <c r="M487" s="417"/>
      <c r="N487" s="418">
        <v>650</v>
      </c>
    </row>
    <row r="488" spans="1:14" s="412" customFormat="1" ht="17.25">
      <c r="A488" s="1044">
        <v>482</v>
      </c>
      <c r="B488" s="174"/>
      <c r="C488" s="421"/>
      <c r="D488" s="628" t="s">
        <v>1170</v>
      </c>
      <c r="E488" s="416"/>
      <c r="F488" s="511"/>
      <c r="G488" s="511"/>
      <c r="H488" s="666"/>
      <c r="I488" s="676">
        <f t="shared" si="14"/>
        <v>0</v>
      </c>
      <c r="J488" s="417"/>
      <c r="K488" s="417"/>
      <c r="L488" s="417"/>
      <c r="M488" s="417"/>
      <c r="N488" s="418"/>
    </row>
    <row r="489" spans="1:14" s="59" customFormat="1" ht="17.25">
      <c r="A489" s="1044">
        <v>483</v>
      </c>
      <c r="B489" s="422"/>
      <c r="C489" s="423"/>
      <c r="D489" s="630" t="s">
        <v>1169</v>
      </c>
      <c r="E489" s="633"/>
      <c r="F489" s="512"/>
      <c r="G489" s="512"/>
      <c r="H489" s="668"/>
      <c r="I489" s="678">
        <f t="shared" si="14"/>
        <v>650</v>
      </c>
      <c r="J489" s="512">
        <f>SUM(J487:J488)</f>
        <v>0</v>
      </c>
      <c r="K489" s="512">
        <f>SUM(K487:K488)</f>
        <v>0</v>
      </c>
      <c r="L489" s="512">
        <f>SUM(L487:L488)</f>
        <v>0</v>
      </c>
      <c r="M489" s="512">
        <f>SUM(M487:M488)</f>
        <v>0</v>
      </c>
      <c r="N489" s="639">
        <f>SUM(N487:N488)</f>
        <v>650</v>
      </c>
    </row>
    <row r="490" spans="1:14" s="60" customFormat="1" ht="17.25">
      <c r="A490" s="1044">
        <v>484</v>
      </c>
      <c r="B490" s="174"/>
      <c r="C490" s="167"/>
      <c r="D490" s="628" t="s">
        <v>529</v>
      </c>
      <c r="E490" s="416"/>
      <c r="F490" s="511">
        <v>650</v>
      </c>
      <c r="G490" s="511">
        <v>650</v>
      </c>
      <c r="H490" s="666">
        <v>650</v>
      </c>
      <c r="I490" s="676"/>
      <c r="J490" s="417"/>
      <c r="K490" s="417"/>
      <c r="L490" s="417"/>
      <c r="M490" s="417"/>
      <c r="N490" s="418"/>
    </row>
    <row r="491" spans="1:14" s="60" customFormat="1" ht="17.25">
      <c r="A491" s="1044">
        <v>485</v>
      </c>
      <c r="B491" s="172"/>
      <c r="C491" s="167"/>
      <c r="D491" s="629" t="s">
        <v>1168</v>
      </c>
      <c r="E491" s="416"/>
      <c r="F491" s="511"/>
      <c r="G491" s="511"/>
      <c r="H491" s="666"/>
      <c r="I491" s="676">
        <f t="shared" si="14"/>
        <v>650</v>
      </c>
      <c r="J491" s="417"/>
      <c r="K491" s="417"/>
      <c r="L491" s="417"/>
      <c r="M491" s="417"/>
      <c r="N491" s="418">
        <v>650</v>
      </c>
    </row>
    <row r="492" spans="1:14" s="412" customFormat="1" ht="17.25">
      <c r="A492" s="1044">
        <v>486</v>
      </c>
      <c r="B492" s="174"/>
      <c r="C492" s="421"/>
      <c r="D492" s="628" t="s">
        <v>1170</v>
      </c>
      <c r="E492" s="416"/>
      <c r="F492" s="511"/>
      <c r="G492" s="511"/>
      <c r="H492" s="666"/>
      <c r="I492" s="676">
        <f t="shared" si="14"/>
        <v>0</v>
      </c>
      <c r="J492" s="417"/>
      <c r="K492" s="417"/>
      <c r="L492" s="417"/>
      <c r="M492" s="417"/>
      <c r="N492" s="418"/>
    </row>
    <row r="493" spans="1:14" s="59" customFormat="1" ht="17.25">
      <c r="A493" s="1044">
        <v>487</v>
      </c>
      <c r="B493" s="422"/>
      <c r="C493" s="423"/>
      <c r="D493" s="630" t="s">
        <v>1169</v>
      </c>
      <c r="E493" s="633"/>
      <c r="F493" s="512"/>
      <c r="G493" s="512"/>
      <c r="H493" s="668"/>
      <c r="I493" s="678">
        <f t="shared" si="14"/>
        <v>650</v>
      </c>
      <c r="J493" s="512">
        <f>SUM(J491:J492)</f>
        <v>0</v>
      </c>
      <c r="K493" s="512">
        <f>SUM(K491:K492)</f>
        <v>0</v>
      </c>
      <c r="L493" s="512">
        <f>SUM(L491:L492)</f>
        <v>0</v>
      </c>
      <c r="M493" s="512">
        <f>SUM(M491:M492)</f>
        <v>0</v>
      </c>
      <c r="N493" s="639">
        <f>SUM(N491:N492)</f>
        <v>650</v>
      </c>
    </row>
    <row r="494" spans="1:14" s="60" customFormat="1" ht="17.25">
      <c r="A494" s="1044">
        <v>488</v>
      </c>
      <c r="B494" s="174"/>
      <c r="C494" s="167"/>
      <c r="D494" s="628" t="s">
        <v>530</v>
      </c>
      <c r="E494" s="416"/>
      <c r="F494" s="511">
        <v>650</v>
      </c>
      <c r="G494" s="511">
        <v>650</v>
      </c>
      <c r="H494" s="666">
        <v>650</v>
      </c>
      <c r="I494" s="676"/>
      <c r="J494" s="417"/>
      <c r="K494" s="417"/>
      <c r="L494" s="417"/>
      <c r="M494" s="417"/>
      <c r="N494" s="418"/>
    </row>
    <row r="495" spans="1:14" s="60" customFormat="1" ht="17.25">
      <c r="A495" s="1044">
        <v>489</v>
      </c>
      <c r="B495" s="172"/>
      <c r="C495" s="167"/>
      <c r="D495" s="629" t="s">
        <v>1168</v>
      </c>
      <c r="E495" s="416"/>
      <c r="F495" s="511"/>
      <c r="G495" s="511"/>
      <c r="H495" s="666"/>
      <c r="I495" s="676">
        <f t="shared" si="14"/>
        <v>650</v>
      </c>
      <c r="J495" s="417"/>
      <c r="K495" s="417"/>
      <c r="L495" s="417"/>
      <c r="M495" s="417"/>
      <c r="N495" s="418">
        <v>650</v>
      </c>
    </row>
    <row r="496" spans="1:14" s="412" customFormat="1" ht="17.25">
      <c r="A496" s="1044">
        <v>490</v>
      </c>
      <c r="B496" s="174"/>
      <c r="C496" s="421"/>
      <c r="D496" s="628" t="s">
        <v>1170</v>
      </c>
      <c r="E496" s="416"/>
      <c r="F496" s="511"/>
      <c r="G496" s="511"/>
      <c r="H496" s="666"/>
      <c r="I496" s="676">
        <f t="shared" si="14"/>
        <v>0</v>
      </c>
      <c r="J496" s="417"/>
      <c r="K496" s="417"/>
      <c r="L496" s="417"/>
      <c r="M496" s="417"/>
      <c r="N496" s="418"/>
    </row>
    <row r="497" spans="1:14" s="59" customFormat="1" ht="17.25">
      <c r="A497" s="1044">
        <v>491</v>
      </c>
      <c r="B497" s="422"/>
      <c r="C497" s="423"/>
      <c r="D497" s="630" t="s">
        <v>1169</v>
      </c>
      <c r="E497" s="633"/>
      <c r="F497" s="512"/>
      <c r="G497" s="512"/>
      <c r="H497" s="668"/>
      <c r="I497" s="678">
        <f t="shared" si="14"/>
        <v>650</v>
      </c>
      <c r="J497" s="512">
        <f>SUM(J495:J496)</f>
        <v>0</v>
      </c>
      <c r="K497" s="512">
        <f>SUM(K495:K496)</f>
        <v>0</v>
      </c>
      <c r="L497" s="512">
        <f>SUM(L495:L496)</f>
        <v>0</v>
      </c>
      <c r="M497" s="512">
        <f>SUM(M495:M496)</f>
        <v>0</v>
      </c>
      <c r="N497" s="639">
        <f>SUM(N495:N496)</f>
        <v>650</v>
      </c>
    </row>
    <row r="498" spans="1:14" s="60" customFormat="1" ht="17.25">
      <c r="A498" s="1044">
        <v>492</v>
      </c>
      <c r="B498" s="174"/>
      <c r="C498" s="167"/>
      <c r="D498" s="628" t="s">
        <v>532</v>
      </c>
      <c r="E498" s="416"/>
      <c r="F498" s="511">
        <v>650</v>
      </c>
      <c r="G498" s="511">
        <v>650</v>
      </c>
      <c r="H498" s="666">
        <v>650</v>
      </c>
      <c r="I498" s="676"/>
      <c r="J498" s="417"/>
      <c r="K498" s="417"/>
      <c r="L498" s="417"/>
      <c r="M498" s="417"/>
      <c r="N498" s="418"/>
    </row>
    <row r="499" spans="1:14" s="60" customFormat="1" ht="17.25">
      <c r="A499" s="1044">
        <v>493</v>
      </c>
      <c r="B499" s="172"/>
      <c r="C499" s="167"/>
      <c r="D499" s="629" t="s">
        <v>1168</v>
      </c>
      <c r="E499" s="416"/>
      <c r="F499" s="511"/>
      <c r="G499" s="511"/>
      <c r="H499" s="666"/>
      <c r="I499" s="676">
        <f t="shared" si="14"/>
        <v>650</v>
      </c>
      <c r="J499" s="417"/>
      <c r="K499" s="417"/>
      <c r="L499" s="417"/>
      <c r="M499" s="417"/>
      <c r="N499" s="418">
        <v>650</v>
      </c>
    </row>
    <row r="500" spans="1:14" s="412" customFormat="1" ht="17.25">
      <c r="A500" s="1044">
        <v>494</v>
      </c>
      <c r="B500" s="174"/>
      <c r="C500" s="421"/>
      <c r="D500" s="628" t="s">
        <v>1170</v>
      </c>
      <c r="E500" s="416"/>
      <c r="F500" s="511"/>
      <c r="G500" s="511"/>
      <c r="H500" s="666"/>
      <c r="I500" s="676">
        <f t="shared" si="14"/>
        <v>0</v>
      </c>
      <c r="J500" s="417"/>
      <c r="K500" s="417"/>
      <c r="L500" s="417"/>
      <c r="M500" s="417"/>
      <c r="N500" s="418"/>
    </row>
    <row r="501" spans="1:14" s="59" customFormat="1" ht="17.25">
      <c r="A501" s="1044">
        <v>495</v>
      </c>
      <c r="B501" s="422"/>
      <c r="C501" s="423"/>
      <c r="D501" s="630" t="s">
        <v>1169</v>
      </c>
      <c r="E501" s="633"/>
      <c r="F501" s="512"/>
      <c r="G501" s="512"/>
      <c r="H501" s="668"/>
      <c r="I501" s="678">
        <f t="shared" si="14"/>
        <v>650</v>
      </c>
      <c r="J501" s="512">
        <f>SUM(J499:J500)</f>
        <v>0</v>
      </c>
      <c r="K501" s="512">
        <f>SUM(K499:K500)</f>
        <v>0</v>
      </c>
      <c r="L501" s="512">
        <f>SUM(L499:L500)</f>
        <v>0</v>
      </c>
      <c r="M501" s="512">
        <f>SUM(M499:M500)</f>
        <v>0</v>
      </c>
      <c r="N501" s="639">
        <f>SUM(N499:N500)</f>
        <v>650</v>
      </c>
    </row>
    <row r="502" spans="1:14" s="60" customFormat="1" ht="19.5" customHeight="1">
      <c r="A502" s="1044">
        <v>496</v>
      </c>
      <c r="B502" s="172"/>
      <c r="C502" s="167">
        <v>103</v>
      </c>
      <c r="D502" s="168" t="s">
        <v>901</v>
      </c>
      <c r="E502" s="169" t="s">
        <v>400</v>
      </c>
      <c r="F502" s="509"/>
      <c r="G502" s="509">
        <v>4747</v>
      </c>
      <c r="H502" s="665"/>
      <c r="I502" s="675"/>
      <c r="J502" s="169"/>
      <c r="K502" s="169"/>
      <c r="L502" s="169"/>
      <c r="M502" s="169"/>
      <c r="N502" s="638"/>
    </row>
    <row r="503" spans="1:14" s="60" customFormat="1" ht="16.5">
      <c r="A503" s="1044">
        <v>497</v>
      </c>
      <c r="B503" s="172"/>
      <c r="C503" s="167"/>
      <c r="D503" s="168" t="s">
        <v>1168</v>
      </c>
      <c r="E503" s="169"/>
      <c r="F503" s="509"/>
      <c r="G503" s="509"/>
      <c r="H503" s="665"/>
      <c r="I503" s="675">
        <f t="shared" si="14"/>
        <v>4747</v>
      </c>
      <c r="J503" s="170"/>
      <c r="K503" s="170"/>
      <c r="L503" s="170">
        <v>4747</v>
      </c>
      <c r="M503" s="170"/>
      <c r="N503" s="414"/>
    </row>
    <row r="504" spans="1:14" s="412" customFormat="1" ht="17.25">
      <c r="A504" s="1044">
        <v>498</v>
      </c>
      <c r="B504" s="174"/>
      <c r="C504" s="421"/>
      <c r="D504" s="415" t="s">
        <v>618</v>
      </c>
      <c r="E504" s="416"/>
      <c r="F504" s="511"/>
      <c r="G504" s="511"/>
      <c r="H504" s="666"/>
      <c r="I504" s="676">
        <f t="shared" si="14"/>
        <v>1187</v>
      </c>
      <c r="J504" s="417"/>
      <c r="K504" s="417"/>
      <c r="L504" s="417">
        <v>1187</v>
      </c>
      <c r="M504" s="417"/>
      <c r="N504" s="418"/>
    </row>
    <row r="505" spans="1:14" s="59" customFormat="1" ht="17.25">
      <c r="A505" s="1044">
        <v>499</v>
      </c>
      <c r="B505" s="422"/>
      <c r="C505" s="423"/>
      <c r="D505" s="419" t="s">
        <v>1169</v>
      </c>
      <c r="E505" s="420"/>
      <c r="F505" s="510"/>
      <c r="G505" s="510"/>
      <c r="H505" s="667"/>
      <c r="I505" s="677">
        <f t="shared" si="14"/>
        <v>5934</v>
      </c>
      <c r="J505" s="510">
        <f>SUM(J503:J504)</f>
        <v>0</v>
      </c>
      <c r="K505" s="510">
        <f>SUM(K503:K504)</f>
        <v>0</v>
      </c>
      <c r="L505" s="510">
        <f>SUM(L503:L504)</f>
        <v>5934</v>
      </c>
      <c r="M505" s="510">
        <f>SUM(M503:M504)</f>
        <v>0</v>
      </c>
      <c r="N505" s="637">
        <f>SUM(N503:N504)</f>
        <v>0</v>
      </c>
    </row>
    <row r="506" spans="1:14" s="60" customFormat="1" ht="39.75" customHeight="1">
      <c r="A506" s="1044">
        <v>500</v>
      </c>
      <c r="B506" s="173"/>
      <c r="C506" s="631">
        <v>104</v>
      </c>
      <c r="D506" s="612" t="s">
        <v>902</v>
      </c>
      <c r="E506" s="169" t="s">
        <v>400</v>
      </c>
      <c r="F506" s="509"/>
      <c r="G506" s="509">
        <v>40680</v>
      </c>
      <c r="H506" s="665"/>
      <c r="I506" s="675"/>
      <c r="J506" s="169"/>
      <c r="K506" s="169"/>
      <c r="L506" s="169"/>
      <c r="M506" s="169"/>
      <c r="N506" s="638"/>
    </row>
    <row r="507" spans="1:14" s="60" customFormat="1" ht="16.5">
      <c r="A507" s="1044">
        <v>501</v>
      </c>
      <c r="B507" s="172"/>
      <c r="C507" s="167"/>
      <c r="D507" s="168" t="s">
        <v>1168</v>
      </c>
      <c r="E507" s="169"/>
      <c r="F507" s="509"/>
      <c r="G507" s="509"/>
      <c r="H507" s="665"/>
      <c r="I507" s="675">
        <f t="shared" si="14"/>
        <v>16410</v>
      </c>
      <c r="J507" s="170"/>
      <c r="K507" s="170"/>
      <c r="L507" s="170">
        <v>16410</v>
      </c>
      <c r="M507" s="170"/>
      <c r="N507" s="414"/>
    </row>
    <row r="508" spans="1:14" s="412" customFormat="1" ht="17.25">
      <c r="A508" s="1044">
        <v>502</v>
      </c>
      <c r="B508" s="174"/>
      <c r="C508" s="421"/>
      <c r="D508" s="415" t="s">
        <v>729</v>
      </c>
      <c r="E508" s="416"/>
      <c r="F508" s="511"/>
      <c r="G508" s="511"/>
      <c r="H508" s="666"/>
      <c r="I508" s="676">
        <f t="shared" si="14"/>
        <v>-16410</v>
      </c>
      <c r="J508" s="417"/>
      <c r="K508" s="417"/>
      <c r="L508" s="417">
        <v>-16410</v>
      </c>
      <c r="M508" s="417"/>
      <c r="N508" s="418"/>
    </row>
    <row r="509" spans="1:14" s="59" customFormat="1" ht="17.25">
      <c r="A509" s="1044">
        <v>503</v>
      </c>
      <c r="B509" s="422"/>
      <c r="C509" s="423"/>
      <c r="D509" s="419" t="s">
        <v>1169</v>
      </c>
      <c r="E509" s="420"/>
      <c r="F509" s="510"/>
      <c r="G509" s="510"/>
      <c r="H509" s="667"/>
      <c r="I509" s="677">
        <f t="shared" si="14"/>
        <v>0</v>
      </c>
      <c r="J509" s="510">
        <f>SUM(J507:J508)</f>
        <v>0</v>
      </c>
      <c r="K509" s="510">
        <f>SUM(K507:K508)</f>
        <v>0</v>
      </c>
      <c r="L509" s="510">
        <f>SUM(L507:L508)</f>
        <v>0</v>
      </c>
      <c r="M509" s="510">
        <f>SUM(M507:M508)</f>
        <v>0</v>
      </c>
      <c r="N509" s="637">
        <f>SUM(N507:N508)</f>
        <v>0</v>
      </c>
    </row>
    <row r="510" spans="1:14" s="60" customFormat="1" ht="39.75" customHeight="1">
      <c r="A510" s="1044">
        <v>504</v>
      </c>
      <c r="B510" s="173"/>
      <c r="C510" s="631">
        <v>105</v>
      </c>
      <c r="D510" s="612" t="s">
        <v>904</v>
      </c>
      <c r="E510" s="169" t="s">
        <v>400</v>
      </c>
      <c r="F510" s="509"/>
      <c r="G510" s="509">
        <v>155214</v>
      </c>
      <c r="H510" s="665">
        <v>6133</v>
      </c>
      <c r="I510" s="675"/>
      <c r="J510" s="169"/>
      <c r="K510" s="169"/>
      <c r="L510" s="169"/>
      <c r="M510" s="169"/>
      <c r="N510" s="638"/>
    </row>
    <row r="511" spans="1:14" s="60" customFormat="1" ht="16.5">
      <c r="A511" s="1044">
        <v>505</v>
      </c>
      <c r="B511" s="172"/>
      <c r="C511" s="167"/>
      <c r="D511" s="168" t="s">
        <v>1168</v>
      </c>
      <c r="E511" s="169"/>
      <c r="F511" s="509"/>
      <c r="G511" s="509"/>
      <c r="H511" s="665"/>
      <c r="I511" s="675">
        <f t="shared" si="14"/>
        <v>56542</v>
      </c>
      <c r="J511" s="170"/>
      <c r="K511" s="170"/>
      <c r="L511" s="170">
        <v>56542</v>
      </c>
      <c r="M511" s="170"/>
      <c r="N511" s="414"/>
    </row>
    <row r="512" spans="1:14" s="412" customFormat="1" ht="17.25">
      <c r="A512" s="1044">
        <v>506</v>
      </c>
      <c r="B512" s="174"/>
      <c r="C512" s="421"/>
      <c r="D512" s="415" t="s">
        <v>618</v>
      </c>
      <c r="E512" s="416"/>
      <c r="F512" s="511"/>
      <c r="G512" s="511"/>
      <c r="H512" s="666"/>
      <c r="I512" s="676">
        <f t="shared" si="14"/>
        <v>135122</v>
      </c>
      <c r="J512" s="417"/>
      <c r="K512" s="417"/>
      <c r="L512" s="417">
        <v>135122</v>
      </c>
      <c r="M512" s="417"/>
      <c r="N512" s="418"/>
    </row>
    <row r="513" spans="1:14" s="59" customFormat="1" ht="17.25">
      <c r="A513" s="1044">
        <v>507</v>
      </c>
      <c r="B513" s="422"/>
      <c r="C513" s="423"/>
      <c r="D513" s="419" t="s">
        <v>1169</v>
      </c>
      <c r="E513" s="420"/>
      <c r="F513" s="510"/>
      <c r="G513" s="510"/>
      <c r="H513" s="667"/>
      <c r="I513" s="677">
        <f t="shared" si="14"/>
        <v>191664</v>
      </c>
      <c r="J513" s="510">
        <f>SUM(J511:J512)</f>
        <v>0</v>
      </c>
      <c r="K513" s="510">
        <f>SUM(K511:K512)</f>
        <v>0</v>
      </c>
      <c r="L513" s="510">
        <f>SUM(L511:L512)</f>
        <v>191664</v>
      </c>
      <c r="M513" s="510">
        <f>SUM(M511:M512)</f>
        <v>0</v>
      </c>
      <c r="N513" s="637">
        <f>SUM(N511:N512)</f>
        <v>0</v>
      </c>
    </row>
    <row r="514" spans="1:14" s="60" customFormat="1" ht="39.75" customHeight="1">
      <c r="A514" s="1044">
        <v>508</v>
      </c>
      <c r="B514" s="173"/>
      <c r="C514" s="631">
        <v>106</v>
      </c>
      <c r="D514" s="612" t="s">
        <v>906</v>
      </c>
      <c r="E514" s="169" t="s">
        <v>400</v>
      </c>
      <c r="F514" s="509"/>
      <c r="G514" s="509">
        <v>13881</v>
      </c>
      <c r="H514" s="665">
        <v>429</v>
      </c>
      <c r="I514" s="675"/>
      <c r="J514" s="169"/>
      <c r="K514" s="169"/>
      <c r="L514" s="169"/>
      <c r="M514" s="169"/>
      <c r="N514" s="638"/>
    </row>
    <row r="515" spans="1:14" s="60" customFormat="1" ht="16.5">
      <c r="A515" s="1044">
        <v>509</v>
      </c>
      <c r="B515" s="172"/>
      <c r="C515" s="167"/>
      <c r="D515" s="168" t="s">
        <v>1168</v>
      </c>
      <c r="E515" s="169"/>
      <c r="F515" s="509"/>
      <c r="G515" s="509"/>
      <c r="H515" s="665"/>
      <c r="I515" s="675">
        <f t="shared" si="14"/>
        <v>4627</v>
      </c>
      <c r="J515" s="170"/>
      <c r="K515" s="170"/>
      <c r="L515" s="170">
        <v>4627</v>
      </c>
      <c r="M515" s="170"/>
      <c r="N515" s="414"/>
    </row>
    <row r="516" spans="1:14" s="412" customFormat="1" ht="17.25">
      <c r="A516" s="1044">
        <v>510</v>
      </c>
      <c r="B516" s="174"/>
      <c r="C516" s="421"/>
      <c r="D516" s="415" t="s">
        <v>618</v>
      </c>
      <c r="E516" s="416"/>
      <c r="F516" s="511"/>
      <c r="G516" s="511"/>
      <c r="H516" s="666"/>
      <c r="I516" s="676">
        <f t="shared" si="14"/>
        <v>12453</v>
      </c>
      <c r="J516" s="417"/>
      <c r="K516" s="417"/>
      <c r="L516" s="417">
        <v>12453</v>
      </c>
      <c r="M516" s="417"/>
      <c r="N516" s="418"/>
    </row>
    <row r="517" spans="1:14" s="59" customFormat="1" ht="17.25">
      <c r="A517" s="1044">
        <v>511</v>
      </c>
      <c r="B517" s="422"/>
      <c r="C517" s="423"/>
      <c r="D517" s="419" t="s">
        <v>1169</v>
      </c>
      <c r="E517" s="420"/>
      <c r="F517" s="510"/>
      <c r="G517" s="510"/>
      <c r="H517" s="667"/>
      <c r="I517" s="677">
        <f t="shared" si="14"/>
        <v>17080</v>
      </c>
      <c r="J517" s="510">
        <f>SUM(J515:J516)</f>
        <v>0</v>
      </c>
      <c r="K517" s="510">
        <f>SUM(K515:K516)</f>
        <v>0</v>
      </c>
      <c r="L517" s="510">
        <f>SUM(L515:L516)</f>
        <v>17080</v>
      </c>
      <c r="M517" s="510">
        <f>SUM(M515:M516)</f>
        <v>0</v>
      </c>
      <c r="N517" s="637">
        <f>SUM(N515:N516)</f>
        <v>0</v>
      </c>
    </row>
    <row r="518" spans="1:14" s="60" customFormat="1" ht="21.75" customHeight="1">
      <c r="A518" s="1044">
        <v>512</v>
      </c>
      <c r="B518" s="172"/>
      <c r="C518" s="167">
        <v>107</v>
      </c>
      <c r="D518" s="168" t="s">
        <v>967</v>
      </c>
      <c r="E518" s="169" t="s">
        <v>400</v>
      </c>
      <c r="F518" s="509"/>
      <c r="G518" s="509"/>
      <c r="H518" s="665"/>
      <c r="I518" s="675"/>
      <c r="J518" s="169"/>
      <c r="K518" s="169"/>
      <c r="L518" s="169"/>
      <c r="M518" s="169"/>
      <c r="N518" s="638"/>
    </row>
    <row r="519" spans="1:14" s="60" customFormat="1" ht="16.5">
      <c r="A519" s="1044">
        <v>513</v>
      </c>
      <c r="B519" s="172"/>
      <c r="C519" s="167"/>
      <c r="D519" s="168" t="s">
        <v>1168</v>
      </c>
      <c r="E519" s="169"/>
      <c r="F519" s="509"/>
      <c r="G519" s="509"/>
      <c r="H519" s="665"/>
      <c r="I519" s="675">
        <f t="shared" si="14"/>
        <v>6949</v>
      </c>
      <c r="J519" s="170"/>
      <c r="K519" s="170"/>
      <c r="L519" s="170">
        <v>6949</v>
      </c>
      <c r="M519" s="170"/>
      <c r="N519" s="414"/>
    </row>
    <row r="520" spans="1:14" s="412" customFormat="1" ht="17.25">
      <c r="A520" s="1044">
        <v>514</v>
      </c>
      <c r="B520" s="174"/>
      <c r="C520" s="421"/>
      <c r="D520" s="415" t="s">
        <v>618</v>
      </c>
      <c r="E520" s="416"/>
      <c r="F520" s="511"/>
      <c r="G520" s="511"/>
      <c r="H520" s="666"/>
      <c r="I520" s="676">
        <f t="shared" si="14"/>
        <v>7954</v>
      </c>
      <c r="J520" s="417"/>
      <c r="K520" s="417"/>
      <c r="L520" s="417">
        <v>7954</v>
      </c>
      <c r="M520" s="417"/>
      <c r="N520" s="418"/>
    </row>
    <row r="521" spans="1:14" s="412" customFormat="1" ht="17.25">
      <c r="A521" s="1044">
        <v>515</v>
      </c>
      <c r="B521" s="174"/>
      <c r="C521" s="421"/>
      <c r="D521" s="415" t="s">
        <v>592</v>
      </c>
      <c r="E521" s="416"/>
      <c r="F521" s="511"/>
      <c r="G521" s="511"/>
      <c r="H521" s="666"/>
      <c r="I521" s="676">
        <f t="shared" si="14"/>
        <v>0</v>
      </c>
      <c r="J521" s="417">
        <v>3478</v>
      </c>
      <c r="K521" s="417">
        <v>939</v>
      </c>
      <c r="L521" s="417">
        <v>-4417</v>
      </c>
      <c r="M521" s="417"/>
      <c r="N521" s="418"/>
    </row>
    <row r="522" spans="1:14" s="412" customFormat="1" ht="17.25">
      <c r="A522" s="1044">
        <v>516</v>
      </c>
      <c r="B522" s="174"/>
      <c r="C522" s="421"/>
      <c r="D522" s="415" t="s">
        <v>711</v>
      </c>
      <c r="E522" s="416"/>
      <c r="F522" s="511"/>
      <c r="G522" s="511"/>
      <c r="H522" s="666"/>
      <c r="I522" s="676">
        <f t="shared" si="14"/>
        <v>-1617</v>
      </c>
      <c r="J522" s="417"/>
      <c r="K522" s="417"/>
      <c r="L522" s="417">
        <v>-1617</v>
      </c>
      <c r="M522" s="417"/>
      <c r="N522" s="418"/>
    </row>
    <row r="523" spans="1:14" s="59" customFormat="1" ht="17.25">
      <c r="A523" s="1044">
        <v>517</v>
      </c>
      <c r="B523" s="422"/>
      <c r="C523" s="423"/>
      <c r="D523" s="419" t="s">
        <v>1169</v>
      </c>
      <c r="E523" s="420"/>
      <c r="F523" s="510"/>
      <c r="G523" s="510"/>
      <c r="H523" s="667"/>
      <c r="I523" s="677">
        <f t="shared" si="14"/>
        <v>13286</v>
      </c>
      <c r="J523" s="510">
        <f>SUM(J519:J522)</f>
        <v>3478</v>
      </c>
      <c r="K523" s="510">
        <f>SUM(K519:K522)</f>
        <v>939</v>
      </c>
      <c r="L523" s="510">
        <f>SUM(L519:L522)</f>
        <v>8869</v>
      </c>
      <c r="M523" s="510">
        <f>SUM(M519:M522)</f>
        <v>0</v>
      </c>
      <c r="N523" s="637">
        <f>SUM(N519:N522)</f>
        <v>0</v>
      </c>
    </row>
    <row r="524" spans="1:14" s="60" customFormat="1" ht="21.75" customHeight="1">
      <c r="A524" s="1044">
        <v>518</v>
      </c>
      <c r="B524" s="172"/>
      <c r="C524" s="167">
        <v>108</v>
      </c>
      <c r="D524" s="168" t="s">
        <v>379</v>
      </c>
      <c r="E524" s="169" t="s">
        <v>400</v>
      </c>
      <c r="F524" s="509"/>
      <c r="G524" s="509"/>
      <c r="H524" s="665"/>
      <c r="I524" s="675"/>
      <c r="J524" s="169"/>
      <c r="K524" s="169"/>
      <c r="L524" s="169"/>
      <c r="M524" s="169"/>
      <c r="N524" s="638"/>
    </row>
    <row r="525" spans="1:14" s="60" customFormat="1" ht="16.5">
      <c r="A525" s="1044">
        <v>519</v>
      </c>
      <c r="B525" s="172"/>
      <c r="C525" s="167"/>
      <c r="D525" s="168" t="s">
        <v>1168</v>
      </c>
      <c r="E525" s="169"/>
      <c r="F525" s="509"/>
      <c r="G525" s="509"/>
      <c r="H525" s="665"/>
      <c r="I525" s="675">
        <f t="shared" si="14"/>
        <v>5262</v>
      </c>
      <c r="J525" s="170"/>
      <c r="K525" s="170"/>
      <c r="L525" s="170">
        <v>5262</v>
      </c>
      <c r="M525" s="170"/>
      <c r="N525" s="414"/>
    </row>
    <row r="526" spans="1:14" s="412" customFormat="1" ht="17.25">
      <c r="A526" s="1044">
        <v>520</v>
      </c>
      <c r="B526" s="174"/>
      <c r="C526" s="421"/>
      <c r="D526" s="415" t="s">
        <v>750</v>
      </c>
      <c r="E526" s="416"/>
      <c r="F526" s="511"/>
      <c r="G526" s="511"/>
      <c r="H526" s="666"/>
      <c r="I526" s="676">
        <f t="shared" si="14"/>
        <v>-5262</v>
      </c>
      <c r="J526" s="417"/>
      <c r="K526" s="417"/>
      <c r="L526" s="417">
        <v>-5262</v>
      </c>
      <c r="M526" s="417"/>
      <c r="N526" s="418"/>
    </row>
    <row r="527" spans="1:14" s="59" customFormat="1" ht="17.25">
      <c r="A527" s="1044">
        <v>521</v>
      </c>
      <c r="B527" s="422"/>
      <c r="C527" s="423"/>
      <c r="D527" s="419" t="s">
        <v>1169</v>
      </c>
      <c r="E527" s="420"/>
      <c r="F527" s="510"/>
      <c r="G527" s="510"/>
      <c r="H527" s="667"/>
      <c r="I527" s="677">
        <f t="shared" si="14"/>
        <v>0</v>
      </c>
      <c r="J527" s="510">
        <f>SUM(J525:J526)</f>
        <v>0</v>
      </c>
      <c r="K527" s="510">
        <f>SUM(K525:K526)</f>
        <v>0</v>
      </c>
      <c r="L527" s="510">
        <f>SUM(L525:L526)</f>
        <v>0</v>
      </c>
      <c r="M527" s="510">
        <f>SUM(M525:M526)</f>
        <v>0</v>
      </c>
      <c r="N527" s="637">
        <f>SUM(N525:N526)</f>
        <v>0</v>
      </c>
    </row>
    <row r="528" spans="1:14" s="60" customFormat="1" ht="21.75" customHeight="1">
      <c r="A528" s="1044">
        <v>522</v>
      </c>
      <c r="B528" s="172"/>
      <c r="C528" s="167">
        <v>109</v>
      </c>
      <c r="D528" s="1415" t="s">
        <v>364</v>
      </c>
      <c r="E528" s="1416"/>
      <c r="F528" s="1416"/>
      <c r="G528" s="1417"/>
      <c r="H528" s="665"/>
      <c r="I528" s="675"/>
      <c r="J528" s="169"/>
      <c r="K528" s="169"/>
      <c r="L528" s="169"/>
      <c r="M528" s="169"/>
      <c r="N528" s="638"/>
    </row>
    <row r="529" spans="1:14" s="412" customFormat="1" ht="17.25">
      <c r="A529" s="1044">
        <v>523</v>
      </c>
      <c r="B529" s="174"/>
      <c r="C529" s="421"/>
      <c r="D529" s="415" t="s">
        <v>363</v>
      </c>
      <c r="E529" s="416" t="s">
        <v>400</v>
      </c>
      <c r="F529" s="511"/>
      <c r="G529" s="511"/>
      <c r="H529" s="666"/>
      <c r="I529" s="676">
        <v>50</v>
      </c>
      <c r="J529" s="417"/>
      <c r="K529" s="417"/>
      <c r="L529" s="417">
        <v>50</v>
      </c>
      <c r="M529" s="417"/>
      <c r="N529" s="418"/>
    </row>
    <row r="530" spans="1:14" s="412" customFormat="1" ht="17.25">
      <c r="A530" s="1044">
        <v>524</v>
      </c>
      <c r="B530" s="174"/>
      <c r="C530" s="421"/>
      <c r="D530" s="415" t="s">
        <v>560</v>
      </c>
      <c r="E530" s="416"/>
      <c r="F530" s="511"/>
      <c r="G530" s="511"/>
      <c r="H530" s="666"/>
      <c r="I530" s="676">
        <v>1100</v>
      </c>
      <c r="J530" s="417"/>
      <c r="K530" s="417"/>
      <c r="L530" s="417">
        <v>1100</v>
      </c>
      <c r="M530" s="417"/>
      <c r="N530" s="418"/>
    </row>
    <row r="531" spans="1:14" s="59" customFormat="1" ht="17.25">
      <c r="A531" s="1044">
        <v>525</v>
      </c>
      <c r="B531" s="422"/>
      <c r="C531" s="423"/>
      <c r="D531" s="419" t="s">
        <v>1169</v>
      </c>
      <c r="E531" s="420"/>
      <c r="F531" s="510"/>
      <c r="G531" s="510"/>
      <c r="H531" s="667"/>
      <c r="I531" s="677">
        <f aca="true" t="shared" si="16" ref="I531:N531">SUM(I529:I530)</f>
        <v>1150</v>
      </c>
      <c r="J531" s="510">
        <f t="shared" si="16"/>
        <v>0</v>
      </c>
      <c r="K531" s="510">
        <f t="shared" si="16"/>
        <v>0</v>
      </c>
      <c r="L531" s="510">
        <f t="shared" si="16"/>
        <v>1150</v>
      </c>
      <c r="M531" s="510">
        <f t="shared" si="16"/>
        <v>0</v>
      </c>
      <c r="N531" s="637">
        <f t="shared" si="16"/>
        <v>0</v>
      </c>
    </row>
    <row r="532" spans="1:14" s="60" customFormat="1" ht="21.75" customHeight="1">
      <c r="A532" s="1044">
        <v>526</v>
      </c>
      <c r="B532" s="172"/>
      <c r="C532" s="167">
        <v>110</v>
      </c>
      <c r="D532" s="168" t="s">
        <v>554</v>
      </c>
      <c r="E532" s="169" t="s">
        <v>400</v>
      </c>
      <c r="F532" s="509"/>
      <c r="G532" s="509"/>
      <c r="H532" s="665"/>
      <c r="I532" s="675"/>
      <c r="J532" s="169"/>
      <c r="K532" s="169"/>
      <c r="L532" s="169"/>
      <c r="M532" s="169"/>
      <c r="N532" s="638"/>
    </row>
    <row r="533" spans="1:14" s="412" customFormat="1" ht="17.25">
      <c r="A533" s="1044">
        <v>527</v>
      </c>
      <c r="B533" s="174"/>
      <c r="C533" s="421"/>
      <c r="D533" s="415" t="s">
        <v>905</v>
      </c>
      <c r="E533" s="416"/>
      <c r="F533" s="511"/>
      <c r="G533" s="511"/>
      <c r="H533" s="666"/>
      <c r="I533" s="676">
        <v>19629</v>
      </c>
      <c r="J533" s="417"/>
      <c r="K533" s="417"/>
      <c r="L533" s="417">
        <v>19629</v>
      </c>
      <c r="M533" s="417"/>
      <c r="N533" s="418"/>
    </row>
    <row r="534" spans="1:14" s="59" customFormat="1" ht="17.25">
      <c r="A534" s="1044">
        <v>528</v>
      </c>
      <c r="B534" s="422"/>
      <c r="C534" s="423"/>
      <c r="D534" s="419" t="s">
        <v>1169</v>
      </c>
      <c r="E534" s="420"/>
      <c r="F534" s="510"/>
      <c r="G534" s="510"/>
      <c r="H534" s="667"/>
      <c r="I534" s="677">
        <f aca="true" t="shared" si="17" ref="I534:N534">SUM(I533)</f>
        <v>19629</v>
      </c>
      <c r="J534" s="510">
        <f t="shared" si="17"/>
        <v>0</v>
      </c>
      <c r="K534" s="510">
        <f t="shared" si="17"/>
        <v>0</v>
      </c>
      <c r="L534" s="510">
        <f t="shared" si="17"/>
        <v>19629</v>
      </c>
      <c r="M534" s="510">
        <f t="shared" si="17"/>
        <v>0</v>
      </c>
      <c r="N534" s="637">
        <f t="shared" si="17"/>
        <v>0</v>
      </c>
    </row>
    <row r="535" spans="1:14" s="60" customFormat="1" ht="21.75" customHeight="1">
      <c r="A535" s="1044">
        <v>529</v>
      </c>
      <c r="B535" s="172"/>
      <c r="C535" s="167">
        <v>111</v>
      </c>
      <c r="D535" s="168" t="s">
        <v>980</v>
      </c>
      <c r="E535" s="169" t="s">
        <v>400</v>
      </c>
      <c r="F535" s="509">
        <v>3370</v>
      </c>
      <c r="G535" s="509"/>
      <c r="H535" s="665"/>
      <c r="I535" s="675"/>
      <c r="J535" s="169"/>
      <c r="K535" s="169"/>
      <c r="L535" s="169"/>
      <c r="M535" s="169"/>
      <c r="N535" s="638"/>
    </row>
    <row r="536" spans="1:14" s="412" customFormat="1" ht="17.25">
      <c r="A536" s="1044">
        <v>530</v>
      </c>
      <c r="B536" s="174"/>
      <c r="C536" s="421"/>
      <c r="D536" s="415" t="s">
        <v>562</v>
      </c>
      <c r="E536" s="416"/>
      <c r="F536" s="511"/>
      <c r="G536" s="511"/>
      <c r="H536" s="666"/>
      <c r="I536" s="676">
        <v>150</v>
      </c>
      <c r="J536" s="417"/>
      <c r="K536" s="417"/>
      <c r="L536" s="417"/>
      <c r="M536" s="417"/>
      <c r="N536" s="418">
        <v>150</v>
      </c>
    </row>
    <row r="537" spans="1:14" s="59" customFormat="1" ht="17.25">
      <c r="A537" s="1044">
        <v>531</v>
      </c>
      <c r="B537" s="422"/>
      <c r="C537" s="423"/>
      <c r="D537" s="419" t="s">
        <v>1169</v>
      </c>
      <c r="E537" s="420"/>
      <c r="F537" s="510"/>
      <c r="G537" s="510"/>
      <c r="H537" s="667"/>
      <c r="I537" s="677">
        <f aca="true" t="shared" si="18" ref="I537:N537">SUM(I536)</f>
        <v>150</v>
      </c>
      <c r="J537" s="510">
        <f t="shared" si="18"/>
        <v>0</v>
      </c>
      <c r="K537" s="510">
        <f t="shared" si="18"/>
        <v>0</v>
      </c>
      <c r="L537" s="510">
        <f t="shared" si="18"/>
        <v>0</v>
      </c>
      <c r="M537" s="510">
        <f t="shared" si="18"/>
        <v>0</v>
      </c>
      <c r="N537" s="637">
        <f t="shared" si="18"/>
        <v>150</v>
      </c>
    </row>
    <row r="538" spans="1:14" s="60" customFormat="1" ht="21.75" customHeight="1">
      <c r="A538" s="1044">
        <v>532</v>
      </c>
      <c r="B538" s="172"/>
      <c r="C538" s="167">
        <v>112</v>
      </c>
      <c r="D538" s="168" t="s">
        <v>997</v>
      </c>
      <c r="E538" s="169" t="s">
        <v>400</v>
      </c>
      <c r="F538" s="509">
        <v>60</v>
      </c>
      <c r="G538" s="509"/>
      <c r="H538" s="665">
        <v>30</v>
      </c>
      <c r="I538" s="675"/>
      <c r="J538" s="169"/>
      <c r="K538" s="169"/>
      <c r="L538" s="169"/>
      <c r="M538" s="169"/>
      <c r="N538" s="638"/>
    </row>
    <row r="539" spans="1:14" s="412" customFormat="1" ht="17.25">
      <c r="A539" s="1044">
        <v>533</v>
      </c>
      <c r="B539" s="174"/>
      <c r="C539" s="421"/>
      <c r="D539" s="415" t="s">
        <v>561</v>
      </c>
      <c r="E539" s="416"/>
      <c r="F539" s="511"/>
      <c r="G539" s="511"/>
      <c r="H539" s="666"/>
      <c r="I539" s="676">
        <v>200</v>
      </c>
      <c r="J539" s="417"/>
      <c r="K539" s="417"/>
      <c r="L539" s="417">
        <v>200</v>
      </c>
      <c r="M539" s="417"/>
      <c r="N539" s="418"/>
    </row>
    <row r="540" spans="1:14" s="59" customFormat="1" ht="17.25">
      <c r="A540" s="1044">
        <v>534</v>
      </c>
      <c r="B540" s="422"/>
      <c r="C540" s="423"/>
      <c r="D540" s="419" t="s">
        <v>1169</v>
      </c>
      <c r="E540" s="420"/>
      <c r="F540" s="510"/>
      <c r="G540" s="510"/>
      <c r="H540" s="667"/>
      <c r="I540" s="677">
        <f aca="true" t="shared" si="19" ref="I540:N540">SUM(I539)</f>
        <v>200</v>
      </c>
      <c r="J540" s="510">
        <f t="shared" si="19"/>
        <v>0</v>
      </c>
      <c r="K540" s="510">
        <f t="shared" si="19"/>
        <v>0</v>
      </c>
      <c r="L540" s="510">
        <f t="shared" si="19"/>
        <v>200</v>
      </c>
      <c r="M540" s="510">
        <f t="shared" si="19"/>
        <v>0</v>
      </c>
      <c r="N540" s="637">
        <f t="shared" si="19"/>
        <v>0</v>
      </c>
    </row>
    <row r="541" spans="1:14" s="60" customFormat="1" ht="21.75" customHeight="1">
      <c r="A541" s="1044">
        <v>535</v>
      </c>
      <c r="B541" s="172"/>
      <c r="C541" s="167">
        <v>113</v>
      </c>
      <c r="D541" s="168" t="s">
        <v>1023</v>
      </c>
      <c r="E541" s="169"/>
      <c r="F541" s="509"/>
      <c r="G541" s="509"/>
      <c r="H541" s="665"/>
      <c r="I541" s="675"/>
      <c r="J541" s="169"/>
      <c r="K541" s="169"/>
      <c r="L541" s="169"/>
      <c r="M541" s="169"/>
      <c r="N541" s="638"/>
    </row>
    <row r="542" spans="1:14" s="412" customFormat="1" ht="17.25">
      <c r="A542" s="1044">
        <v>536</v>
      </c>
      <c r="B542" s="987"/>
      <c r="C542" s="421"/>
      <c r="D542" s="1046" t="s">
        <v>548</v>
      </c>
      <c r="E542" s="1047" t="s">
        <v>400</v>
      </c>
      <c r="F542" s="1048"/>
      <c r="G542" s="1048"/>
      <c r="H542" s="1049"/>
      <c r="I542" s="676">
        <v>10000</v>
      </c>
      <c r="J542" s="1050"/>
      <c r="K542" s="1050"/>
      <c r="L542" s="1050">
        <v>10000</v>
      </c>
      <c r="M542" s="1050"/>
      <c r="N542" s="1051"/>
    </row>
    <row r="543" spans="1:14" s="412" customFormat="1" ht="17.25">
      <c r="A543" s="1044">
        <v>537</v>
      </c>
      <c r="B543" s="987"/>
      <c r="C543" s="421"/>
      <c r="D543" s="1046" t="s">
        <v>547</v>
      </c>
      <c r="E543" s="1047"/>
      <c r="F543" s="1048"/>
      <c r="G543" s="1048"/>
      <c r="H543" s="1049"/>
      <c r="I543" s="676">
        <v>30000</v>
      </c>
      <c r="J543" s="1050"/>
      <c r="K543" s="1050"/>
      <c r="L543" s="1050">
        <v>30000</v>
      </c>
      <c r="M543" s="1050"/>
      <c r="N543" s="1051"/>
    </row>
    <row r="544" spans="1:14" s="59" customFormat="1" ht="17.25">
      <c r="A544" s="1044">
        <v>538</v>
      </c>
      <c r="B544" s="988"/>
      <c r="C544" s="423"/>
      <c r="D544" s="1052" t="s">
        <v>1169</v>
      </c>
      <c r="E544" s="1053"/>
      <c r="F544" s="1054"/>
      <c r="G544" s="1054"/>
      <c r="H544" s="1055"/>
      <c r="I544" s="677">
        <f>SUM(J544:N544)</f>
        <v>40000</v>
      </c>
      <c r="J544" s="1056">
        <f>SUM(J542:J543)</f>
        <v>0</v>
      </c>
      <c r="K544" s="1056">
        <f>SUM(K542:K543)</f>
        <v>0</v>
      </c>
      <c r="L544" s="1056">
        <f>SUM(L542:L543)</f>
        <v>40000</v>
      </c>
      <c r="M544" s="1056">
        <f>SUM(M542:M543)</f>
        <v>0</v>
      </c>
      <c r="N544" s="1302">
        <f>SUM(N542:N543)</f>
        <v>0</v>
      </c>
    </row>
    <row r="545" spans="1:14" s="60" customFormat="1" ht="25.5" customHeight="1">
      <c r="A545" s="1044">
        <v>539</v>
      </c>
      <c r="B545" s="172"/>
      <c r="C545" s="167">
        <v>114</v>
      </c>
      <c r="D545" s="168" t="s">
        <v>1024</v>
      </c>
      <c r="E545" s="169"/>
      <c r="F545" s="509"/>
      <c r="G545" s="509"/>
      <c r="H545" s="665"/>
      <c r="I545" s="675"/>
      <c r="J545" s="169"/>
      <c r="K545" s="169"/>
      <c r="L545" s="169"/>
      <c r="M545" s="169"/>
      <c r="N545" s="638"/>
    </row>
    <row r="546" spans="1:14" s="412" customFormat="1" ht="17.25">
      <c r="A546" s="1044">
        <v>540</v>
      </c>
      <c r="B546" s="987"/>
      <c r="C546" s="421"/>
      <c r="D546" s="1046" t="s">
        <v>548</v>
      </c>
      <c r="E546" s="1047" t="s">
        <v>400</v>
      </c>
      <c r="F546" s="1048"/>
      <c r="G546" s="1048"/>
      <c r="H546" s="1049"/>
      <c r="I546" s="676">
        <f aca="true" t="shared" si="20" ref="I546:I551">SUM(J546:N546)</f>
        <v>2500</v>
      </c>
      <c r="J546" s="1050"/>
      <c r="K546" s="1050"/>
      <c r="L546" s="1050">
        <v>2500</v>
      </c>
      <c r="M546" s="1050"/>
      <c r="N546" s="1051"/>
    </row>
    <row r="547" spans="1:14" s="412" customFormat="1" ht="17.25">
      <c r="A547" s="1044">
        <v>541</v>
      </c>
      <c r="B547" s="987"/>
      <c r="C547" s="421"/>
      <c r="D547" s="1046" t="s">
        <v>547</v>
      </c>
      <c r="E547" s="1047"/>
      <c r="F547" s="1048"/>
      <c r="G547" s="1048"/>
      <c r="H547" s="1049"/>
      <c r="I547" s="676">
        <f t="shared" si="20"/>
        <v>7500</v>
      </c>
      <c r="J547" s="1050"/>
      <c r="K547" s="1050"/>
      <c r="L547" s="1050">
        <v>7500</v>
      </c>
      <c r="M547" s="1050"/>
      <c r="N547" s="1051"/>
    </row>
    <row r="548" spans="1:14" s="59" customFormat="1" ht="17.25">
      <c r="A548" s="1044">
        <v>542</v>
      </c>
      <c r="B548" s="988"/>
      <c r="C548" s="423"/>
      <c r="D548" s="1052" t="s">
        <v>1169</v>
      </c>
      <c r="E548" s="1053"/>
      <c r="F548" s="1054"/>
      <c r="G548" s="1054"/>
      <c r="H548" s="1055"/>
      <c r="I548" s="677">
        <f t="shared" si="20"/>
        <v>10000</v>
      </c>
      <c r="J548" s="1056">
        <f>SUM(J546:J547)</f>
        <v>0</v>
      </c>
      <c r="K548" s="1056">
        <f>SUM(K546:K547)</f>
        <v>0</v>
      </c>
      <c r="L548" s="1056">
        <f>SUM(L546:L547)</f>
        <v>10000</v>
      </c>
      <c r="M548" s="1056">
        <f>SUM(M546:M547)</f>
        <v>0</v>
      </c>
      <c r="N548" s="1302">
        <f>SUM(N546:N547)</f>
        <v>0</v>
      </c>
    </row>
    <row r="549" spans="1:14" s="60" customFormat="1" ht="25.5" customHeight="1">
      <c r="A549" s="1044">
        <v>543</v>
      </c>
      <c r="B549" s="172"/>
      <c r="C549" s="167">
        <v>115</v>
      </c>
      <c r="D549" s="168" t="s">
        <v>973</v>
      </c>
      <c r="E549" s="169" t="s">
        <v>466</v>
      </c>
      <c r="F549" s="509">
        <v>19783</v>
      </c>
      <c r="G549" s="509">
        <v>16000</v>
      </c>
      <c r="H549" s="665">
        <v>5445</v>
      </c>
      <c r="I549" s="675"/>
      <c r="J549" s="169"/>
      <c r="K549" s="169"/>
      <c r="L549" s="169"/>
      <c r="M549" s="169"/>
      <c r="N549" s="638"/>
    </row>
    <row r="550" spans="1:14" s="412" customFormat="1" ht="17.25">
      <c r="A550" s="1044">
        <v>544</v>
      </c>
      <c r="B550" s="987"/>
      <c r="C550" s="421"/>
      <c r="D550" s="1046" t="s">
        <v>618</v>
      </c>
      <c r="E550" s="1047"/>
      <c r="F550" s="1048"/>
      <c r="G550" s="1048"/>
      <c r="H550" s="1049"/>
      <c r="I550" s="676">
        <f t="shared" si="20"/>
        <v>16000</v>
      </c>
      <c r="J550" s="1050"/>
      <c r="K550" s="1050"/>
      <c r="L550" s="1050">
        <v>16000</v>
      </c>
      <c r="M550" s="1050"/>
      <c r="N550" s="1051"/>
    </row>
    <row r="551" spans="1:14" s="59" customFormat="1" ht="17.25">
      <c r="A551" s="1044">
        <v>545</v>
      </c>
      <c r="B551" s="988"/>
      <c r="C551" s="423"/>
      <c r="D551" s="1052" t="s">
        <v>1169</v>
      </c>
      <c r="E551" s="1053"/>
      <c r="F551" s="1054">
        <f>SUM(F550)</f>
        <v>0</v>
      </c>
      <c r="G551" s="1054">
        <f>SUM(G550)</f>
        <v>0</v>
      </c>
      <c r="H551" s="1055">
        <f>SUM(H550)</f>
        <v>0</v>
      </c>
      <c r="I551" s="677">
        <f t="shared" si="20"/>
        <v>16000</v>
      </c>
      <c r="J551" s="1056">
        <f>SUM(J550)</f>
        <v>0</v>
      </c>
      <c r="K551" s="1056">
        <f>SUM(K550)</f>
        <v>0</v>
      </c>
      <c r="L551" s="1056">
        <f>SUM(L550)</f>
        <v>16000</v>
      </c>
      <c r="M551" s="1056">
        <f>SUM(M550)</f>
        <v>0</v>
      </c>
      <c r="N551" s="1302">
        <f>SUM(N550)</f>
        <v>0</v>
      </c>
    </row>
    <row r="552" spans="1:14" s="60" customFormat="1" ht="25.5" customHeight="1">
      <c r="A552" s="1044">
        <v>546</v>
      </c>
      <c r="B552" s="172"/>
      <c r="C552" s="167">
        <v>116</v>
      </c>
      <c r="D552" s="168" t="s">
        <v>648</v>
      </c>
      <c r="E552" s="169" t="s">
        <v>400</v>
      </c>
      <c r="F552" s="509"/>
      <c r="G552" s="509"/>
      <c r="H552" s="665"/>
      <c r="I552" s="675"/>
      <c r="J552" s="169"/>
      <c r="K552" s="169"/>
      <c r="L552" s="169"/>
      <c r="M552" s="169"/>
      <c r="N552" s="638"/>
    </row>
    <row r="553" spans="1:14" s="412" customFormat="1" ht="17.25">
      <c r="A553" s="1044">
        <v>547</v>
      </c>
      <c r="B553" s="987"/>
      <c r="C553" s="421"/>
      <c r="D553" s="1046" t="s">
        <v>1170</v>
      </c>
      <c r="E553" s="1047"/>
      <c r="F553" s="1048"/>
      <c r="G553" s="1048"/>
      <c r="H553" s="1049"/>
      <c r="I553" s="676">
        <f>SUM(J553:N553)</f>
        <v>25000</v>
      </c>
      <c r="J553" s="1050"/>
      <c r="K553" s="1050"/>
      <c r="L553" s="1050"/>
      <c r="M553" s="1050"/>
      <c r="N553" s="1051">
        <v>25000</v>
      </c>
    </row>
    <row r="554" spans="1:14" s="59" customFormat="1" ht="17.25">
      <c r="A554" s="1044">
        <v>548</v>
      </c>
      <c r="B554" s="988"/>
      <c r="C554" s="423"/>
      <c r="D554" s="1052" t="s">
        <v>1169</v>
      </c>
      <c r="E554" s="1053"/>
      <c r="F554" s="1054"/>
      <c r="G554" s="1054"/>
      <c r="H554" s="1055"/>
      <c r="I554" s="677">
        <f>SUM(J554:N554)</f>
        <v>25000</v>
      </c>
      <c r="J554" s="1056">
        <f>SUM(J553)</f>
        <v>0</v>
      </c>
      <c r="K554" s="1056">
        <f>SUM(K553)</f>
        <v>0</v>
      </c>
      <c r="L554" s="1056">
        <f>SUM(L553)</f>
        <v>0</v>
      </c>
      <c r="M554" s="1056">
        <f>SUM(M553)</f>
        <v>0</v>
      </c>
      <c r="N554" s="1302">
        <f>SUM(N553)</f>
        <v>25000</v>
      </c>
    </row>
    <row r="555" spans="1:14" s="60" customFormat="1" ht="25.5" customHeight="1">
      <c r="A555" s="1044">
        <v>549</v>
      </c>
      <c r="B555" s="172"/>
      <c r="C555" s="167">
        <v>117</v>
      </c>
      <c r="D555" s="168" t="s">
        <v>981</v>
      </c>
      <c r="E555" s="169" t="s">
        <v>466</v>
      </c>
      <c r="F555" s="509">
        <v>65</v>
      </c>
      <c r="G555" s="509"/>
      <c r="H555" s="665">
        <v>21</v>
      </c>
      <c r="I555" s="675"/>
      <c r="J555" s="169"/>
      <c r="K555" s="169"/>
      <c r="L555" s="169"/>
      <c r="M555" s="169"/>
      <c r="N555" s="638"/>
    </row>
    <row r="556" spans="1:14" s="412" customFormat="1" ht="17.25">
      <c r="A556" s="1044">
        <v>550</v>
      </c>
      <c r="B556" s="987"/>
      <c r="C556" s="421"/>
      <c r="D556" s="1046" t="s">
        <v>625</v>
      </c>
      <c r="E556" s="1047"/>
      <c r="F556" s="1048"/>
      <c r="G556" s="1048"/>
      <c r="H556" s="1049"/>
      <c r="I556" s="676">
        <f aca="true" t="shared" si="21" ref="I556:I565">SUM(J556:N556)</f>
        <v>5700</v>
      </c>
      <c r="J556" s="1050"/>
      <c r="K556" s="1050"/>
      <c r="L556" s="1050">
        <v>5700</v>
      </c>
      <c r="M556" s="1050"/>
      <c r="N556" s="1051"/>
    </row>
    <row r="557" spans="1:14" s="412" customFormat="1" ht="17.25">
      <c r="A557" s="1044">
        <v>551</v>
      </c>
      <c r="B557" s="987"/>
      <c r="C557" s="421"/>
      <c r="D557" s="1046" t="s">
        <v>626</v>
      </c>
      <c r="E557" s="1047"/>
      <c r="F557" s="1048"/>
      <c r="G557" s="1048"/>
      <c r="H557" s="1049"/>
      <c r="I557" s="676">
        <f t="shared" si="21"/>
        <v>50724</v>
      </c>
      <c r="J557" s="1050"/>
      <c r="K557" s="1050"/>
      <c r="L557" s="1050">
        <v>50724</v>
      </c>
      <c r="M557" s="1050"/>
      <c r="N557" s="1051"/>
    </row>
    <row r="558" spans="1:14" s="59" customFormat="1" ht="17.25">
      <c r="A558" s="1044">
        <v>552</v>
      </c>
      <c r="B558" s="988"/>
      <c r="C558" s="423"/>
      <c r="D558" s="1052" t="s">
        <v>1169</v>
      </c>
      <c r="E558" s="1053"/>
      <c r="F558" s="1054"/>
      <c r="G558" s="1054"/>
      <c r="H558" s="1055"/>
      <c r="I558" s="677">
        <f t="shared" si="21"/>
        <v>56424</v>
      </c>
      <c r="J558" s="1056">
        <f>SUM(J556:J557)</f>
        <v>0</v>
      </c>
      <c r="K558" s="1056">
        <f>SUM(K556:K557)</f>
        <v>0</v>
      </c>
      <c r="L558" s="1056">
        <f>SUM(L556:L557)</f>
        <v>56424</v>
      </c>
      <c r="M558" s="1056">
        <f>SUM(M556:M557)</f>
        <v>0</v>
      </c>
      <c r="N558" s="1302">
        <f>SUM(N556:N557)</f>
        <v>0</v>
      </c>
    </row>
    <row r="559" spans="1:14" s="60" customFormat="1" ht="25.5" customHeight="1">
      <c r="A559" s="1044">
        <v>553</v>
      </c>
      <c r="B559" s="172"/>
      <c r="C559" s="167">
        <v>118</v>
      </c>
      <c r="D559" s="168" t="s">
        <v>1021</v>
      </c>
      <c r="E559" s="169" t="s">
        <v>400</v>
      </c>
      <c r="F559" s="509"/>
      <c r="G559" s="509"/>
      <c r="H559" s="665">
        <v>3461</v>
      </c>
      <c r="I559" s="675"/>
      <c r="J559" s="169"/>
      <c r="K559" s="169"/>
      <c r="L559" s="169"/>
      <c r="M559" s="169"/>
      <c r="N559" s="638"/>
    </row>
    <row r="560" spans="1:14" s="412" customFormat="1" ht="17.25">
      <c r="A560" s="1044">
        <v>554</v>
      </c>
      <c r="B560" s="987"/>
      <c r="C560" s="421"/>
      <c r="D560" s="1046" t="s">
        <v>618</v>
      </c>
      <c r="E560" s="1047"/>
      <c r="F560" s="1048"/>
      <c r="G560" s="1048"/>
      <c r="H560" s="1049"/>
      <c r="I560" s="676">
        <f t="shared" si="21"/>
        <v>31516</v>
      </c>
      <c r="J560" s="1050"/>
      <c r="K560" s="1050"/>
      <c r="L560" s="1050">
        <v>31516</v>
      </c>
      <c r="M560" s="1050"/>
      <c r="N560" s="1051"/>
    </row>
    <row r="561" spans="1:14" s="412" customFormat="1" ht="17.25">
      <c r="A561" s="1044"/>
      <c r="B561" s="987"/>
      <c r="C561" s="421"/>
      <c r="D561" s="1046" t="s">
        <v>730</v>
      </c>
      <c r="E561" s="1047"/>
      <c r="F561" s="1048"/>
      <c r="G561" s="1048"/>
      <c r="H561" s="1049"/>
      <c r="I561" s="676">
        <f t="shared" si="21"/>
        <v>16410</v>
      </c>
      <c r="J561" s="1050"/>
      <c r="K561" s="1050"/>
      <c r="L561" s="1050">
        <v>16410</v>
      </c>
      <c r="M561" s="1050"/>
      <c r="N561" s="1051"/>
    </row>
    <row r="562" spans="1:14" s="59" customFormat="1" ht="17.25">
      <c r="A562" s="1044">
        <v>555</v>
      </c>
      <c r="B562" s="988"/>
      <c r="C562" s="423"/>
      <c r="D562" s="1052" t="s">
        <v>1169</v>
      </c>
      <c r="E562" s="1053"/>
      <c r="F562" s="1054"/>
      <c r="G562" s="1054"/>
      <c r="H562" s="1055"/>
      <c r="I562" s="677">
        <f>SUM(I559:I561)</f>
        <v>47926</v>
      </c>
      <c r="J562" s="1056">
        <f>SUM(J560:J561)</f>
        <v>0</v>
      </c>
      <c r="K562" s="1056">
        <f>SUM(K560:K561)</f>
        <v>0</v>
      </c>
      <c r="L562" s="1056">
        <f>SUM(L560:L561)</f>
        <v>47926</v>
      </c>
      <c r="M562" s="1056">
        <f>SUM(M560:M561)</f>
        <v>0</v>
      </c>
      <c r="N562" s="1302">
        <f>SUM(N560:N561)</f>
        <v>0</v>
      </c>
    </row>
    <row r="563" spans="1:14" s="60" customFormat="1" ht="25.5" customHeight="1">
      <c r="A563" s="1044">
        <v>556</v>
      </c>
      <c r="B563" s="172"/>
      <c r="C563" s="167">
        <v>119</v>
      </c>
      <c r="D563" s="168" t="s">
        <v>1022</v>
      </c>
      <c r="E563" s="169" t="s">
        <v>400</v>
      </c>
      <c r="F563" s="509"/>
      <c r="G563" s="509">
        <v>24000</v>
      </c>
      <c r="H563" s="665">
        <v>112</v>
      </c>
      <c r="I563" s="675"/>
      <c r="J563" s="169"/>
      <c r="K563" s="169"/>
      <c r="L563" s="169"/>
      <c r="M563" s="169"/>
      <c r="N563" s="638"/>
    </row>
    <row r="564" spans="1:14" s="412" customFormat="1" ht="17.25">
      <c r="A564" s="1044">
        <v>557</v>
      </c>
      <c r="B564" s="987"/>
      <c r="C564" s="421"/>
      <c r="D564" s="1046" t="s">
        <v>618</v>
      </c>
      <c r="E564" s="1047"/>
      <c r="F564" s="1048"/>
      <c r="G564" s="1048"/>
      <c r="H564" s="1049"/>
      <c r="I564" s="675">
        <f t="shared" si="21"/>
        <v>16662</v>
      </c>
      <c r="J564" s="1050"/>
      <c r="K564" s="1050"/>
      <c r="L564" s="1050">
        <v>16662</v>
      </c>
      <c r="M564" s="1050"/>
      <c r="N564" s="1051"/>
    </row>
    <row r="565" spans="1:14" s="59" customFormat="1" ht="17.25">
      <c r="A565" s="1044">
        <v>558</v>
      </c>
      <c r="B565" s="988"/>
      <c r="C565" s="423"/>
      <c r="D565" s="1052" t="s">
        <v>1169</v>
      </c>
      <c r="E565" s="1053"/>
      <c r="F565" s="1054"/>
      <c r="G565" s="1054"/>
      <c r="H565" s="1055"/>
      <c r="I565" s="677">
        <f t="shared" si="21"/>
        <v>16662</v>
      </c>
      <c r="J565" s="1056">
        <f>SUM(J564)</f>
        <v>0</v>
      </c>
      <c r="K565" s="1056">
        <f>SUM(K564)</f>
        <v>0</v>
      </c>
      <c r="L565" s="1056">
        <f>SUM(L564)</f>
        <v>16662</v>
      </c>
      <c r="M565" s="1056">
        <f>SUM(M564)</f>
        <v>0</v>
      </c>
      <c r="N565" s="1302">
        <f>SUM(N564)</f>
        <v>0</v>
      </c>
    </row>
    <row r="566" spans="1:14" s="60" customFormat="1" ht="25.5" customHeight="1">
      <c r="A566" s="1044">
        <v>559</v>
      </c>
      <c r="B566" s="172"/>
      <c r="C566" s="167">
        <v>120</v>
      </c>
      <c r="D566" s="1079" t="s">
        <v>972</v>
      </c>
      <c r="E566" s="169" t="s">
        <v>466</v>
      </c>
      <c r="F566" s="509">
        <v>1091</v>
      </c>
      <c r="G566" s="509"/>
      <c r="H566" s="665"/>
      <c r="I566" s="675">
        <f t="shared" si="14"/>
        <v>0</v>
      </c>
      <c r="J566" s="170"/>
      <c r="K566" s="170"/>
      <c r="L566" s="170"/>
      <c r="M566" s="170"/>
      <c r="N566" s="414"/>
    </row>
    <row r="567" spans="1:14" s="60" customFormat="1" ht="16.5">
      <c r="A567" s="1044">
        <v>560</v>
      </c>
      <c r="B567" s="172"/>
      <c r="C567" s="171">
        <v>121</v>
      </c>
      <c r="D567" s="1079" t="s">
        <v>974</v>
      </c>
      <c r="E567" s="169" t="s">
        <v>466</v>
      </c>
      <c r="F567" s="509">
        <v>3718</v>
      </c>
      <c r="G567" s="509"/>
      <c r="H567" s="665"/>
      <c r="I567" s="675">
        <f t="shared" si="14"/>
        <v>0</v>
      </c>
      <c r="J567" s="170"/>
      <c r="K567" s="170"/>
      <c r="L567" s="170"/>
      <c r="M567" s="170"/>
      <c r="N567" s="414"/>
    </row>
    <row r="568" spans="1:14" s="60" customFormat="1" ht="16.5">
      <c r="A568" s="1044">
        <v>561</v>
      </c>
      <c r="B568" s="172"/>
      <c r="C568" s="171">
        <v>122</v>
      </c>
      <c r="D568" s="1079" t="s">
        <v>975</v>
      </c>
      <c r="E568" s="169" t="s">
        <v>466</v>
      </c>
      <c r="F568" s="509"/>
      <c r="G568" s="509">
        <v>114584</v>
      </c>
      <c r="H568" s="665"/>
      <c r="I568" s="675">
        <f t="shared" si="14"/>
        <v>0</v>
      </c>
      <c r="J568" s="170"/>
      <c r="K568" s="170"/>
      <c r="L568" s="170"/>
      <c r="M568" s="170"/>
      <c r="N568" s="414"/>
    </row>
    <row r="569" spans="1:14" s="60" customFormat="1" ht="16.5">
      <c r="A569" s="1044">
        <v>562</v>
      </c>
      <c r="B569" s="172"/>
      <c r="C569" s="171">
        <v>123</v>
      </c>
      <c r="D569" s="1079" t="s">
        <v>976</v>
      </c>
      <c r="E569" s="169" t="s">
        <v>400</v>
      </c>
      <c r="F569" s="509">
        <v>389</v>
      </c>
      <c r="G569" s="509"/>
      <c r="H569" s="665"/>
      <c r="I569" s="675">
        <f t="shared" si="14"/>
        <v>0</v>
      </c>
      <c r="J569" s="170"/>
      <c r="K569" s="170"/>
      <c r="L569" s="170"/>
      <c r="M569" s="170"/>
      <c r="N569" s="414"/>
    </row>
    <row r="570" spans="1:14" s="60" customFormat="1" ht="16.5">
      <c r="A570" s="1044">
        <v>563</v>
      </c>
      <c r="B570" s="172"/>
      <c r="C570" s="171">
        <v>124</v>
      </c>
      <c r="D570" s="1079" t="s">
        <v>977</v>
      </c>
      <c r="E570" s="169" t="s">
        <v>400</v>
      </c>
      <c r="F570" s="509">
        <v>406</v>
      </c>
      <c r="G570" s="509"/>
      <c r="H570" s="665"/>
      <c r="I570" s="675">
        <f t="shared" si="14"/>
        <v>0</v>
      </c>
      <c r="J570" s="170"/>
      <c r="K570" s="170"/>
      <c r="L570" s="170"/>
      <c r="M570" s="170"/>
      <c r="N570" s="414"/>
    </row>
    <row r="571" spans="1:14" s="60" customFormat="1" ht="16.5">
      <c r="A571" s="1044">
        <v>564</v>
      </c>
      <c r="B571" s="172"/>
      <c r="C571" s="171">
        <v>125</v>
      </c>
      <c r="D571" s="1079" t="s">
        <v>978</v>
      </c>
      <c r="E571" s="169" t="s">
        <v>400</v>
      </c>
      <c r="F571" s="509">
        <v>221</v>
      </c>
      <c r="G571" s="509"/>
      <c r="H571" s="665"/>
      <c r="I571" s="675">
        <f t="shared" si="14"/>
        <v>0</v>
      </c>
      <c r="J571" s="170"/>
      <c r="K571" s="170"/>
      <c r="L571" s="170"/>
      <c r="M571" s="170"/>
      <c r="N571" s="414"/>
    </row>
    <row r="572" spans="1:14" s="60" customFormat="1" ht="16.5">
      <c r="A572" s="1044">
        <v>565</v>
      </c>
      <c r="B572" s="172"/>
      <c r="C572" s="171">
        <v>126</v>
      </c>
      <c r="D572" s="1079" t="s">
        <v>979</v>
      </c>
      <c r="E572" s="169" t="s">
        <v>400</v>
      </c>
      <c r="F572" s="509">
        <v>640</v>
      </c>
      <c r="G572" s="509"/>
      <c r="H572" s="665"/>
      <c r="I572" s="675">
        <f t="shared" si="14"/>
        <v>0</v>
      </c>
      <c r="J572" s="170"/>
      <c r="K572" s="170"/>
      <c r="L572" s="170"/>
      <c r="M572" s="170"/>
      <c r="N572" s="414"/>
    </row>
    <row r="573" spans="1:14" s="60" customFormat="1" ht="16.5">
      <c r="A573" s="1044">
        <v>566</v>
      </c>
      <c r="B573" s="172"/>
      <c r="C573" s="171">
        <v>127</v>
      </c>
      <c r="D573" s="1079" t="s">
        <v>982</v>
      </c>
      <c r="E573" s="169" t="s">
        <v>400</v>
      </c>
      <c r="F573" s="509">
        <v>308</v>
      </c>
      <c r="G573" s="509"/>
      <c r="H573" s="665"/>
      <c r="I573" s="675">
        <f aca="true" t="shared" si="22" ref="I573:I610">SUM(J573:N573)</f>
        <v>0</v>
      </c>
      <c r="J573" s="170"/>
      <c r="K573" s="170"/>
      <c r="L573" s="170"/>
      <c r="M573" s="170"/>
      <c r="N573" s="414"/>
    </row>
    <row r="574" spans="1:14" s="60" customFormat="1" ht="31.5">
      <c r="A574" s="1044">
        <v>567</v>
      </c>
      <c r="B574" s="172"/>
      <c r="C574" s="171">
        <v>128</v>
      </c>
      <c r="D574" s="1095" t="s">
        <v>983</v>
      </c>
      <c r="E574" s="169" t="s">
        <v>400</v>
      </c>
      <c r="F574" s="168"/>
      <c r="G574" s="168">
        <v>500</v>
      </c>
      <c r="H574" s="636"/>
      <c r="I574" s="675">
        <f t="shared" si="22"/>
        <v>0</v>
      </c>
      <c r="J574" s="170"/>
      <c r="K574" s="170"/>
      <c r="L574" s="170"/>
      <c r="M574" s="170"/>
      <c r="N574" s="414"/>
    </row>
    <row r="575" spans="1:14" s="60" customFormat="1" ht="16.5">
      <c r="A575" s="1044">
        <v>568</v>
      </c>
      <c r="B575" s="172"/>
      <c r="C575" s="171">
        <v>129</v>
      </c>
      <c r="D575" s="1079" t="s">
        <v>984</v>
      </c>
      <c r="E575" s="169" t="s">
        <v>400</v>
      </c>
      <c r="F575" s="509">
        <v>119037</v>
      </c>
      <c r="G575" s="509"/>
      <c r="H575" s="665"/>
      <c r="I575" s="675">
        <f t="shared" si="22"/>
        <v>0</v>
      </c>
      <c r="J575" s="170"/>
      <c r="K575" s="170"/>
      <c r="L575" s="170"/>
      <c r="M575" s="170"/>
      <c r="N575" s="414"/>
    </row>
    <row r="576" spans="1:14" s="60" customFormat="1" ht="16.5">
      <c r="A576" s="1044">
        <v>569</v>
      </c>
      <c r="B576" s="172"/>
      <c r="C576" s="171">
        <v>130</v>
      </c>
      <c r="D576" s="1079" t="s">
        <v>985</v>
      </c>
      <c r="E576" s="169" t="s">
        <v>400</v>
      </c>
      <c r="F576" s="509">
        <v>5</v>
      </c>
      <c r="G576" s="509"/>
      <c r="H576" s="665"/>
      <c r="I576" s="675">
        <f t="shared" si="22"/>
        <v>0</v>
      </c>
      <c r="J576" s="170"/>
      <c r="K576" s="170"/>
      <c r="L576" s="170"/>
      <c r="M576" s="170"/>
      <c r="N576" s="414"/>
    </row>
    <row r="577" spans="1:14" s="60" customFormat="1" ht="16.5">
      <c r="A577" s="1044">
        <v>570</v>
      </c>
      <c r="B577" s="172"/>
      <c r="C577" s="171">
        <v>131</v>
      </c>
      <c r="D577" s="1079" t="s">
        <v>986</v>
      </c>
      <c r="E577" s="169" t="s">
        <v>400</v>
      </c>
      <c r="F577" s="509">
        <v>5640</v>
      </c>
      <c r="G577" s="509"/>
      <c r="H577" s="665"/>
      <c r="I577" s="675">
        <f t="shared" si="22"/>
        <v>0</v>
      </c>
      <c r="J577" s="170"/>
      <c r="K577" s="170"/>
      <c r="L577" s="170"/>
      <c r="M577" s="170"/>
      <c r="N577" s="414"/>
    </row>
    <row r="578" spans="1:14" s="60" customFormat="1" ht="16.5">
      <c r="A578" s="1044">
        <v>571</v>
      </c>
      <c r="B578" s="172"/>
      <c r="C578" s="171">
        <v>132</v>
      </c>
      <c r="D578" s="1079" t="s">
        <v>987</v>
      </c>
      <c r="E578" s="169" t="s">
        <v>400</v>
      </c>
      <c r="F578" s="509">
        <v>55850</v>
      </c>
      <c r="G578" s="509">
        <v>24129</v>
      </c>
      <c r="H578" s="665">
        <v>24396</v>
      </c>
      <c r="I578" s="675">
        <f t="shared" si="22"/>
        <v>0</v>
      </c>
      <c r="J578" s="170"/>
      <c r="K578" s="170"/>
      <c r="L578" s="170"/>
      <c r="M578" s="170"/>
      <c r="N578" s="414"/>
    </row>
    <row r="579" spans="1:14" s="60" customFormat="1" ht="16.5">
      <c r="A579" s="1044">
        <v>572</v>
      </c>
      <c r="B579" s="172"/>
      <c r="C579" s="171">
        <v>133</v>
      </c>
      <c r="D579" s="1079" t="s">
        <v>988</v>
      </c>
      <c r="E579" s="169" t="s">
        <v>400</v>
      </c>
      <c r="F579" s="509"/>
      <c r="G579" s="509"/>
      <c r="H579" s="665">
        <f>4091-2532</f>
        <v>1559</v>
      </c>
      <c r="I579" s="675">
        <f t="shared" si="22"/>
        <v>0</v>
      </c>
      <c r="J579" s="170"/>
      <c r="K579" s="170"/>
      <c r="L579" s="170"/>
      <c r="M579" s="170"/>
      <c r="N579" s="414"/>
    </row>
    <row r="580" spans="1:14" s="60" customFormat="1" ht="16.5">
      <c r="A580" s="1044">
        <v>573</v>
      </c>
      <c r="B580" s="172"/>
      <c r="C580" s="171">
        <v>134</v>
      </c>
      <c r="D580" s="1079" t="s">
        <v>989</v>
      </c>
      <c r="E580" s="169" t="s">
        <v>400</v>
      </c>
      <c r="F580" s="509">
        <v>100</v>
      </c>
      <c r="G580" s="509"/>
      <c r="H580" s="665"/>
      <c r="I580" s="675">
        <f t="shared" si="22"/>
        <v>0</v>
      </c>
      <c r="J580" s="170"/>
      <c r="K580" s="170"/>
      <c r="L580" s="170"/>
      <c r="M580" s="170"/>
      <c r="N580" s="414"/>
    </row>
    <row r="581" spans="1:14" s="60" customFormat="1" ht="16.5">
      <c r="A581" s="1044">
        <v>574</v>
      </c>
      <c r="B581" s="172"/>
      <c r="C581" s="171">
        <v>135</v>
      </c>
      <c r="D581" s="1079" t="s">
        <v>990</v>
      </c>
      <c r="E581" s="169" t="s">
        <v>400</v>
      </c>
      <c r="F581" s="509">
        <v>100</v>
      </c>
      <c r="G581" s="509"/>
      <c r="H581" s="665"/>
      <c r="I581" s="675">
        <f t="shared" si="22"/>
        <v>0</v>
      </c>
      <c r="J581" s="170"/>
      <c r="K581" s="170"/>
      <c r="L581" s="170"/>
      <c r="M581" s="170"/>
      <c r="N581" s="414"/>
    </row>
    <row r="582" spans="1:14" s="60" customFormat="1" ht="16.5">
      <c r="A582" s="1044">
        <v>575</v>
      </c>
      <c r="B582" s="172"/>
      <c r="C582" s="171">
        <v>136</v>
      </c>
      <c r="D582" s="1079" t="s">
        <v>991</v>
      </c>
      <c r="E582" s="169" t="s">
        <v>400</v>
      </c>
      <c r="F582" s="509">
        <v>100</v>
      </c>
      <c r="G582" s="509"/>
      <c r="H582" s="665"/>
      <c r="I582" s="675">
        <f t="shared" si="22"/>
        <v>0</v>
      </c>
      <c r="J582" s="170"/>
      <c r="K582" s="170"/>
      <c r="L582" s="170"/>
      <c r="M582" s="170"/>
      <c r="N582" s="414"/>
    </row>
    <row r="583" spans="1:14" s="60" customFormat="1" ht="16.5">
      <c r="A583" s="1044">
        <v>576</v>
      </c>
      <c r="B583" s="172"/>
      <c r="C583" s="171">
        <v>137</v>
      </c>
      <c r="D583" s="1079" t="s">
        <v>992</v>
      </c>
      <c r="E583" s="169" t="s">
        <v>400</v>
      </c>
      <c r="F583" s="509">
        <v>100</v>
      </c>
      <c r="G583" s="509"/>
      <c r="H583" s="665"/>
      <c r="I583" s="675">
        <f t="shared" si="22"/>
        <v>0</v>
      </c>
      <c r="J583" s="170"/>
      <c r="K583" s="170"/>
      <c r="L583" s="170"/>
      <c r="M583" s="170"/>
      <c r="N583" s="414"/>
    </row>
    <row r="584" spans="1:14" s="60" customFormat="1" ht="16.5">
      <c r="A584" s="1044">
        <v>577</v>
      </c>
      <c r="B584" s="172"/>
      <c r="C584" s="171">
        <v>138</v>
      </c>
      <c r="D584" s="1079" t="s">
        <v>993</v>
      </c>
      <c r="E584" s="169" t="s">
        <v>400</v>
      </c>
      <c r="F584" s="509">
        <v>100</v>
      </c>
      <c r="G584" s="509"/>
      <c r="H584" s="665"/>
      <c r="I584" s="675">
        <f t="shared" si="22"/>
        <v>0</v>
      </c>
      <c r="J584" s="170"/>
      <c r="K584" s="170"/>
      <c r="L584" s="170"/>
      <c r="M584" s="170"/>
      <c r="N584" s="414"/>
    </row>
    <row r="585" spans="1:14" s="60" customFormat="1" ht="16.5">
      <c r="A585" s="1044">
        <v>578</v>
      </c>
      <c r="B585" s="172"/>
      <c r="C585" s="171">
        <v>139</v>
      </c>
      <c r="D585" s="1079" t="s">
        <v>994</v>
      </c>
      <c r="E585" s="169" t="s">
        <v>400</v>
      </c>
      <c r="F585" s="509">
        <v>100</v>
      </c>
      <c r="G585" s="509"/>
      <c r="H585" s="665"/>
      <c r="I585" s="675">
        <f t="shared" si="22"/>
        <v>0</v>
      </c>
      <c r="J585" s="170"/>
      <c r="K585" s="170"/>
      <c r="L585" s="170"/>
      <c r="M585" s="170"/>
      <c r="N585" s="414"/>
    </row>
    <row r="586" spans="1:14" s="60" customFormat="1" ht="16.5">
      <c r="A586" s="1044">
        <v>579</v>
      </c>
      <c r="B586" s="172"/>
      <c r="C586" s="171">
        <v>140</v>
      </c>
      <c r="D586" s="1079" t="s">
        <v>995</v>
      </c>
      <c r="E586" s="169" t="s">
        <v>400</v>
      </c>
      <c r="F586" s="509">
        <v>3482</v>
      </c>
      <c r="G586" s="509"/>
      <c r="H586" s="665"/>
      <c r="I586" s="675">
        <f t="shared" si="22"/>
        <v>0</v>
      </c>
      <c r="J586" s="170"/>
      <c r="K586" s="170"/>
      <c r="L586" s="170"/>
      <c r="M586" s="170"/>
      <c r="N586" s="414"/>
    </row>
    <row r="587" spans="1:14" s="60" customFormat="1" ht="16.5">
      <c r="A587" s="1044">
        <v>580</v>
      </c>
      <c r="B587" s="172"/>
      <c r="C587" s="171">
        <v>141</v>
      </c>
      <c r="D587" s="1079" t="s">
        <v>996</v>
      </c>
      <c r="E587" s="169" t="s">
        <v>400</v>
      </c>
      <c r="F587" s="509">
        <v>3160</v>
      </c>
      <c r="G587" s="509"/>
      <c r="H587" s="665"/>
      <c r="I587" s="675">
        <f t="shared" si="22"/>
        <v>0</v>
      </c>
      <c r="J587" s="170"/>
      <c r="K587" s="170"/>
      <c r="L587" s="170"/>
      <c r="M587" s="170"/>
      <c r="N587" s="414"/>
    </row>
    <row r="588" spans="1:14" s="60" customFormat="1" ht="16.5">
      <c r="A588" s="1044">
        <v>581</v>
      </c>
      <c r="B588" s="172"/>
      <c r="C588" s="171">
        <v>142</v>
      </c>
      <c r="D588" s="1079" t="s">
        <v>998</v>
      </c>
      <c r="E588" s="169" t="s">
        <v>400</v>
      </c>
      <c r="F588" s="509">
        <v>333</v>
      </c>
      <c r="G588" s="509"/>
      <c r="H588" s="665"/>
      <c r="I588" s="675">
        <f t="shared" si="22"/>
        <v>0</v>
      </c>
      <c r="J588" s="170"/>
      <c r="K588" s="170"/>
      <c r="L588" s="170"/>
      <c r="M588" s="170"/>
      <c r="N588" s="414"/>
    </row>
    <row r="589" spans="1:14" s="60" customFormat="1" ht="16.5">
      <c r="A589" s="1044">
        <v>582</v>
      </c>
      <c r="B589" s="172"/>
      <c r="C589" s="171">
        <v>143</v>
      </c>
      <c r="D589" s="1079" t="s">
        <v>999</v>
      </c>
      <c r="E589" s="169" t="s">
        <v>400</v>
      </c>
      <c r="F589" s="509">
        <v>201</v>
      </c>
      <c r="G589" s="509"/>
      <c r="H589" s="665"/>
      <c r="I589" s="675">
        <f t="shared" si="22"/>
        <v>0</v>
      </c>
      <c r="J589" s="170"/>
      <c r="K589" s="170"/>
      <c r="L589" s="170"/>
      <c r="M589" s="170"/>
      <c r="N589" s="414"/>
    </row>
    <row r="590" spans="1:14" s="60" customFormat="1" ht="16.5">
      <c r="A590" s="1044">
        <v>583</v>
      </c>
      <c r="B590" s="172"/>
      <c r="C590" s="171">
        <v>144</v>
      </c>
      <c r="D590" s="1079" t="s">
        <v>1000</v>
      </c>
      <c r="E590" s="169" t="s">
        <v>400</v>
      </c>
      <c r="F590" s="509">
        <v>56</v>
      </c>
      <c r="G590" s="509"/>
      <c r="H590" s="665"/>
      <c r="I590" s="675">
        <f t="shared" si="22"/>
        <v>0</v>
      </c>
      <c r="J590" s="170"/>
      <c r="K590" s="170"/>
      <c r="L590" s="170"/>
      <c r="M590" s="170"/>
      <c r="N590" s="414"/>
    </row>
    <row r="591" spans="1:14" s="60" customFormat="1" ht="31.5">
      <c r="A591" s="1044">
        <v>584</v>
      </c>
      <c r="B591" s="172"/>
      <c r="C591" s="171">
        <v>145</v>
      </c>
      <c r="D591" s="1095" t="s">
        <v>1001</v>
      </c>
      <c r="E591" s="169" t="s">
        <v>400</v>
      </c>
      <c r="F591" s="509"/>
      <c r="G591" s="509">
        <v>63701</v>
      </c>
      <c r="H591" s="665"/>
      <c r="I591" s="675">
        <f t="shared" si="22"/>
        <v>0</v>
      </c>
      <c r="J591" s="170"/>
      <c r="K591" s="170"/>
      <c r="L591" s="170"/>
      <c r="M591" s="170"/>
      <c r="N591" s="414"/>
    </row>
    <row r="592" spans="1:14" s="60" customFormat="1" ht="16.5">
      <c r="A592" s="1044">
        <v>585</v>
      </c>
      <c r="B592" s="172"/>
      <c r="C592" s="171">
        <v>146</v>
      </c>
      <c r="D592" s="1079" t="s">
        <v>1002</v>
      </c>
      <c r="E592" s="169" t="s">
        <v>400</v>
      </c>
      <c r="F592" s="509"/>
      <c r="G592" s="509">
        <v>1500</v>
      </c>
      <c r="H592" s="665"/>
      <c r="I592" s="675">
        <f t="shared" si="22"/>
        <v>0</v>
      </c>
      <c r="J592" s="170"/>
      <c r="K592" s="170"/>
      <c r="L592" s="170"/>
      <c r="M592" s="170"/>
      <c r="N592" s="414"/>
    </row>
    <row r="593" spans="1:14" s="60" customFormat="1" ht="16.5">
      <c r="A593" s="1044">
        <v>586</v>
      </c>
      <c r="B593" s="172"/>
      <c r="C593" s="171">
        <v>147</v>
      </c>
      <c r="D593" s="1079" t="s">
        <v>1003</v>
      </c>
      <c r="E593" s="169" t="s">
        <v>400</v>
      </c>
      <c r="F593" s="509"/>
      <c r="G593" s="509">
        <v>7000</v>
      </c>
      <c r="H593" s="665"/>
      <c r="I593" s="675">
        <f t="shared" si="22"/>
        <v>0</v>
      </c>
      <c r="J593" s="170"/>
      <c r="K593" s="170"/>
      <c r="L593" s="170"/>
      <c r="M593" s="170"/>
      <c r="N593" s="414"/>
    </row>
    <row r="594" spans="1:14" s="60" customFormat="1" ht="16.5">
      <c r="A594" s="1044">
        <v>587</v>
      </c>
      <c r="B594" s="172"/>
      <c r="C594" s="171">
        <v>148</v>
      </c>
      <c r="D594" s="1079" t="s">
        <v>1004</v>
      </c>
      <c r="E594" s="169" t="s">
        <v>400</v>
      </c>
      <c r="F594" s="509">
        <v>2308</v>
      </c>
      <c r="G594" s="509"/>
      <c r="H594" s="665"/>
      <c r="I594" s="675">
        <f t="shared" si="22"/>
        <v>0</v>
      </c>
      <c r="J594" s="170"/>
      <c r="K594" s="170"/>
      <c r="L594" s="170"/>
      <c r="M594" s="170"/>
      <c r="N594" s="414"/>
    </row>
    <row r="595" spans="1:14" s="60" customFormat="1" ht="16.5">
      <c r="A595" s="1044">
        <v>588</v>
      </c>
      <c r="B595" s="172"/>
      <c r="C595" s="171">
        <v>149</v>
      </c>
      <c r="D595" s="1079" t="s">
        <v>1005</v>
      </c>
      <c r="E595" s="169" t="s">
        <v>400</v>
      </c>
      <c r="F595" s="509">
        <v>749</v>
      </c>
      <c r="G595" s="509"/>
      <c r="H595" s="665"/>
      <c r="I595" s="675">
        <f t="shared" si="22"/>
        <v>0</v>
      </c>
      <c r="J595" s="170"/>
      <c r="K595" s="170"/>
      <c r="L595" s="170"/>
      <c r="M595" s="170"/>
      <c r="N595" s="414"/>
    </row>
    <row r="596" spans="1:14" s="60" customFormat="1" ht="16.5">
      <c r="A596" s="1044">
        <v>589</v>
      </c>
      <c r="B596" s="172"/>
      <c r="C596" s="171">
        <v>150</v>
      </c>
      <c r="D596" s="1079" t="s">
        <v>1006</v>
      </c>
      <c r="E596" s="169" t="s">
        <v>400</v>
      </c>
      <c r="F596" s="509">
        <v>1635</v>
      </c>
      <c r="G596" s="509">
        <v>25</v>
      </c>
      <c r="H596" s="665">
        <v>25</v>
      </c>
      <c r="I596" s="675">
        <f t="shared" si="22"/>
        <v>0</v>
      </c>
      <c r="J596" s="170"/>
      <c r="K596" s="170"/>
      <c r="L596" s="170"/>
      <c r="M596" s="170"/>
      <c r="N596" s="414"/>
    </row>
    <row r="597" spans="1:14" s="60" customFormat="1" ht="16.5">
      <c r="A597" s="1044">
        <v>590</v>
      </c>
      <c r="B597" s="172"/>
      <c r="C597" s="171">
        <v>151</v>
      </c>
      <c r="D597" s="1079" t="s">
        <v>1007</v>
      </c>
      <c r="E597" s="169" t="s">
        <v>400</v>
      </c>
      <c r="F597" s="509">
        <v>2970</v>
      </c>
      <c r="G597" s="509"/>
      <c r="H597" s="665"/>
      <c r="I597" s="675">
        <f t="shared" si="22"/>
        <v>0</v>
      </c>
      <c r="J597" s="170"/>
      <c r="K597" s="170"/>
      <c r="L597" s="170"/>
      <c r="M597" s="170"/>
      <c r="N597" s="414"/>
    </row>
    <row r="598" spans="1:14" s="60" customFormat="1" ht="16.5">
      <c r="A598" s="1044">
        <v>591</v>
      </c>
      <c r="B598" s="172"/>
      <c r="C598" s="171">
        <v>152</v>
      </c>
      <c r="D598" s="1079" t="s">
        <v>1011</v>
      </c>
      <c r="E598" s="169" t="s">
        <v>371</v>
      </c>
      <c r="F598" s="509">
        <v>1832</v>
      </c>
      <c r="G598" s="509">
        <v>165</v>
      </c>
      <c r="H598" s="665">
        <v>165</v>
      </c>
      <c r="I598" s="675">
        <f t="shared" si="22"/>
        <v>0</v>
      </c>
      <c r="J598" s="170"/>
      <c r="K598" s="170"/>
      <c r="L598" s="170"/>
      <c r="M598" s="170"/>
      <c r="N598" s="414"/>
    </row>
    <row r="599" spans="1:14" s="60" customFormat="1" ht="16.5">
      <c r="A599" s="1044">
        <v>592</v>
      </c>
      <c r="B599" s="172"/>
      <c r="C599" s="171">
        <v>153</v>
      </c>
      <c r="D599" s="1079" t="s">
        <v>1012</v>
      </c>
      <c r="E599" s="169" t="s">
        <v>371</v>
      </c>
      <c r="F599" s="509">
        <v>36426</v>
      </c>
      <c r="G599" s="509"/>
      <c r="H599" s="665">
        <v>4801</v>
      </c>
      <c r="I599" s="675">
        <f t="shared" si="22"/>
        <v>0</v>
      </c>
      <c r="J599" s="170"/>
      <c r="K599" s="170"/>
      <c r="L599" s="170"/>
      <c r="M599" s="170"/>
      <c r="N599" s="414"/>
    </row>
    <row r="600" spans="1:14" s="60" customFormat="1" ht="16.5">
      <c r="A600" s="1044">
        <v>593</v>
      </c>
      <c r="B600" s="172"/>
      <c r="C600" s="171">
        <v>154</v>
      </c>
      <c r="D600" s="1079" t="s">
        <v>1013</v>
      </c>
      <c r="E600" s="169" t="s">
        <v>371</v>
      </c>
      <c r="F600" s="509">
        <v>13155</v>
      </c>
      <c r="G600" s="509"/>
      <c r="H600" s="665">
        <v>369</v>
      </c>
      <c r="I600" s="675">
        <f t="shared" si="22"/>
        <v>0</v>
      </c>
      <c r="J600" s="170"/>
      <c r="K600" s="170"/>
      <c r="L600" s="170"/>
      <c r="M600" s="170"/>
      <c r="N600" s="414"/>
    </row>
    <row r="601" spans="1:14" s="60" customFormat="1" ht="16.5">
      <c r="A601" s="1044">
        <v>594</v>
      </c>
      <c r="B601" s="172"/>
      <c r="C601" s="171">
        <v>155</v>
      </c>
      <c r="D601" s="1079" t="s">
        <v>1014</v>
      </c>
      <c r="E601" s="169" t="s">
        <v>371</v>
      </c>
      <c r="F601" s="509">
        <v>21193</v>
      </c>
      <c r="G601" s="509"/>
      <c r="H601" s="665"/>
      <c r="I601" s="675">
        <f t="shared" si="22"/>
        <v>0</v>
      </c>
      <c r="J601" s="170"/>
      <c r="K601" s="170"/>
      <c r="L601" s="170"/>
      <c r="M601" s="170"/>
      <c r="N601" s="414"/>
    </row>
    <row r="602" spans="1:14" s="60" customFormat="1" ht="16.5">
      <c r="A602" s="1044">
        <v>595</v>
      </c>
      <c r="B602" s="172"/>
      <c r="C602" s="171">
        <v>156</v>
      </c>
      <c r="D602" s="1079" t="s">
        <v>1015</v>
      </c>
      <c r="E602" s="169" t="s">
        <v>371</v>
      </c>
      <c r="F602" s="509">
        <v>35129</v>
      </c>
      <c r="G602" s="509"/>
      <c r="H602" s="665"/>
      <c r="I602" s="675">
        <f t="shared" si="22"/>
        <v>0</v>
      </c>
      <c r="J602" s="170"/>
      <c r="K602" s="170"/>
      <c r="L602" s="170"/>
      <c r="M602" s="170"/>
      <c r="N602" s="414"/>
    </row>
    <row r="603" spans="1:14" s="60" customFormat="1" ht="16.5">
      <c r="A603" s="1044">
        <v>596</v>
      </c>
      <c r="B603" s="172"/>
      <c r="C603" s="171">
        <v>157</v>
      </c>
      <c r="D603" s="1079" t="s">
        <v>1016</v>
      </c>
      <c r="E603" s="169" t="s">
        <v>371</v>
      </c>
      <c r="F603" s="509">
        <v>1523</v>
      </c>
      <c r="G603" s="509"/>
      <c r="H603" s="665"/>
      <c r="I603" s="675">
        <f t="shared" si="22"/>
        <v>0</v>
      </c>
      <c r="J603" s="170"/>
      <c r="K603" s="170"/>
      <c r="L603" s="170"/>
      <c r="M603" s="170"/>
      <c r="N603" s="414"/>
    </row>
    <row r="604" spans="1:14" s="60" customFormat="1" ht="16.5">
      <c r="A604" s="1044">
        <v>597</v>
      </c>
      <c r="B604" s="613"/>
      <c r="C604" s="171">
        <v>158</v>
      </c>
      <c r="D604" s="1079" t="s">
        <v>1017</v>
      </c>
      <c r="E604" s="614" t="s">
        <v>466</v>
      </c>
      <c r="F604" s="615"/>
      <c r="G604" s="615"/>
      <c r="H604" s="669">
        <v>63</v>
      </c>
      <c r="I604" s="675">
        <f t="shared" si="22"/>
        <v>0</v>
      </c>
      <c r="J604" s="170"/>
      <c r="K604" s="170"/>
      <c r="L604" s="170"/>
      <c r="M604" s="170"/>
      <c r="N604" s="414"/>
    </row>
    <row r="605" spans="1:14" s="60" customFormat="1" ht="16.5">
      <c r="A605" s="1044">
        <v>598</v>
      </c>
      <c r="B605" s="613"/>
      <c r="C605" s="171">
        <v>159</v>
      </c>
      <c r="D605" s="1079" t="s">
        <v>1018</v>
      </c>
      <c r="E605" s="614" t="s">
        <v>466</v>
      </c>
      <c r="F605" s="615"/>
      <c r="G605" s="615"/>
      <c r="H605" s="669">
        <v>59</v>
      </c>
      <c r="I605" s="675">
        <f t="shared" si="22"/>
        <v>0</v>
      </c>
      <c r="J605" s="616"/>
      <c r="K605" s="616"/>
      <c r="L605" s="616"/>
      <c r="M605" s="616"/>
      <c r="N605" s="617"/>
    </row>
    <row r="606" spans="1:14" s="60" customFormat="1" ht="16.5">
      <c r="A606" s="1044">
        <v>599</v>
      </c>
      <c r="B606" s="613"/>
      <c r="C606" s="171">
        <v>160</v>
      </c>
      <c r="D606" s="1079" t="s">
        <v>1019</v>
      </c>
      <c r="E606" s="614" t="s">
        <v>466</v>
      </c>
      <c r="F606" s="615"/>
      <c r="G606" s="615"/>
      <c r="H606" s="669"/>
      <c r="I606" s="675">
        <f t="shared" si="22"/>
        <v>0</v>
      </c>
      <c r="J606" s="616"/>
      <c r="K606" s="616"/>
      <c r="L606" s="616"/>
      <c r="M606" s="616"/>
      <c r="N606" s="617"/>
    </row>
    <row r="607" spans="1:14" s="60" customFormat="1" ht="16.5">
      <c r="A607" s="1044">
        <v>600</v>
      </c>
      <c r="B607" s="613"/>
      <c r="C607" s="171">
        <v>161</v>
      </c>
      <c r="D607" s="1079" t="s">
        <v>1020</v>
      </c>
      <c r="E607" s="614" t="s">
        <v>466</v>
      </c>
      <c r="F607" s="615"/>
      <c r="G607" s="615"/>
      <c r="H607" s="669">
        <v>17515</v>
      </c>
      <c r="I607" s="675">
        <f t="shared" si="22"/>
        <v>0</v>
      </c>
      <c r="J607" s="616"/>
      <c r="K607" s="616"/>
      <c r="L607" s="616"/>
      <c r="M607" s="616"/>
      <c r="N607" s="617"/>
    </row>
    <row r="608" spans="1:14" s="60" customFormat="1" ht="31.5">
      <c r="A608" s="1044">
        <v>601</v>
      </c>
      <c r="B608" s="613"/>
      <c r="C608" s="171">
        <v>162</v>
      </c>
      <c r="D608" s="1095" t="s">
        <v>968</v>
      </c>
      <c r="E608" s="614" t="s">
        <v>400</v>
      </c>
      <c r="F608" s="615"/>
      <c r="G608" s="615"/>
      <c r="H608" s="669">
        <v>336</v>
      </c>
      <c r="I608" s="675">
        <f t="shared" si="22"/>
        <v>0</v>
      </c>
      <c r="J608" s="616"/>
      <c r="K608" s="616"/>
      <c r="L608" s="616"/>
      <c r="M608" s="616"/>
      <c r="N608" s="617"/>
    </row>
    <row r="609" spans="1:14" s="60" customFormat="1" ht="16.5">
      <c r="A609" s="1044">
        <v>602</v>
      </c>
      <c r="B609" s="613"/>
      <c r="C609" s="171">
        <v>163</v>
      </c>
      <c r="D609" s="1095" t="s">
        <v>1025</v>
      </c>
      <c r="E609" s="614" t="s">
        <v>400</v>
      </c>
      <c r="F609" s="615"/>
      <c r="G609" s="615"/>
      <c r="H609" s="669">
        <v>7723</v>
      </c>
      <c r="I609" s="675">
        <f t="shared" si="22"/>
        <v>0</v>
      </c>
      <c r="J609" s="616"/>
      <c r="K609" s="616"/>
      <c r="L609" s="616"/>
      <c r="M609" s="616"/>
      <c r="N609" s="617"/>
    </row>
    <row r="610" spans="1:14" s="60" customFormat="1" ht="32.25" thickBot="1">
      <c r="A610" s="1044">
        <v>603</v>
      </c>
      <c r="B610" s="613"/>
      <c r="C610" s="171">
        <v>164</v>
      </c>
      <c r="D610" s="1096" t="s">
        <v>1026</v>
      </c>
      <c r="E610" s="614" t="s">
        <v>466</v>
      </c>
      <c r="F610" s="615"/>
      <c r="G610" s="615"/>
      <c r="H610" s="669">
        <v>4064</v>
      </c>
      <c r="I610" s="679">
        <f t="shared" si="22"/>
        <v>0</v>
      </c>
      <c r="J610" s="616"/>
      <c r="K610" s="616"/>
      <c r="L610" s="616"/>
      <c r="M610" s="616"/>
      <c r="N610" s="617"/>
    </row>
    <row r="611" spans="1:14" s="164" customFormat="1" ht="19.5" customHeight="1">
      <c r="A611" s="1044">
        <v>604</v>
      </c>
      <c r="B611" s="640"/>
      <c r="C611" s="641"/>
      <c r="D611" s="642" t="s">
        <v>3</v>
      </c>
      <c r="E611" s="643"/>
      <c r="F611" s="644">
        <f>SUM(F7:F35,F59:F95,F115:F151,F176:F478,F502:F603)</f>
        <v>3102371</v>
      </c>
      <c r="G611" s="644">
        <f>SUM(G7:G35,G59:G95,G115:G151,G176:G478,G502:G607)</f>
        <v>3968229</v>
      </c>
      <c r="H611" s="670">
        <f>SUM(H7:H35,H59:H95,H115:H151,H176:H478,H502:H610)</f>
        <v>3823797</v>
      </c>
      <c r="I611" s="680"/>
      <c r="J611" s="645"/>
      <c r="K611" s="645"/>
      <c r="L611" s="645"/>
      <c r="M611" s="645"/>
      <c r="N611" s="646"/>
    </row>
    <row r="612" spans="1:14" s="164" customFormat="1" ht="19.5" customHeight="1">
      <c r="A612" s="1044">
        <v>605</v>
      </c>
      <c r="B612" s="173"/>
      <c r="C612" s="631"/>
      <c r="D612" s="647" t="s">
        <v>1168</v>
      </c>
      <c r="E612" s="648"/>
      <c r="F612" s="649"/>
      <c r="G612" s="649"/>
      <c r="H612" s="671"/>
      <c r="I612" s="681">
        <f aca="true" t="shared" si="23" ref="I612:N612">SUM(I525+I519+I515+I511+I507+I503+I479+I475+I471+I467+I463+I459+I455+I451+I447+I443+I439+I435+I431+I427+I421+I417+I413+I406+I401+I397+I390+I386+I382+I378+I374+I370+I366+I362+I358+I354+I350+I346+I342+I338+I334+I330+I326+I322+I318+I314+I310+I306+I302+I298+I294+I290+I286+I282+I278+I274+I270+I266+I262+I258+I254+I250+I246+I242+I238+I233+I229+I225+I221+I217+I213+I209+I205+I201+I197+I193+I189+I185+I181+I177+I152+I148+I144+I140+I136+I132+I128+I124+I120+I116+I96+I92+I88+I84+I80+I76+I71+I67+I60+I36+I32+I28+I24+I20+I16+I12+I8)</f>
        <v>4181144</v>
      </c>
      <c r="J612" s="650">
        <f t="shared" si="23"/>
        <v>53432</v>
      </c>
      <c r="K612" s="650">
        <f t="shared" si="23"/>
        <v>10236</v>
      </c>
      <c r="L612" s="650">
        <f t="shared" si="23"/>
        <v>3025107</v>
      </c>
      <c r="M612" s="650">
        <f t="shared" si="23"/>
        <v>276400</v>
      </c>
      <c r="N612" s="651">
        <f t="shared" si="23"/>
        <v>815969</v>
      </c>
    </row>
    <row r="613" spans="1:14" s="657" customFormat="1" ht="19.5" customHeight="1">
      <c r="A613" s="1044">
        <v>606</v>
      </c>
      <c r="B613" s="652"/>
      <c r="C613" s="653"/>
      <c r="D613" s="654" t="s">
        <v>1170</v>
      </c>
      <c r="E613" s="655"/>
      <c r="F613" s="656"/>
      <c r="G613" s="656"/>
      <c r="H613" s="672"/>
      <c r="I613" s="1057">
        <f aca="true" t="shared" si="24" ref="I613:N613">SUM(I550+I547+I546+I543+I542+I539+I536+I533+I530+I529+I526+I520+I516+I512+I508+I504+I500+I496+I492+I488+I484+I476+I472+I468+I464+I460+I456+I452+I448+I444+I440+I436+I432+I428+I424+I423+I422+I418+I414+I410+I407+I403+I402+I398+I394+I393+I392+I391+I387+I383+I379+I375+I371+I367+I363+I359+I355+I351+I347+I343+I339+I335+I331+I327+I323+I319+I315+I311+I307+I303+I299+I295+I291+I287+I283+I279+I275+I271+I267+I263+I259+I255+I251+I247+I243+I239+I234+I230+I226+I222+I218+I214+I210+I206+I202+I198+I194+I190+I186+I182+I178+I174+I170+I166+I162+I161+I157+I149+I145+I141+I137+I133+I129+I125+I121+I117+I113+I109+I105+I101+I93+I89+I85+I81+I77+I73+I72+I68+I64+I63+I62+I61+I57+I53+I49+I45+I41+I33+I29+I25+I21+I17+I13+I9)+I553+I235+I556+I557+I564+I560+I521+I522+I561</f>
        <v>615370</v>
      </c>
      <c r="J613" s="656">
        <f t="shared" si="24"/>
        <v>3478</v>
      </c>
      <c r="K613" s="656">
        <f t="shared" si="24"/>
        <v>939</v>
      </c>
      <c r="L613" s="656">
        <f t="shared" si="24"/>
        <v>439124</v>
      </c>
      <c r="M613" s="656">
        <f t="shared" si="24"/>
        <v>0</v>
      </c>
      <c r="N613" s="1303">
        <f t="shared" si="24"/>
        <v>171829</v>
      </c>
    </row>
    <row r="614" spans="1:14" s="164" customFormat="1" ht="19.5" customHeight="1" thickBot="1">
      <c r="A614" s="1044">
        <v>607</v>
      </c>
      <c r="B614" s="658"/>
      <c r="C614" s="659"/>
      <c r="D614" s="660" t="s">
        <v>1169</v>
      </c>
      <c r="E614" s="661"/>
      <c r="F614" s="662"/>
      <c r="G614" s="662"/>
      <c r="H614" s="673"/>
      <c r="I614" s="682">
        <f aca="true" t="shared" si="25" ref="I614:N614">SUM(I612:I613)</f>
        <v>4796514</v>
      </c>
      <c r="J614" s="662">
        <f t="shared" si="25"/>
        <v>56910</v>
      </c>
      <c r="K614" s="662">
        <f t="shared" si="25"/>
        <v>11175</v>
      </c>
      <c r="L614" s="662">
        <f t="shared" si="25"/>
        <v>3464231</v>
      </c>
      <c r="M614" s="662">
        <f t="shared" si="25"/>
        <v>276400</v>
      </c>
      <c r="N614" s="663">
        <f t="shared" si="25"/>
        <v>987798</v>
      </c>
    </row>
    <row r="615" spans="1:14" s="1068" customFormat="1" ht="16.5">
      <c r="A615" s="1044">
        <v>608</v>
      </c>
      <c r="B615" s="1060"/>
      <c r="C615" s="1061"/>
      <c r="D615" s="1062" t="s">
        <v>380</v>
      </c>
      <c r="E615" s="1061"/>
      <c r="F615" s="1063">
        <f>SUM(F7:F15,F131:F139,F200:F241,F261,F293:F317,F377:F426,F434:F462,F478,F566:F568,)+F610+F604+F605+F606+F607</f>
        <v>1180947</v>
      </c>
      <c r="G615" s="1063">
        <f>SUM(G7:G15,G131:G139,G200:G241,G261,G293:G317,G377:G426,G434:G462,G478,G566:G568,)+G610+G604+G605+G606+G607</f>
        <v>2342173</v>
      </c>
      <c r="H615" s="1064">
        <f>SUM(H7:H15,H131:H139,H200:H241,H261,H293:H317,H377:H426,H434:H462,H478,H566:H568,)+H610+H604+H605+H606+H607</f>
        <v>2570579</v>
      </c>
      <c r="I615" s="1065"/>
      <c r="J615" s="1066"/>
      <c r="K615" s="1066"/>
      <c r="L615" s="1066"/>
      <c r="M615" s="1066"/>
      <c r="N615" s="1067"/>
    </row>
    <row r="616" spans="1:14" s="1068" customFormat="1" ht="16.5">
      <c r="A616" s="1044">
        <v>609</v>
      </c>
      <c r="B616" s="1069"/>
      <c r="C616" s="1070"/>
      <c r="D616" s="1071" t="s">
        <v>1168</v>
      </c>
      <c r="E616" s="1070"/>
      <c r="F616" s="1072"/>
      <c r="G616" s="1072"/>
      <c r="H616" s="1073"/>
      <c r="I616" s="1074">
        <f aca="true" t="shared" si="26" ref="I616:N616">SUM(I479+I463+I459+I455+I451+I447+I443+I439+I435+I427+I421+I417+I413+I406+I401+I397+I390+I386+I382+I378+I318+I314+I310+I306+I302+I298+I294+I262+I242+I238+I233+I229+I225+I221+I217+I213+I209+I205+I201+I140+I136+I132+I16+I12+I8)</f>
        <v>2872399</v>
      </c>
      <c r="J616" s="1072">
        <f t="shared" si="26"/>
        <v>39844</v>
      </c>
      <c r="K616" s="1072">
        <f t="shared" si="26"/>
        <v>5604</v>
      </c>
      <c r="L616" s="1072">
        <f t="shared" si="26"/>
        <v>2242682</v>
      </c>
      <c r="M616" s="1072">
        <f t="shared" si="26"/>
        <v>32000</v>
      </c>
      <c r="N616" s="1304">
        <f t="shared" si="26"/>
        <v>552269</v>
      </c>
    </row>
    <row r="617" spans="1:14" s="1068" customFormat="1" ht="16.5">
      <c r="A617" s="1044">
        <v>610</v>
      </c>
      <c r="B617" s="1069"/>
      <c r="C617" s="1070"/>
      <c r="D617" s="1071" t="s">
        <v>1170</v>
      </c>
      <c r="E617" s="1070"/>
      <c r="F617" s="1072"/>
      <c r="G617" s="1072"/>
      <c r="H617" s="1077"/>
      <c r="I617" s="1154">
        <f aca="true" t="shared" si="27" ref="I617:N617">SUM(I557+I556+I550+I480+I464+I460+I456+I452+I448+I444+I436+I440+I428+I424+I423+I422+I418+I414+I407+I403+I402+I398+I394+I393+I392+I391+I387+I383+I379+I319+I315+I311+I307+I303+I299+I295+I263+I243+I239+I235+I234+I230+I226+I222+I218+I214+I210+I206+I202+I141+I137+I133+I17+I13+I9)</f>
        <v>255697</v>
      </c>
      <c r="J617" s="1155">
        <f t="shared" si="27"/>
        <v>0</v>
      </c>
      <c r="K617" s="1155">
        <f t="shared" si="27"/>
        <v>0</v>
      </c>
      <c r="L617" s="1155">
        <f t="shared" si="27"/>
        <v>268023</v>
      </c>
      <c r="M617" s="1155">
        <f t="shared" si="27"/>
        <v>0</v>
      </c>
      <c r="N617" s="1305">
        <f t="shared" si="27"/>
        <v>-12326</v>
      </c>
    </row>
    <row r="618" spans="1:14" s="1087" customFormat="1" ht="15.75">
      <c r="A618" s="1044">
        <v>611</v>
      </c>
      <c r="B618" s="1081"/>
      <c r="C618" s="1082"/>
      <c r="D618" s="1083" t="s">
        <v>1169</v>
      </c>
      <c r="E618" s="1082"/>
      <c r="F618" s="1084"/>
      <c r="G618" s="1084"/>
      <c r="H618" s="1085"/>
      <c r="I618" s="1086">
        <f aca="true" t="shared" si="28" ref="I618:N618">SUM(I616:I617)</f>
        <v>3128096</v>
      </c>
      <c r="J618" s="1084">
        <f t="shared" si="28"/>
        <v>39844</v>
      </c>
      <c r="K618" s="1084">
        <f t="shared" si="28"/>
        <v>5604</v>
      </c>
      <c r="L618" s="1084">
        <f t="shared" si="28"/>
        <v>2510705</v>
      </c>
      <c r="M618" s="1084">
        <f t="shared" si="28"/>
        <v>32000</v>
      </c>
      <c r="N618" s="1306">
        <f t="shared" si="28"/>
        <v>539943</v>
      </c>
    </row>
    <row r="619" spans="1:14" s="1068" customFormat="1" ht="16.5">
      <c r="A619" s="1044">
        <v>612</v>
      </c>
      <c r="B619" s="1069"/>
      <c r="C619" s="1070"/>
      <c r="D619" s="1088" t="s">
        <v>381</v>
      </c>
      <c r="E619" s="1070"/>
      <c r="F619" s="1072">
        <f>SUM(F19:F35,F59:F95,F115:F127,F143:F151,F245:F257,F265:F289,F321:F373,F430,F466:F474,F502:F524,F569:F597)+F563+F609+F545+F541+F608+F559</f>
        <v>1518968</v>
      </c>
      <c r="G619" s="1072">
        <f>SUM(G19:G35,G59:G95,G115:G127,G143:G151,G245:G257,G265:G289,G321:G373,G430,G466:G474,G502:G524,G569:G597)+G563+G609+G545+G541+G608+G559</f>
        <v>1321791</v>
      </c>
      <c r="H619" s="1077">
        <f>SUM(H19:H35,H59:H95,H115:H127,H143:H151,H245:H257,H265:H289,H321:H373,H430,H466:H474,H502:H524,H569:H597)+H563+H609+H545+H541+H608+H559</f>
        <v>1008218</v>
      </c>
      <c r="I619" s="1078"/>
      <c r="J619" s="1079"/>
      <c r="K619" s="1079"/>
      <c r="L619" s="1079"/>
      <c r="M619" s="1079"/>
      <c r="N619" s="1080"/>
    </row>
    <row r="620" spans="1:14" s="1068" customFormat="1" ht="16.5">
      <c r="A620" s="1044">
        <v>613</v>
      </c>
      <c r="B620" s="1069"/>
      <c r="C620" s="1070"/>
      <c r="D620" s="1071" t="s">
        <v>1168</v>
      </c>
      <c r="E620" s="1070"/>
      <c r="F620" s="1072"/>
      <c r="G620" s="1072"/>
      <c r="H620" s="1077"/>
      <c r="I620" s="1074">
        <f>SUM(I525+I519+I511+I507+I503+I475+I471+I467+I431+I374+I370+I366+I362+I358+I354+I350+I346+I342+I338+I334+I330+I326+I322+I290+I286+I282+I278+I274+I270+I266+I258+I254+I250+I246+I152+I148+I144+I128+I124+I120+I116+I96+I92+I88+I84+I80+I76+I71+I67+I60+I36+I32+I28+I24+I20)+I515</f>
        <v>1064845</v>
      </c>
      <c r="J620" s="1072">
        <f>SUM(J525+J519+J511+J507+J503+J475+J471+J467+J431+J374+J370+J366+J362+J358+J354+J350+J346+J342+J338+J334+J330+J326+J322+J290+J286+J282+J278+J274+J270+J266+J258+J254+J250+J246+J152+J148+J144+J128+J124+J120+J116+J96+J92+J88+J84+J80+J76+J71+J67+J60+J36+J32+J28+J24+J20)</f>
        <v>13588</v>
      </c>
      <c r="K620" s="1072">
        <f>SUM(K525+K519+K511+K507+K503+K475+K471+K467+K431+K374+K370+K366+K362+K358+K354+K350+K346+K342+K338+K334+K330+K326+K322+K290+K286+K282+K278+K274+K270+K266+K258+K254+K250+K246+K152+K148+K144+K128+K124+K120+K116+K96+K92+K88+K84+K80+K76+K71+K67+K60+K36+K32+K28+K24+K20)</f>
        <v>4632</v>
      </c>
      <c r="L620" s="1072">
        <f>SUM(L525+L519+L511+L507+L503+L475+L471+L467+L431+L374+L370+L366+L362+L358+L354+L350+L346+L342+L338+L334+L330+L326+L322+L290+L286+L282+L278+L274+L270+L266+L258+L254+L250+L246+L152+L148+L144+L128+L124+L120+L116+L96+L92+L88+L84+L80+L76+L71+L67+L60+L36+L32+L28+L24+L20)</f>
        <v>777798</v>
      </c>
      <c r="M620" s="1072">
        <f>SUM(M525+M519+M511+M507+M503+M475+M471+M467+M431+M374+M370+M366+M362+M358+M354+M350+M346+M342+M338+M334+M330+M326+M322+M290+M286+M282+M278+M274+M270+M266+M258+M254+M250+M246+M152+M148+M144+M128+M124+M120+M116+M96+M92+M88+M84+M80+M76+M71+M67+M60+M36+M32+M28+M24+M20)</f>
        <v>500</v>
      </c>
      <c r="N620" s="1304">
        <f>SUM(N525+N519+N511+N507+N503+N475+N471+N467+N431+N374+N370+N366+N362+N358+N354+N350+N346+N342+N338+N334+N330+N326+N322+N290+N286+N282+N278+N274+N270+N266+N258+N254+N250+N246+N152+N148+N144+N128+N124+N120+N116+N96+N92+N88+N84+N80+N76+N71+N67+N60+N36+N32+N28+N24+N20)</f>
        <v>263700</v>
      </c>
    </row>
    <row r="621" spans="1:14" s="1068" customFormat="1" ht="16.5">
      <c r="A621" s="1044">
        <v>614</v>
      </c>
      <c r="B621" s="1069"/>
      <c r="C621" s="1070"/>
      <c r="D621" s="1071" t="s">
        <v>1170</v>
      </c>
      <c r="E621" s="1070"/>
      <c r="F621" s="1072"/>
      <c r="G621" s="1072"/>
      <c r="H621" s="1077"/>
      <c r="I621" s="1074">
        <f aca="true" t="shared" si="29" ref="I621:N621">SUM(I564+I561+I560+I553+I547+I546+I543+I542+I539+I536+I533+I530+I529+I526+I522+I521+I520+I516+I512+I508+I504+I476+I472+I468+I432+I410+I375+I371+I367+I363+I359+I355+I351+I347+I343+I339+I335+I331+I327+I323+I291+I287+I283+I279+I275+I271+I267+I259+I255+I251+I247+I153+I149+I145+I129+I125+I121+I117+I97+I93+I89+I85+I81+I77+I73+I72+I68+I64+I63+I62+I61+I37+I33+I29+I25+I21)</f>
        <v>359673</v>
      </c>
      <c r="J621" s="1072">
        <f t="shared" si="29"/>
        <v>3478</v>
      </c>
      <c r="K621" s="1072">
        <f t="shared" si="29"/>
        <v>939</v>
      </c>
      <c r="L621" s="1072">
        <f t="shared" si="29"/>
        <v>171101</v>
      </c>
      <c r="M621" s="1072">
        <f t="shared" si="29"/>
        <v>0</v>
      </c>
      <c r="N621" s="1304">
        <f t="shared" si="29"/>
        <v>184155</v>
      </c>
    </row>
    <row r="622" spans="1:14" s="1087" customFormat="1" ht="15.75">
      <c r="A622" s="1044">
        <v>615</v>
      </c>
      <c r="B622" s="1081"/>
      <c r="C622" s="1082"/>
      <c r="D622" s="1083" t="s">
        <v>1169</v>
      </c>
      <c r="E622" s="1082"/>
      <c r="F622" s="1084"/>
      <c r="G622" s="1084"/>
      <c r="H622" s="1085"/>
      <c r="I622" s="1086">
        <f aca="true" t="shared" si="30" ref="I622:N622">SUM(I620:I621)</f>
        <v>1424518</v>
      </c>
      <c r="J622" s="1084">
        <f t="shared" si="30"/>
        <v>17066</v>
      </c>
      <c r="K622" s="1084">
        <f t="shared" si="30"/>
        <v>5571</v>
      </c>
      <c r="L622" s="1084">
        <f t="shared" si="30"/>
        <v>948899</v>
      </c>
      <c r="M622" s="1084">
        <f t="shared" si="30"/>
        <v>500</v>
      </c>
      <c r="N622" s="1306">
        <f t="shared" si="30"/>
        <v>447855</v>
      </c>
    </row>
    <row r="623" spans="1:14" s="1068" customFormat="1" ht="16.5">
      <c r="A623" s="1044">
        <v>616</v>
      </c>
      <c r="B623" s="1069"/>
      <c r="C623" s="1070"/>
      <c r="D623" s="1088" t="s">
        <v>384</v>
      </c>
      <c r="E623" s="1070"/>
      <c r="F623" s="1072">
        <f>SUM(F176:F196,F598:F603)</f>
        <v>379178</v>
      </c>
      <c r="G623" s="1072">
        <f>SUM(G176:G196,G598:G603)</f>
        <v>288265</v>
      </c>
      <c r="H623" s="1077">
        <f>SUM(H176:H196,H598:H603)</f>
        <v>239504</v>
      </c>
      <c r="I623" s="1074"/>
      <c r="J623" s="1075"/>
      <c r="K623" s="1075"/>
      <c r="L623" s="1075"/>
      <c r="M623" s="1075"/>
      <c r="N623" s="1076"/>
    </row>
    <row r="624" spans="1:14" s="1068" customFormat="1" ht="16.5">
      <c r="A624" s="1044">
        <v>617</v>
      </c>
      <c r="B624" s="1069"/>
      <c r="C624" s="1070"/>
      <c r="D624" s="1071" t="s">
        <v>1168</v>
      </c>
      <c r="E624" s="1070"/>
      <c r="F624" s="1072"/>
      <c r="G624" s="1072"/>
      <c r="H624" s="1077"/>
      <c r="I624" s="1074">
        <f aca="true" t="shared" si="31" ref="I624:N625">SUM(I197+I193+I189+I185+I181+I177)</f>
        <v>243900</v>
      </c>
      <c r="J624" s="1072">
        <f t="shared" si="31"/>
        <v>0</v>
      </c>
      <c r="K624" s="1072">
        <f t="shared" si="31"/>
        <v>0</v>
      </c>
      <c r="L624" s="1072">
        <f t="shared" si="31"/>
        <v>0</v>
      </c>
      <c r="M624" s="1072">
        <f t="shared" si="31"/>
        <v>243900</v>
      </c>
      <c r="N624" s="1304">
        <f t="shared" si="31"/>
        <v>0</v>
      </c>
    </row>
    <row r="625" spans="1:14" s="1068" customFormat="1" ht="16.5">
      <c r="A625" s="1044">
        <v>618</v>
      </c>
      <c r="B625" s="1069"/>
      <c r="C625" s="1070"/>
      <c r="D625" s="1071" t="s">
        <v>1170</v>
      </c>
      <c r="E625" s="1070"/>
      <c r="F625" s="1072"/>
      <c r="G625" s="1072"/>
      <c r="H625" s="1077"/>
      <c r="I625" s="1074">
        <f t="shared" si="31"/>
        <v>0</v>
      </c>
      <c r="J625" s="1072">
        <f t="shared" si="31"/>
        <v>0</v>
      </c>
      <c r="K625" s="1072">
        <f t="shared" si="31"/>
        <v>0</v>
      </c>
      <c r="L625" s="1072">
        <f t="shared" si="31"/>
        <v>0</v>
      </c>
      <c r="M625" s="1072">
        <f t="shared" si="31"/>
        <v>0</v>
      </c>
      <c r="N625" s="1304">
        <f t="shared" si="31"/>
        <v>0</v>
      </c>
    </row>
    <row r="626" spans="1:14" s="1087" customFormat="1" ht="16.5" thickBot="1">
      <c r="A626" s="1044">
        <v>619</v>
      </c>
      <c r="B626" s="1089"/>
      <c r="C626" s="1090"/>
      <c r="D626" s="1091" t="s">
        <v>1169</v>
      </c>
      <c r="E626" s="1090"/>
      <c r="F626" s="1092"/>
      <c r="G626" s="1092"/>
      <c r="H626" s="1093"/>
      <c r="I626" s="1094">
        <f aca="true" t="shared" si="32" ref="I626:N626">SUM(I624:I625)</f>
        <v>243900</v>
      </c>
      <c r="J626" s="1092">
        <f t="shared" si="32"/>
        <v>0</v>
      </c>
      <c r="K626" s="1092">
        <f t="shared" si="32"/>
        <v>0</v>
      </c>
      <c r="L626" s="1092">
        <f t="shared" si="32"/>
        <v>0</v>
      </c>
      <c r="M626" s="1092">
        <f t="shared" si="32"/>
        <v>243900</v>
      </c>
      <c r="N626" s="1307">
        <f t="shared" si="32"/>
        <v>0</v>
      </c>
    </row>
    <row r="627" spans="1:14" s="79" customFormat="1" ht="16.5">
      <c r="A627" s="1059"/>
      <c r="B627" s="1396" t="s">
        <v>402</v>
      </c>
      <c r="C627" s="1396"/>
      <c r="D627" s="1396"/>
      <c r="E627" s="1396"/>
      <c r="F627" s="618"/>
      <c r="G627" s="618"/>
      <c r="H627" s="618"/>
      <c r="I627" s="618"/>
      <c r="J627" s="618"/>
      <c r="K627" s="618"/>
      <c r="L627" s="618"/>
      <c r="M627" s="618"/>
      <c r="N627" s="618"/>
    </row>
    <row r="628" spans="1:14" s="79" customFormat="1" ht="16.5">
      <c r="A628" s="1059"/>
      <c r="B628" s="1396" t="s">
        <v>494</v>
      </c>
      <c r="C628" s="1396"/>
      <c r="D628" s="1396"/>
      <c r="E628" s="1396"/>
      <c r="F628" s="618"/>
      <c r="G628" s="618"/>
      <c r="H628" s="618"/>
      <c r="I628" s="618"/>
      <c r="J628" s="618"/>
      <c r="K628" s="618"/>
      <c r="L628" s="618"/>
      <c r="M628" s="618"/>
      <c r="N628" s="618"/>
    </row>
    <row r="629" spans="1:14" s="79" customFormat="1" ht="16.5">
      <c r="A629" s="1059"/>
      <c r="B629" s="1396" t="s">
        <v>495</v>
      </c>
      <c r="C629" s="1396"/>
      <c r="D629" s="1396"/>
      <c r="E629" s="1396"/>
      <c r="F629" s="618"/>
      <c r="G629" s="618"/>
      <c r="H629" s="618"/>
      <c r="I629" s="618"/>
      <c r="J629" s="618"/>
      <c r="K629" s="618"/>
      <c r="L629" s="618"/>
      <c r="M629" s="618"/>
      <c r="N629" s="618"/>
    </row>
    <row r="630" spans="1:14" s="79" customFormat="1" ht="16.5">
      <c r="A630" s="1059"/>
      <c r="B630" s="1396" t="s">
        <v>382</v>
      </c>
      <c r="C630" s="1396"/>
      <c r="D630" s="1396"/>
      <c r="E630" s="1396"/>
      <c r="F630" s="618"/>
      <c r="G630" s="618"/>
      <c r="H630" s="618"/>
      <c r="I630" s="618"/>
      <c r="J630" s="618"/>
      <c r="K630" s="618"/>
      <c r="L630" s="618"/>
      <c r="M630" s="618"/>
      <c r="N630" s="618"/>
    </row>
    <row r="631" spans="4:8" ht="17.25">
      <c r="D631" s="79"/>
      <c r="E631" s="67"/>
      <c r="F631" s="619"/>
      <c r="G631" s="619"/>
      <c r="H631" s="619"/>
    </row>
    <row r="632" spans="4:8" ht="17.25">
      <c r="D632" s="79"/>
      <c r="E632" s="67"/>
      <c r="F632" s="619"/>
      <c r="G632" s="619"/>
      <c r="H632" s="619"/>
    </row>
    <row r="633" spans="4:8" ht="17.25">
      <c r="D633" s="79"/>
      <c r="E633" s="67"/>
      <c r="F633" s="619"/>
      <c r="G633" s="619"/>
      <c r="H633" s="619"/>
    </row>
    <row r="634" spans="4:8" ht="17.25">
      <c r="D634" s="79"/>
      <c r="E634" s="67"/>
      <c r="F634" s="619"/>
      <c r="G634" s="619"/>
      <c r="H634" s="619"/>
    </row>
    <row r="635" spans="4:8" ht="17.25">
      <c r="D635" s="79"/>
      <c r="E635" s="67"/>
      <c r="F635" s="619"/>
      <c r="G635" s="619"/>
      <c r="H635" s="619"/>
    </row>
    <row r="636" spans="4:8" ht="17.25">
      <c r="D636" s="619"/>
      <c r="E636" s="69"/>
      <c r="F636" s="619"/>
      <c r="G636" s="619"/>
      <c r="H636" s="619"/>
    </row>
    <row r="637" spans="4:8" ht="17.25">
      <c r="D637" s="619"/>
      <c r="E637" s="69"/>
      <c r="F637" s="619"/>
      <c r="G637" s="619"/>
      <c r="H637" s="619"/>
    </row>
    <row r="638" spans="4:8" ht="17.25">
      <c r="D638" s="79"/>
      <c r="E638" s="67"/>
      <c r="F638" s="619"/>
      <c r="G638" s="619"/>
      <c r="H638" s="619"/>
    </row>
    <row r="639" spans="4:8" ht="17.25">
      <c r="D639" s="79"/>
      <c r="E639" s="67"/>
      <c r="F639" s="619"/>
      <c r="G639" s="619"/>
      <c r="H639" s="619"/>
    </row>
    <row r="640" spans="4:8" ht="17.25">
      <c r="D640" s="79"/>
      <c r="E640" s="67"/>
      <c r="F640" s="619"/>
      <c r="G640" s="619"/>
      <c r="H640" s="619"/>
    </row>
    <row r="641" spans="4:8" ht="17.25">
      <c r="D641" s="79"/>
      <c r="E641" s="67"/>
      <c r="F641" s="619"/>
      <c r="G641" s="619"/>
      <c r="H641" s="619"/>
    </row>
    <row r="642" spans="4:8" ht="17.25">
      <c r="D642" s="79"/>
      <c r="E642" s="67"/>
      <c r="F642" s="619"/>
      <c r="G642" s="619"/>
      <c r="H642" s="619"/>
    </row>
    <row r="643" spans="4:8" ht="17.25">
      <c r="D643" s="79"/>
      <c r="E643" s="67"/>
      <c r="F643" s="619"/>
      <c r="G643" s="619"/>
      <c r="H643" s="619"/>
    </row>
    <row r="644" spans="4:8" ht="17.25">
      <c r="D644" s="79"/>
      <c r="E644" s="67"/>
      <c r="F644" s="619"/>
      <c r="G644" s="619"/>
      <c r="H644" s="619"/>
    </row>
    <row r="645" spans="4:8" ht="17.25">
      <c r="D645" s="79"/>
      <c r="E645" s="67"/>
      <c r="F645" s="619"/>
      <c r="G645" s="619"/>
      <c r="H645" s="619"/>
    </row>
    <row r="646" spans="4:8" ht="17.25">
      <c r="D646" s="79"/>
      <c r="E646" s="67"/>
      <c r="F646" s="619"/>
      <c r="G646" s="619"/>
      <c r="H646" s="619"/>
    </row>
    <row r="647" spans="4:8" ht="17.25">
      <c r="D647" s="79"/>
      <c r="E647" s="67"/>
      <c r="F647" s="619"/>
      <c r="G647" s="619"/>
      <c r="H647" s="619"/>
    </row>
    <row r="648" spans="4:8" ht="17.25">
      <c r="D648" s="619"/>
      <c r="E648" s="69"/>
      <c r="F648" s="619"/>
      <c r="G648" s="619"/>
      <c r="H648" s="619"/>
    </row>
    <row r="649" spans="4:8" ht="17.25">
      <c r="D649" s="619"/>
      <c r="E649" s="69"/>
      <c r="F649" s="619"/>
      <c r="G649" s="619"/>
      <c r="H649" s="619"/>
    </row>
    <row r="650" spans="4:8" ht="17.25">
      <c r="D650" s="79"/>
      <c r="E650" s="67"/>
      <c r="F650" s="619"/>
      <c r="G650" s="619"/>
      <c r="H650" s="619"/>
    </row>
    <row r="651" spans="4:8" ht="17.25">
      <c r="D651" s="79"/>
      <c r="E651" s="67"/>
      <c r="F651" s="619"/>
      <c r="G651" s="619"/>
      <c r="H651" s="619"/>
    </row>
    <row r="652" spans="6:8" ht="17.25">
      <c r="F652" s="610"/>
      <c r="H652" s="610"/>
    </row>
    <row r="653" spans="6:8" ht="17.25">
      <c r="F653" s="610"/>
      <c r="H653" s="610"/>
    </row>
    <row r="654" spans="6:8" ht="17.25">
      <c r="F654" s="610"/>
      <c r="H654" s="610"/>
    </row>
    <row r="655" spans="6:8" ht="17.25">
      <c r="F655" s="610"/>
      <c r="H655" s="610"/>
    </row>
    <row r="656" spans="6:8" ht="17.25">
      <c r="F656" s="610"/>
      <c r="H656" s="610"/>
    </row>
    <row r="657" spans="6:8" ht="17.25">
      <c r="F657" s="610"/>
      <c r="H657" s="610"/>
    </row>
    <row r="658" spans="6:8" ht="17.25">
      <c r="F658" s="610"/>
      <c r="H658" s="610"/>
    </row>
    <row r="659" spans="6:8" ht="17.25">
      <c r="F659" s="610"/>
      <c r="H659" s="610"/>
    </row>
    <row r="660" spans="6:8" ht="17.25">
      <c r="F660" s="610"/>
      <c r="H660" s="610"/>
    </row>
    <row r="661" spans="6:8" ht="17.25">
      <c r="F661" s="610"/>
      <c r="H661" s="610"/>
    </row>
    <row r="662" spans="6:8" ht="17.25">
      <c r="F662" s="610"/>
      <c r="H662" s="610"/>
    </row>
    <row r="663" spans="6:8" ht="17.25">
      <c r="F663" s="610"/>
      <c r="H663" s="610"/>
    </row>
    <row r="664" spans="6:8" ht="17.25">
      <c r="F664" s="610"/>
      <c r="H664" s="610"/>
    </row>
    <row r="665" spans="6:8" ht="17.25">
      <c r="F665" s="610"/>
      <c r="H665" s="610"/>
    </row>
    <row r="666" spans="6:8" ht="17.25">
      <c r="F666" s="610"/>
      <c r="H666" s="610"/>
    </row>
    <row r="667" spans="6:8" ht="17.25">
      <c r="F667" s="610"/>
      <c r="H667" s="610"/>
    </row>
    <row r="668" spans="6:8" ht="17.25">
      <c r="F668" s="610"/>
      <c r="H668" s="610"/>
    </row>
    <row r="669" spans="6:8" ht="17.25">
      <c r="F669" s="610"/>
      <c r="H669" s="610"/>
    </row>
    <row r="670" spans="6:8" ht="17.25">
      <c r="F670" s="610"/>
      <c r="H670" s="610"/>
    </row>
    <row r="671" spans="4:8" ht="17.25">
      <c r="D671" s="79"/>
      <c r="E671" s="67"/>
      <c r="F671" s="619"/>
      <c r="G671" s="619"/>
      <c r="H671" s="619"/>
    </row>
    <row r="672" spans="4:8" ht="17.25">
      <c r="D672" s="79"/>
      <c r="E672" s="67"/>
      <c r="F672" s="619"/>
      <c r="G672" s="619"/>
      <c r="H672" s="619"/>
    </row>
    <row r="673" spans="4:8" ht="17.25">
      <c r="D673" s="79"/>
      <c r="E673" s="67"/>
      <c r="F673" s="619"/>
      <c r="G673" s="619"/>
      <c r="H673" s="619"/>
    </row>
    <row r="674" spans="4:14" ht="17.25">
      <c r="D674" s="67"/>
      <c r="E674" s="67"/>
      <c r="F674" s="69"/>
      <c r="G674" s="69"/>
      <c r="H674" s="69"/>
      <c r="I674" s="67"/>
      <c r="J674" s="69"/>
      <c r="K674" s="69"/>
      <c r="L674" s="69"/>
      <c r="M674" s="69"/>
      <c r="N674" s="69"/>
    </row>
    <row r="675" spans="4:14" ht="17.25">
      <c r="D675" s="67"/>
      <c r="E675" s="67"/>
      <c r="F675" s="69"/>
      <c r="G675" s="69"/>
      <c r="H675" s="69"/>
      <c r="I675" s="67"/>
      <c r="J675" s="69"/>
      <c r="K675" s="69"/>
      <c r="L675" s="69"/>
      <c r="M675" s="69"/>
      <c r="N675" s="69"/>
    </row>
    <row r="676" spans="4:14" ht="17.25">
      <c r="D676" s="67"/>
      <c r="E676" s="67"/>
      <c r="F676" s="69"/>
      <c r="G676" s="69"/>
      <c r="H676" s="69"/>
      <c r="I676" s="67"/>
      <c r="J676" s="69"/>
      <c r="K676" s="69"/>
      <c r="L676" s="69"/>
      <c r="M676" s="69"/>
      <c r="N676" s="69"/>
    </row>
    <row r="677" spans="4:14" ht="17.25">
      <c r="D677" s="67"/>
      <c r="E677" s="67"/>
      <c r="F677" s="69"/>
      <c r="G677" s="69"/>
      <c r="H677" s="69"/>
      <c r="I677" s="67"/>
      <c r="J677" s="69"/>
      <c r="K677" s="69"/>
      <c r="L677" s="69"/>
      <c r="M677" s="69"/>
      <c r="N677" s="69"/>
    </row>
    <row r="678" spans="4:8" ht="17.25">
      <c r="D678" s="79"/>
      <c r="E678" s="67"/>
      <c r="F678" s="619"/>
      <c r="G678" s="619"/>
      <c r="H678" s="619"/>
    </row>
    <row r="679" spans="4:8" ht="17.25">
      <c r="D679" s="79"/>
      <c r="E679" s="67"/>
      <c r="F679" s="619"/>
      <c r="G679" s="619"/>
      <c r="H679" s="619"/>
    </row>
    <row r="680" spans="4:8" ht="17.25">
      <c r="D680" s="79"/>
      <c r="E680" s="67"/>
      <c r="F680" s="619"/>
      <c r="G680" s="619"/>
      <c r="H680" s="619"/>
    </row>
    <row r="681" spans="4:8" ht="17.25">
      <c r="D681" s="79"/>
      <c r="E681" s="67"/>
      <c r="F681" s="619"/>
      <c r="G681" s="619"/>
      <c r="H681" s="619"/>
    </row>
    <row r="682" spans="4:8" ht="17.25">
      <c r="D682" s="79"/>
      <c r="E682" s="67"/>
      <c r="F682" s="619"/>
      <c r="G682" s="619"/>
      <c r="H682" s="619"/>
    </row>
    <row r="683" spans="4:8" ht="17.25">
      <c r="D683" s="619"/>
      <c r="E683" s="69"/>
      <c r="F683" s="619"/>
      <c r="G683" s="619"/>
      <c r="H683" s="619"/>
    </row>
    <row r="684" spans="4:8" ht="17.25">
      <c r="D684" s="619"/>
      <c r="E684" s="69"/>
      <c r="F684" s="619"/>
      <c r="G684" s="619"/>
      <c r="H684" s="619"/>
    </row>
    <row r="685" spans="1:14" s="610" customFormat="1" ht="17.25">
      <c r="A685" s="1044"/>
      <c r="B685" s="28"/>
      <c r="C685" s="28"/>
      <c r="E685" s="59"/>
      <c r="I685" s="79"/>
      <c r="J685" s="619"/>
      <c r="K685" s="619"/>
      <c r="L685" s="619"/>
      <c r="M685" s="619"/>
      <c r="N685" s="619"/>
    </row>
    <row r="686" spans="1:14" s="610" customFormat="1" ht="17.25">
      <c r="A686" s="1044"/>
      <c r="B686" s="28"/>
      <c r="C686" s="28"/>
      <c r="E686" s="59"/>
      <c r="I686" s="79"/>
      <c r="J686" s="619"/>
      <c r="K686" s="619"/>
      <c r="L686" s="619"/>
      <c r="M686" s="619"/>
      <c r="N686" s="619"/>
    </row>
    <row r="687" spans="1:14" s="610" customFormat="1" ht="17.25">
      <c r="A687" s="1044"/>
      <c r="B687" s="28"/>
      <c r="C687" s="28"/>
      <c r="D687" s="619"/>
      <c r="E687" s="69"/>
      <c r="F687" s="619"/>
      <c r="G687" s="619"/>
      <c r="H687" s="619"/>
      <c r="I687" s="79"/>
      <c r="J687" s="619"/>
      <c r="K687" s="619"/>
      <c r="L687" s="619"/>
      <c r="M687" s="619"/>
      <c r="N687" s="619"/>
    </row>
    <row r="688" spans="1:14" s="610" customFormat="1" ht="17.25">
      <c r="A688" s="1044"/>
      <c r="B688" s="28"/>
      <c r="C688" s="28"/>
      <c r="D688" s="619"/>
      <c r="E688" s="69"/>
      <c r="F688" s="619"/>
      <c r="G688" s="619"/>
      <c r="H688" s="619"/>
      <c r="I688" s="79"/>
      <c r="J688" s="619"/>
      <c r="K688" s="619"/>
      <c r="L688" s="619"/>
      <c r="M688" s="619"/>
      <c r="N688" s="619"/>
    </row>
    <row r="689" spans="1:14" s="610" customFormat="1" ht="17.25">
      <c r="A689" s="1044"/>
      <c r="B689" s="28"/>
      <c r="C689" s="28"/>
      <c r="D689" s="619"/>
      <c r="E689" s="69"/>
      <c r="F689" s="619"/>
      <c r="G689" s="619"/>
      <c r="H689" s="619"/>
      <c r="I689" s="79"/>
      <c r="J689" s="619"/>
      <c r="K689" s="619"/>
      <c r="L689" s="619"/>
      <c r="M689" s="619"/>
      <c r="N689" s="619"/>
    </row>
    <row r="690" spans="1:14" s="610" customFormat="1" ht="17.25">
      <c r="A690" s="1044"/>
      <c r="B690" s="28"/>
      <c r="C690" s="28"/>
      <c r="D690" s="619"/>
      <c r="E690" s="69"/>
      <c r="F690" s="619"/>
      <c r="G690" s="619"/>
      <c r="H690" s="619"/>
      <c r="I690" s="79"/>
      <c r="J690" s="619"/>
      <c r="K690" s="619"/>
      <c r="L690" s="619"/>
      <c r="M690" s="619"/>
      <c r="N690" s="619"/>
    </row>
    <row r="691" spans="1:14" s="610" customFormat="1" ht="17.25">
      <c r="A691" s="1044"/>
      <c r="B691" s="28"/>
      <c r="C691" s="28"/>
      <c r="D691" s="619"/>
      <c r="E691" s="69"/>
      <c r="F691" s="619"/>
      <c r="G691" s="619"/>
      <c r="H691" s="619"/>
      <c r="I691" s="79"/>
      <c r="J691" s="619"/>
      <c r="K691" s="619"/>
      <c r="L691" s="619"/>
      <c r="M691" s="619"/>
      <c r="N691" s="619"/>
    </row>
    <row r="692" spans="4:8" ht="17.25">
      <c r="D692" s="79"/>
      <c r="E692" s="67"/>
      <c r="F692" s="619"/>
      <c r="G692" s="619"/>
      <c r="H692" s="619"/>
    </row>
    <row r="693" spans="4:8" ht="17.25">
      <c r="D693" s="79"/>
      <c r="E693" s="67"/>
      <c r="F693" s="619"/>
      <c r="G693" s="619"/>
      <c r="H693" s="619"/>
    </row>
    <row r="694" spans="4:8" ht="17.25">
      <c r="D694" s="79"/>
      <c r="E694" s="67"/>
      <c r="F694" s="619"/>
      <c r="G694" s="619"/>
      <c r="H694" s="619"/>
    </row>
    <row r="695" spans="4:8" ht="17.25">
      <c r="D695" s="79"/>
      <c r="E695" s="67"/>
      <c r="F695" s="619"/>
      <c r="G695" s="619"/>
      <c r="H695" s="619"/>
    </row>
    <row r="696" spans="4:8" ht="17.25">
      <c r="D696" s="79"/>
      <c r="E696" s="67"/>
      <c r="F696" s="619"/>
      <c r="G696" s="619"/>
      <c r="H696" s="619"/>
    </row>
    <row r="697" spans="4:8" ht="17.25">
      <c r="D697" s="79"/>
      <c r="E697" s="67"/>
      <c r="F697" s="619"/>
      <c r="G697" s="619"/>
      <c r="H697" s="619"/>
    </row>
    <row r="698" spans="4:8" ht="17.25">
      <c r="D698" s="79"/>
      <c r="E698" s="67"/>
      <c r="F698" s="619"/>
      <c r="G698" s="619"/>
      <c r="H698" s="619"/>
    </row>
    <row r="699" spans="4:8" ht="17.25">
      <c r="D699" s="79"/>
      <c r="E699" s="67"/>
      <c r="F699" s="619"/>
      <c r="G699" s="619"/>
      <c r="H699" s="619"/>
    </row>
    <row r="700" spans="4:8" ht="17.25">
      <c r="D700" s="79"/>
      <c r="E700" s="67"/>
      <c r="F700" s="619"/>
      <c r="G700" s="619"/>
      <c r="H700" s="619"/>
    </row>
    <row r="701" spans="4:8" ht="17.25">
      <c r="D701" s="79"/>
      <c r="E701" s="67"/>
      <c r="F701" s="619"/>
      <c r="G701" s="619"/>
      <c r="H701" s="619"/>
    </row>
    <row r="702" spans="4:8" ht="17.25">
      <c r="D702" s="79"/>
      <c r="E702" s="67"/>
      <c r="F702" s="619"/>
      <c r="G702" s="619"/>
      <c r="H702" s="619"/>
    </row>
    <row r="703" spans="4:8" ht="17.25">
      <c r="D703" s="79"/>
      <c r="E703" s="67"/>
      <c r="F703" s="619"/>
      <c r="G703" s="619"/>
      <c r="H703" s="619"/>
    </row>
    <row r="704" spans="4:8" ht="17.25">
      <c r="D704" s="79"/>
      <c r="E704" s="67"/>
      <c r="F704" s="619"/>
      <c r="G704" s="619"/>
      <c r="H704" s="619"/>
    </row>
    <row r="705" spans="1:14" s="610" customFormat="1" ht="17.25">
      <c r="A705" s="1044"/>
      <c r="B705" s="28"/>
      <c r="C705" s="28"/>
      <c r="D705" s="619"/>
      <c r="E705" s="69"/>
      <c r="F705" s="619"/>
      <c r="G705" s="619"/>
      <c r="H705" s="619"/>
      <c r="I705" s="79"/>
      <c r="J705" s="619"/>
      <c r="K705" s="619"/>
      <c r="L705" s="619"/>
      <c r="M705" s="619"/>
      <c r="N705" s="619"/>
    </row>
    <row r="706" spans="4:8" ht="17.25">
      <c r="D706" s="79"/>
      <c r="E706" s="67"/>
      <c r="F706" s="619"/>
      <c r="G706" s="619"/>
      <c r="H706" s="619"/>
    </row>
    <row r="707" spans="4:8" ht="17.25">
      <c r="D707" s="79"/>
      <c r="E707" s="67"/>
      <c r="F707" s="619"/>
      <c r="G707" s="619"/>
      <c r="H707" s="619"/>
    </row>
    <row r="708" spans="4:8" ht="17.25">
      <c r="D708" s="79"/>
      <c r="E708" s="67"/>
      <c r="F708" s="619"/>
      <c r="G708" s="619"/>
      <c r="H708" s="619"/>
    </row>
    <row r="709" spans="4:8" ht="17.25">
      <c r="D709" s="79"/>
      <c r="E709" s="67"/>
      <c r="F709" s="619"/>
      <c r="G709" s="619"/>
      <c r="H709" s="619"/>
    </row>
    <row r="710" spans="4:8" ht="17.25">
      <c r="D710" s="79"/>
      <c r="E710" s="67"/>
      <c r="F710" s="619"/>
      <c r="G710" s="619"/>
      <c r="H710" s="619"/>
    </row>
    <row r="711" spans="4:8" ht="17.25">
      <c r="D711" s="79"/>
      <c r="E711" s="67"/>
      <c r="F711" s="619"/>
      <c r="G711" s="619"/>
      <c r="H711" s="619"/>
    </row>
    <row r="712" spans="4:8" ht="17.25">
      <c r="D712" s="79"/>
      <c r="E712" s="67"/>
      <c r="F712" s="619"/>
      <c r="G712" s="619"/>
      <c r="H712" s="619"/>
    </row>
    <row r="713" spans="4:8" ht="17.25">
      <c r="D713" s="79"/>
      <c r="E713" s="67"/>
      <c r="F713" s="619"/>
      <c r="G713" s="619"/>
      <c r="H713" s="619"/>
    </row>
    <row r="714" spans="4:8" ht="17.25">
      <c r="D714" s="79"/>
      <c r="E714" s="67"/>
      <c r="F714" s="619"/>
      <c r="G714" s="619"/>
      <c r="H714" s="619"/>
    </row>
    <row r="715" spans="4:8" ht="17.25">
      <c r="D715" s="79"/>
      <c r="E715" s="67"/>
      <c r="F715" s="619"/>
      <c r="G715" s="619"/>
      <c r="H715" s="619"/>
    </row>
    <row r="716" spans="4:8" ht="17.25">
      <c r="D716" s="79"/>
      <c r="E716" s="67"/>
      <c r="F716" s="619"/>
      <c r="G716" s="619"/>
      <c r="H716" s="619"/>
    </row>
    <row r="717" spans="4:8" ht="17.25">
      <c r="D717" s="79"/>
      <c r="E717" s="67"/>
      <c r="F717" s="619"/>
      <c r="G717" s="619"/>
      <c r="H717" s="619"/>
    </row>
    <row r="718" spans="4:8" ht="17.25">
      <c r="D718" s="79"/>
      <c r="E718" s="67"/>
      <c r="F718" s="619"/>
      <c r="G718" s="619"/>
      <c r="H718" s="619"/>
    </row>
    <row r="719" spans="4:8" ht="17.25">
      <c r="D719" s="79"/>
      <c r="E719" s="67"/>
      <c r="F719" s="619"/>
      <c r="G719" s="619"/>
      <c r="H719" s="619"/>
    </row>
    <row r="720" spans="4:8" ht="17.25">
      <c r="D720" s="79"/>
      <c r="E720" s="67"/>
      <c r="F720" s="619"/>
      <c r="G720" s="619"/>
      <c r="H720" s="619"/>
    </row>
    <row r="721" spans="4:8" ht="17.25">
      <c r="D721" s="79"/>
      <c r="E721" s="67"/>
      <c r="F721" s="619"/>
      <c r="G721" s="619"/>
      <c r="H721" s="619"/>
    </row>
    <row r="722" spans="4:8" ht="17.25">
      <c r="D722" s="79"/>
      <c r="E722" s="67"/>
      <c r="F722" s="619"/>
      <c r="G722" s="619"/>
      <c r="H722" s="619"/>
    </row>
    <row r="723" spans="4:8" ht="17.25">
      <c r="D723" s="79"/>
      <c r="E723" s="67"/>
      <c r="F723" s="619"/>
      <c r="G723" s="619"/>
      <c r="H723" s="619"/>
    </row>
    <row r="724" spans="4:8" ht="17.25">
      <c r="D724" s="79"/>
      <c r="E724" s="67"/>
      <c r="F724" s="619"/>
      <c r="G724" s="619"/>
      <c r="H724" s="619"/>
    </row>
    <row r="725" spans="4:8" ht="17.25">
      <c r="D725" s="79"/>
      <c r="E725" s="67"/>
      <c r="F725" s="619"/>
      <c r="G725" s="619"/>
      <c r="H725" s="619"/>
    </row>
    <row r="726" spans="4:8" ht="17.25">
      <c r="D726" s="79"/>
      <c r="E726" s="67"/>
      <c r="F726" s="619"/>
      <c r="G726" s="619"/>
      <c r="H726" s="619"/>
    </row>
    <row r="727" spans="4:8" ht="17.25">
      <c r="D727" s="79"/>
      <c r="E727" s="67"/>
      <c r="F727" s="619"/>
      <c r="G727" s="619"/>
      <c r="H727" s="619"/>
    </row>
    <row r="728" spans="4:8" ht="17.25">
      <c r="D728" s="79"/>
      <c r="E728" s="67"/>
      <c r="F728" s="619"/>
      <c r="G728" s="619"/>
      <c r="H728" s="619"/>
    </row>
    <row r="729" spans="4:8" ht="17.25">
      <c r="D729" s="79"/>
      <c r="E729" s="67"/>
      <c r="F729" s="619"/>
      <c r="G729" s="619"/>
      <c r="H729" s="619"/>
    </row>
    <row r="730" spans="4:8" ht="17.25">
      <c r="D730" s="79"/>
      <c r="E730" s="67"/>
      <c r="F730" s="619"/>
      <c r="G730" s="619"/>
      <c r="H730" s="619"/>
    </row>
    <row r="731" spans="4:8" ht="17.25">
      <c r="D731" s="79"/>
      <c r="E731" s="67"/>
      <c r="F731" s="619"/>
      <c r="G731" s="619"/>
      <c r="H731" s="619"/>
    </row>
    <row r="732" spans="4:8" ht="17.25">
      <c r="D732" s="79"/>
      <c r="E732" s="67"/>
      <c r="F732" s="619"/>
      <c r="G732" s="619"/>
      <c r="H732" s="619"/>
    </row>
    <row r="733" spans="4:8" ht="17.25">
      <c r="D733" s="79"/>
      <c r="E733" s="67"/>
      <c r="F733" s="619"/>
      <c r="G733" s="619"/>
      <c r="H733" s="619"/>
    </row>
    <row r="734" spans="4:8" ht="17.25">
      <c r="D734" s="79"/>
      <c r="E734" s="67"/>
      <c r="F734" s="619"/>
      <c r="G734" s="619"/>
      <c r="H734" s="619"/>
    </row>
    <row r="735" spans="4:8" ht="17.25">
      <c r="D735" s="79"/>
      <c r="E735" s="67"/>
      <c r="F735" s="619"/>
      <c r="G735" s="619"/>
      <c r="H735" s="619"/>
    </row>
    <row r="736" spans="4:8" ht="17.25">
      <c r="D736" s="79"/>
      <c r="E736" s="67"/>
      <c r="F736" s="619"/>
      <c r="G736" s="619"/>
      <c r="H736" s="619"/>
    </row>
    <row r="737" spans="4:8" ht="17.25">
      <c r="D737" s="79"/>
      <c r="E737" s="67"/>
      <c r="F737" s="619"/>
      <c r="G737" s="619"/>
      <c r="H737" s="619"/>
    </row>
    <row r="738" spans="4:8" ht="17.25">
      <c r="D738" s="79"/>
      <c r="E738" s="67"/>
      <c r="F738" s="619"/>
      <c r="G738" s="619"/>
      <c r="H738" s="619"/>
    </row>
    <row r="739" spans="4:8" ht="17.25">
      <c r="D739" s="79"/>
      <c r="E739" s="67"/>
      <c r="F739" s="619"/>
      <c r="G739" s="619"/>
      <c r="H739" s="619"/>
    </row>
    <row r="740" spans="4:8" ht="17.25">
      <c r="D740" s="79"/>
      <c r="E740" s="67"/>
      <c r="F740" s="619"/>
      <c r="G740" s="619"/>
      <c r="H740" s="619"/>
    </row>
    <row r="741" spans="4:8" ht="17.25">
      <c r="D741" s="79"/>
      <c r="E741" s="67"/>
      <c r="F741" s="619"/>
      <c r="G741" s="619"/>
      <c r="H741" s="619"/>
    </row>
    <row r="742" spans="4:8" ht="17.25">
      <c r="D742" s="79"/>
      <c r="E742" s="67"/>
      <c r="F742" s="619"/>
      <c r="G742" s="619"/>
      <c r="H742" s="619"/>
    </row>
    <row r="743" spans="4:8" ht="17.25">
      <c r="D743" s="79"/>
      <c r="E743" s="67"/>
      <c r="F743" s="619"/>
      <c r="G743" s="619"/>
      <c r="H743" s="619"/>
    </row>
    <row r="744" spans="4:8" ht="17.25">
      <c r="D744" s="79"/>
      <c r="E744" s="67"/>
      <c r="F744" s="619"/>
      <c r="G744" s="619"/>
      <c r="H744" s="619"/>
    </row>
    <row r="745" spans="4:8" ht="17.25">
      <c r="D745" s="79"/>
      <c r="E745" s="67"/>
      <c r="F745" s="619"/>
      <c r="G745" s="619"/>
      <c r="H745" s="619"/>
    </row>
    <row r="746" spans="4:8" ht="17.25">
      <c r="D746" s="79"/>
      <c r="E746" s="67"/>
      <c r="F746" s="619"/>
      <c r="G746" s="619"/>
      <c r="H746" s="619"/>
    </row>
    <row r="747" spans="4:8" ht="17.25">
      <c r="D747" s="79"/>
      <c r="E747" s="67"/>
      <c r="F747" s="619"/>
      <c r="G747" s="619"/>
      <c r="H747" s="619"/>
    </row>
    <row r="748" spans="4:8" ht="17.25">
      <c r="D748" s="79"/>
      <c r="E748" s="67"/>
      <c r="F748" s="619"/>
      <c r="G748" s="619"/>
      <c r="H748" s="619"/>
    </row>
    <row r="749" spans="4:8" ht="17.25">
      <c r="D749" s="79"/>
      <c r="E749" s="67"/>
      <c r="F749" s="619"/>
      <c r="G749" s="619"/>
      <c r="H749" s="619"/>
    </row>
    <row r="750" spans="6:8" ht="17.25">
      <c r="F750" s="610"/>
      <c r="H750" s="610"/>
    </row>
    <row r="751" spans="6:8" ht="17.25">
      <c r="F751" s="610"/>
      <c r="H751" s="610"/>
    </row>
    <row r="752" spans="6:8" ht="17.25">
      <c r="F752" s="610"/>
      <c r="H752" s="610"/>
    </row>
    <row r="753" spans="6:8" ht="17.25">
      <c r="F753" s="610"/>
      <c r="H753" s="610"/>
    </row>
    <row r="754" spans="6:8" ht="17.25">
      <c r="F754" s="610"/>
      <c r="H754" s="610"/>
    </row>
    <row r="755" spans="6:8" ht="17.25">
      <c r="F755" s="610"/>
      <c r="H755" s="610"/>
    </row>
    <row r="756" spans="6:8" ht="17.25">
      <c r="F756" s="610"/>
      <c r="H756" s="610"/>
    </row>
    <row r="757" spans="6:8" ht="17.25">
      <c r="F757" s="610"/>
      <c r="H757" s="610"/>
    </row>
    <row r="758" spans="6:8" ht="17.25">
      <c r="F758" s="610"/>
      <c r="H758" s="610"/>
    </row>
    <row r="759" spans="6:8" ht="17.25">
      <c r="F759" s="610"/>
      <c r="H759" s="610"/>
    </row>
  </sheetData>
  <sheetProtection/>
  <mergeCells count="18">
    <mergeCell ref="B629:E629"/>
    <mergeCell ref="B630:E630"/>
    <mergeCell ref="M3:N3"/>
    <mergeCell ref="J5:N5"/>
    <mergeCell ref="G5:G6"/>
    <mergeCell ref="H5:H6"/>
    <mergeCell ref="E5:E6"/>
    <mergeCell ref="D528:G528"/>
    <mergeCell ref="B2:N2"/>
    <mergeCell ref="B627:E627"/>
    <mergeCell ref="B628:E628"/>
    <mergeCell ref="B1:D1"/>
    <mergeCell ref="B5:B6"/>
    <mergeCell ref="D5:D6"/>
    <mergeCell ref="H1:I1"/>
    <mergeCell ref="I5:I6"/>
    <mergeCell ref="C5:C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0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3.625" style="1195" bestFit="1" customWidth="1"/>
    <col min="2" max="3" width="4.75390625" style="265" customWidth="1"/>
    <col min="4" max="4" width="48.625" style="1105" customWidth="1"/>
    <col min="5" max="5" width="5.75390625" style="266" customWidth="1"/>
    <col min="6" max="10" width="10.75390625" style="910" customWidth="1"/>
    <col min="11" max="11" width="12.375" style="910" customWidth="1"/>
    <col min="12" max="12" width="10.75390625" style="1135" bestFit="1" customWidth="1"/>
    <col min="13" max="13" width="10.75390625" style="910" customWidth="1"/>
    <col min="14" max="15" width="14.00390625" style="1025" customWidth="1"/>
    <col min="16" max="16384" width="9.125" style="1025" customWidth="1"/>
  </cols>
  <sheetData>
    <row r="1" spans="1:13" ht="15">
      <c r="A1" s="1194"/>
      <c r="B1" s="1426" t="s">
        <v>803</v>
      </c>
      <c r="C1" s="1426"/>
      <c r="D1" s="1426"/>
      <c r="E1" s="264"/>
      <c r="L1" s="1103"/>
      <c r="M1" s="1104"/>
    </row>
    <row r="2" spans="2:13" ht="15">
      <c r="B2" s="1435" t="s">
        <v>5</v>
      </c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</row>
    <row r="3" spans="2:13" ht="15">
      <c r="B3" s="1435" t="s">
        <v>883</v>
      </c>
      <c r="C3" s="1435"/>
      <c r="D3" s="1435"/>
      <c r="E3" s="1435"/>
      <c r="F3" s="1435"/>
      <c r="G3" s="1435"/>
      <c r="H3" s="1435"/>
      <c r="I3" s="1435"/>
      <c r="J3" s="1435"/>
      <c r="K3" s="1435"/>
      <c r="L3" s="1435"/>
      <c r="M3" s="1435"/>
    </row>
    <row r="4" spans="12:13" ht="15">
      <c r="L4" s="1104"/>
      <c r="M4" s="1106" t="s">
        <v>861</v>
      </c>
    </row>
    <row r="5" spans="1:13" s="264" customFormat="1" ht="15.75" thickBot="1">
      <c r="A5" s="1195"/>
      <c r="B5" s="1196" t="s">
        <v>873</v>
      </c>
      <c r="C5" s="1197" t="s">
        <v>874</v>
      </c>
      <c r="D5" s="267" t="s">
        <v>875</v>
      </c>
      <c r="E5" s="267"/>
      <c r="F5" s="267" t="s">
        <v>876</v>
      </c>
      <c r="G5" s="267" t="s">
        <v>877</v>
      </c>
      <c r="H5" s="267" t="s">
        <v>878</v>
      </c>
      <c r="I5" s="1107" t="s">
        <v>879</v>
      </c>
      <c r="J5" s="267" t="s">
        <v>518</v>
      </c>
      <c r="K5" s="267" t="s">
        <v>519</v>
      </c>
      <c r="L5" s="267" t="s">
        <v>465</v>
      </c>
      <c r="M5" s="267" t="s">
        <v>466</v>
      </c>
    </row>
    <row r="6" spans="2:13" ht="30" customHeight="1">
      <c r="B6" s="1427" t="s">
        <v>391</v>
      </c>
      <c r="C6" s="1429" t="s">
        <v>1184</v>
      </c>
      <c r="D6" s="1433" t="s">
        <v>862</v>
      </c>
      <c r="E6" s="1436" t="s">
        <v>401</v>
      </c>
      <c r="F6" s="1431" t="s">
        <v>1027</v>
      </c>
      <c r="G6" s="1431" t="s">
        <v>941</v>
      </c>
      <c r="H6" s="1422" t="s">
        <v>585</v>
      </c>
      <c r="I6" s="1424" t="s">
        <v>499</v>
      </c>
      <c r="J6" s="1425"/>
      <c r="K6" s="1431" t="s">
        <v>413</v>
      </c>
      <c r="L6" s="1420" t="s">
        <v>880</v>
      </c>
      <c r="M6" s="1418" t="s">
        <v>1028</v>
      </c>
    </row>
    <row r="7" spans="2:13" ht="45" customHeight="1" thickBot="1">
      <c r="B7" s="1428"/>
      <c r="C7" s="1430"/>
      <c r="D7" s="1434"/>
      <c r="E7" s="1437"/>
      <c r="F7" s="1432"/>
      <c r="G7" s="1432"/>
      <c r="H7" s="1423"/>
      <c r="I7" s="775" t="s">
        <v>844</v>
      </c>
      <c r="J7" s="190" t="s">
        <v>6</v>
      </c>
      <c r="K7" s="1432"/>
      <c r="L7" s="1421"/>
      <c r="M7" s="1419"/>
    </row>
    <row r="8" spans="1:13" ht="15">
      <c r="A8" s="1195">
        <v>1</v>
      </c>
      <c r="B8" s="1198">
        <v>18</v>
      </c>
      <c r="C8" s="1199"/>
      <c r="D8" s="708" t="s">
        <v>486</v>
      </c>
      <c r="E8" s="1159"/>
      <c r="F8" s="709"/>
      <c r="G8" s="709"/>
      <c r="H8" s="777"/>
      <c r="I8" s="776"/>
      <c r="J8" s="709"/>
      <c r="K8" s="709"/>
      <c r="L8" s="777"/>
      <c r="M8" s="751"/>
    </row>
    <row r="9" spans="1:13" s="1108" customFormat="1" ht="30">
      <c r="A9" s="1195">
        <v>2</v>
      </c>
      <c r="B9" s="1200"/>
      <c r="C9" s="684">
        <v>1</v>
      </c>
      <c r="D9" s="716" t="s">
        <v>7</v>
      </c>
      <c r="E9" s="1160" t="s">
        <v>400</v>
      </c>
      <c r="F9" s="716">
        <v>561500</v>
      </c>
      <c r="G9" s="716">
        <v>0</v>
      </c>
      <c r="H9" s="1171">
        <v>0</v>
      </c>
      <c r="I9" s="778"/>
      <c r="J9" s="687"/>
      <c r="K9" s="687"/>
      <c r="L9" s="779"/>
      <c r="M9" s="752"/>
    </row>
    <row r="10" spans="1:13" ht="15">
      <c r="A10" s="1195">
        <v>3</v>
      </c>
      <c r="B10" s="1200"/>
      <c r="C10" s="684"/>
      <c r="D10" s="688" t="s">
        <v>1168</v>
      </c>
      <c r="E10" s="1160"/>
      <c r="F10" s="710"/>
      <c r="G10" s="710"/>
      <c r="H10" s="1172"/>
      <c r="I10" s="778">
        <v>561500</v>
      </c>
      <c r="J10" s="687"/>
      <c r="K10" s="687"/>
      <c r="L10" s="780">
        <f>SUM(I10:K10)</f>
        <v>561500</v>
      </c>
      <c r="M10" s="752"/>
    </row>
    <row r="11" spans="1:13" s="1109" customFormat="1" ht="15">
      <c r="A11" s="1195">
        <v>4</v>
      </c>
      <c r="B11" s="1201"/>
      <c r="C11" s="711"/>
      <c r="D11" s="690" t="s">
        <v>1170</v>
      </c>
      <c r="E11" s="1160"/>
      <c r="F11" s="712"/>
      <c r="G11" s="712"/>
      <c r="H11" s="1173"/>
      <c r="I11" s="781"/>
      <c r="J11" s="713"/>
      <c r="K11" s="713"/>
      <c r="L11" s="782">
        <f aca="true" t="shared" si="0" ref="L11:L96">SUM(I11:K11)</f>
        <v>0</v>
      </c>
      <c r="M11" s="753"/>
    </row>
    <row r="12" spans="1:13" s="1110" customFormat="1" ht="15">
      <c r="A12" s="1195">
        <v>5</v>
      </c>
      <c r="B12" s="739"/>
      <c r="C12" s="714"/>
      <c r="D12" s="691" t="s">
        <v>1169</v>
      </c>
      <c r="E12" s="716"/>
      <c r="F12" s="715"/>
      <c r="G12" s="715"/>
      <c r="H12" s="991"/>
      <c r="I12" s="783">
        <f>SUM(I10:I11)</f>
        <v>561500</v>
      </c>
      <c r="J12" s="715">
        <f>SUM(J10:J11)</f>
        <v>0</v>
      </c>
      <c r="K12" s="715">
        <f>SUM(K10:K11)</f>
        <v>0</v>
      </c>
      <c r="L12" s="779">
        <f t="shared" si="0"/>
        <v>561500</v>
      </c>
      <c r="M12" s="754">
        <f>SUM(M10:M11)</f>
        <v>0</v>
      </c>
    </row>
    <row r="13" spans="1:13" ht="45" customHeight="1">
      <c r="A13" s="1195">
        <v>6</v>
      </c>
      <c r="B13" s="1200"/>
      <c r="C13" s="684">
        <v>2</v>
      </c>
      <c r="D13" s="716" t="s">
        <v>11</v>
      </c>
      <c r="E13" s="1152" t="s">
        <v>400</v>
      </c>
      <c r="F13" s="716">
        <f>SUM(I16,H13)+M16</f>
        <v>752956</v>
      </c>
      <c r="G13" s="716">
        <v>0</v>
      </c>
      <c r="H13" s="1171">
        <v>52196</v>
      </c>
      <c r="I13" s="778"/>
      <c r="J13" s="687"/>
      <c r="K13" s="687"/>
      <c r="L13" s="779"/>
      <c r="M13" s="752"/>
    </row>
    <row r="14" spans="1:13" ht="15">
      <c r="A14" s="1195">
        <v>7</v>
      </c>
      <c r="B14" s="1200"/>
      <c r="C14" s="684"/>
      <c r="D14" s="688" t="s">
        <v>1168</v>
      </c>
      <c r="E14" s="1152"/>
      <c r="F14" s="717"/>
      <c r="G14" s="718"/>
      <c r="H14" s="1174"/>
      <c r="I14" s="778">
        <v>515206</v>
      </c>
      <c r="J14" s="687"/>
      <c r="K14" s="687"/>
      <c r="L14" s="780">
        <f t="shared" si="0"/>
        <v>515206</v>
      </c>
      <c r="M14" s="755">
        <v>164426</v>
      </c>
    </row>
    <row r="15" spans="1:13" ht="15">
      <c r="A15" s="1195">
        <v>8</v>
      </c>
      <c r="B15" s="1200"/>
      <c r="C15" s="684"/>
      <c r="D15" s="690" t="s">
        <v>588</v>
      </c>
      <c r="E15" s="1152"/>
      <c r="F15" s="717"/>
      <c r="G15" s="718"/>
      <c r="H15" s="1174"/>
      <c r="I15" s="781">
        <v>21128</v>
      </c>
      <c r="J15" s="687"/>
      <c r="K15" s="687"/>
      <c r="L15" s="782">
        <f t="shared" si="0"/>
        <v>21128</v>
      </c>
      <c r="M15" s="755"/>
    </row>
    <row r="16" spans="1:13" ht="15">
      <c r="A16" s="1195">
        <v>9</v>
      </c>
      <c r="B16" s="1200"/>
      <c r="C16" s="684"/>
      <c r="D16" s="691" t="s">
        <v>1169</v>
      </c>
      <c r="E16" s="716"/>
      <c r="F16" s="725"/>
      <c r="G16" s="725"/>
      <c r="H16" s="1175"/>
      <c r="I16" s="784">
        <f>SUM(I14:I15)</f>
        <v>536334</v>
      </c>
      <c r="J16" s="725">
        <f>SUM(J14:J15)</f>
        <v>0</v>
      </c>
      <c r="K16" s="725">
        <f>SUM(K14:K15)</f>
        <v>0</v>
      </c>
      <c r="L16" s="779">
        <f t="shared" si="0"/>
        <v>536334</v>
      </c>
      <c r="M16" s="756">
        <f>SUM(M14:M15)</f>
        <v>164426</v>
      </c>
    </row>
    <row r="17" spans="1:13" ht="30" customHeight="1">
      <c r="A17" s="1195">
        <v>10</v>
      </c>
      <c r="B17" s="1200"/>
      <c r="C17" s="684">
        <v>3</v>
      </c>
      <c r="D17" s="716" t="s">
        <v>12</v>
      </c>
      <c r="E17" s="1160" t="s">
        <v>400</v>
      </c>
      <c r="F17" s="716">
        <f>SUM(I20,H17,G17)</f>
        <v>509940</v>
      </c>
      <c r="G17" s="716">
        <v>61553</v>
      </c>
      <c r="H17" s="1171">
        <v>2423</v>
      </c>
      <c r="I17" s="778"/>
      <c r="J17" s="687"/>
      <c r="K17" s="687"/>
      <c r="L17" s="779"/>
      <c r="M17" s="752"/>
    </row>
    <row r="18" spans="1:13" ht="15">
      <c r="A18" s="1195">
        <v>11</v>
      </c>
      <c r="B18" s="1200"/>
      <c r="C18" s="684"/>
      <c r="D18" s="688" t="s">
        <v>1168</v>
      </c>
      <c r="E18" s="1160"/>
      <c r="F18" s="710"/>
      <c r="G18" s="710"/>
      <c r="H18" s="1172"/>
      <c r="I18" s="778">
        <v>262461</v>
      </c>
      <c r="J18" s="687"/>
      <c r="K18" s="687"/>
      <c r="L18" s="780">
        <f t="shared" si="0"/>
        <v>262461</v>
      </c>
      <c r="M18" s="757"/>
    </row>
    <row r="19" spans="1:13" ht="15">
      <c r="A19" s="1195">
        <v>12</v>
      </c>
      <c r="B19" s="1200"/>
      <c r="C19" s="684"/>
      <c r="D19" s="690" t="s">
        <v>588</v>
      </c>
      <c r="E19" s="1160"/>
      <c r="F19" s="710"/>
      <c r="G19" s="710"/>
      <c r="H19" s="1172"/>
      <c r="I19" s="781">
        <v>183503</v>
      </c>
      <c r="J19" s="687"/>
      <c r="K19" s="687"/>
      <c r="L19" s="782">
        <f t="shared" si="0"/>
        <v>183503</v>
      </c>
      <c r="M19" s="757"/>
    </row>
    <row r="20" spans="1:13" ht="15">
      <c r="A20" s="1195">
        <v>13</v>
      </c>
      <c r="B20" s="1200"/>
      <c r="C20" s="684"/>
      <c r="D20" s="691" t="s">
        <v>1169</v>
      </c>
      <c r="E20" s="716"/>
      <c r="F20" s="715"/>
      <c r="G20" s="715"/>
      <c r="H20" s="991"/>
      <c r="I20" s="783">
        <f>SUM(I18:I19)</f>
        <v>445964</v>
      </c>
      <c r="J20" s="715">
        <f>SUM(J18:J19)</f>
        <v>0</v>
      </c>
      <c r="K20" s="715">
        <f>SUM(K18:K19)</f>
        <v>0</v>
      </c>
      <c r="L20" s="779">
        <f t="shared" si="0"/>
        <v>445964</v>
      </c>
      <c r="M20" s="754">
        <f>SUM(M18:M19)</f>
        <v>0</v>
      </c>
    </row>
    <row r="21" spans="1:13" s="1108" customFormat="1" ht="30">
      <c r="A21" s="1195">
        <v>14</v>
      </c>
      <c r="B21" s="1200"/>
      <c r="C21" s="684">
        <v>4</v>
      </c>
      <c r="D21" s="716" t="s">
        <v>13</v>
      </c>
      <c r="E21" s="1160" t="s">
        <v>400</v>
      </c>
      <c r="F21" s="710">
        <f>SUM(I24,H21,G21)+M24</f>
        <v>117861</v>
      </c>
      <c r="G21" s="710">
        <v>14436</v>
      </c>
      <c r="H21" s="1172">
        <v>8464</v>
      </c>
      <c r="I21" s="778"/>
      <c r="J21" s="687"/>
      <c r="K21" s="687"/>
      <c r="L21" s="779"/>
      <c r="M21" s="752"/>
    </row>
    <row r="22" spans="1:13" ht="15">
      <c r="A22" s="1195">
        <v>15</v>
      </c>
      <c r="B22" s="1200"/>
      <c r="C22" s="684"/>
      <c r="D22" s="688" t="s">
        <v>1168</v>
      </c>
      <c r="E22" s="1160"/>
      <c r="F22" s="1176"/>
      <c r="G22" s="1176"/>
      <c r="H22" s="1177"/>
      <c r="I22" s="778">
        <v>63149</v>
      </c>
      <c r="J22" s="687"/>
      <c r="K22" s="687"/>
      <c r="L22" s="780">
        <f t="shared" si="0"/>
        <v>63149</v>
      </c>
      <c r="M22" s="757">
        <v>674</v>
      </c>
    </row>
    <row r="23" spans="1:13" ht="15">
      <c r="A23" s="1195">
        <v>16</v>
      </c>
      <c r="B23" s="1200"/>
      <c r="C23" s="684"/>
      <c r="D23" s="690" t="s">
        <v>588</v>
      </c>
      <c r="E23" s="1160"/>
      <c r="F23" s="710"/>
      <c r="G23" s="710"/>
      <c r="H23" s="1172"/>
      <c r="I23" s="781">
        <v>31138</v>
      </c>
      <c r="J23" s="687"/>
      <c r="K23" s="687"/>
      <c r="L23" s="782">
        <f t="shared" si="0"/>
        <v>31138</v>
      </c>
      <c r="M23" s="757"/>
    </row>
    <row r="24" spans="1:13" ht="15">
      <c r="A24" s="1195">
        <v>17</v>
      </c>
      <c r="B24" s="1200"/>
      <c r="C24" s="684"/>
      <c r="D24" s="691" t="s">
        <v>1169</v>
      </c>
      <c r="E24" s="716"/>
      <c r="F24" s="715"/>
      <c r="G24" s="715"/>
      <c r="H24" s="991"/>
      <c r="I24" s="783">
        <f>SUM(I22:I23)</f>
        <v>94287</v>
      </c>
      <c r="J24" s="715">
        <f>SUM(J22:J23)</f>
        <v>0</v>
      </c>
      <c r="K24" s="715">
        <f>SUM(K22:K23)</f>
        <v>0</v>
      </c>
      <c r="L24" s="779">
        <f t="shared" si="0"/>
        <v>94287</v>
      </c>
      <c r="M24" s="754">
        <f>SUM(M22:M23)</f>
        <v>674</v>
      </c>
    </row>
    <row r="25" spans="1:13" s="1108" customFormat="1" ht="30">
      <c r="A25" s="1195">
        <v>18</v>
      </c>
      <c r="B25" s="1200"/>
      <c r="C25" s="684">
        <v>5</v>
      </c>
      <c r="D25" s="716" t="s">
        <v>14</v>
      </c>
      <c r="E25" s="1160" t="s">
        <v>400</v>
      </c>
      <c r="F25" s="716">
        <v>1000012</v>
      </c>
      <c r="G25" s="716">
        <v>0</v>
      </c>
      <c r="H25" s="1171">
        <v>77182</v>
      </c>
      <c r="I25" s="778"/>
      <c r="J25" s="687"/>
      <c r="K25" s="687"/>
      <c r="L25" s="779"/>
      <c r="M25" s="752"/>
    </row>
    <row r="26" spans="1:13" ht="15">
      <c r="A26" s="1195">
        <v>19</v>
      </c>
      <c r="B26" s="1200"/>
      <c r="C26" s="684"/>
      <c r="D26" s="688" t="s">
        <v>1168</v>
      </c>
      <c r="E26" s="1160"/>
      <c r="F26" s="720"/>
      <c r="G26" s="720"/>
      <c r="H26" s="1178"/>
      <c r="I26" s="778">
        <v>609461</v>
      </c>
      <c r="J26" s="687"/>
      <c r="K26" s="687"/>
      <c r="L26" s="780">
        <f t="shared" si="0"/>
        <v>609461</v>
      </c>
      <c r="M26" s="755">
        <v>232425</v>
      </c>
    </row>
    <row r="27" spans="1:13" ht="15">
      <c r="A27" s="1195">
        <v>20</v>
      </c>
      <c r="B27" s="1200"/>
      <c r="C27" s="684"/>
      <c r="D27" s="690" t="s">
        <v>588</v>
      </c>
      <c r="E27" s="1160"/>
      <c r="F27" s="720"/>
      <c r="G27" s="720"/>
      <c r="H27" s="1178"/>
      <c r="I27" s="781">
        <v>80944</v>
      </c>
      <c r="J27" s="687"/>
      <c r="K27" s="687"/>
      <c r="L27" s="782">
        <f t="shared" si="0"/>
        <v>80944</v>
      </c>
      <c r="M27" s="755"/>
    </row>
    <row r="28" spans="1:13" ht="15">
      <c r="A28" s="1195">
        <v>21</v>
      </c>
      <c r="B28" s="1200"/>
      <c r="C28" s="684"/>
      <c r="D28" s="691" t="s">
        <v>1169</v>
      </c>
      <c r="E28" s="716"/>
      <c r="F28" s="729"/>
      <c r="G28" s="729"/>
      <c r="H28" s="1179"/>
      <c r="I28" s="785">
        <f>SUM(I26:I27)</f>
        <v>690405</v>
      </c>
      <c r="J28" s="729">
        <f>SUM(J26:J27)</f>
        <v>0</v>
      </c>
      <c r="K28" s="729">
        <f>SUM(K26:K27)</f>
        <v>0</v>
      </c>
      <c r="L28" s="779">
        <f t="shared" si="0"/>
        <v>690405</v>
      </c>
      <c r="M28" s="758">
        <f>SUM(M26:M27)</f>
        <v>232425</v>
      </c>
    </row>
    <row r="29" spans="1:13" ht="45" customHeight="1">
      <c r="A29" s="1195">
        <v>22</v>
      </c>
      <c r="B29" s="1200"/>
      <c r="C29" s="684">
        <v>6</v>
      </c>
      <c r="D29" s="716" t="s">
        <v>15</v>
      </c>
      <c r="E29" s="1160" t="s">
        <v>400</v>
      </c>
      <c r="F29" s="721">
        <v>526356</v>
      </c>
      <c r="G29" s="721">
        <v>20345</v>
      </c>
      <c r="H29" s="1174">
        <v>0</v>
      </c>
      <c r="I29" s="778"/>
      <c r="J29" s="687"/>
      <c r="K29" s="687"/>
      <c r="L29" s="779"/>
      <c r="M29" s="752"/>
    </row>
    <row r="30" spans="1:13" ht="15">
      <c r="A30" s="1195">
        <v>23</v>
      </c>
      <c r="B30" s="1200"/>
      <c r="C30" s="684"/>
      <c r="D30" s="688" t="s">
        <v>1168</v>
      </c>
      <c r="E30" s="1160"/>
      <c r="F30" s="1176"/>
      <c r="G30" s="1176"/>
      <c r="H30" s="1177"/>
      <c r="I30" s="778">
        <v>231875</v>
      </c>
      <c r="J30" s="687"/>
      <c r="K30" s="687"/>
      <c r="L30" s="780">
        <f t="shared" si="0"/>
        <v>231875</v>
      </c>
      <c r="M30" s="755"/>
    </row>
    <row r="31" spans="1:13" ht="15">
      <c r="A31" s="1195">
        <v>24</v>
      </c>
      <c r="B31" s="1200"/>
      <c r="C31" s="684"/>
      <c r="D31" s="690" t="s">
        <v>588</v>
      </c>
      <c r="E31" s="1160"/>
      <c r="F31" s="721"/>
      <c r="G31" s="721"/>
      <c r="H31" s="1174"/>
      <c r="I31" s="781">
        <v>273800</v>
      </c>
      <c r="J31" s="687"/>
      <c r="K31" s="687"/>
      <c r="L31" s="782">
        <f t="shared" si="0"/>
        <v>273800</v>
      </c>
      <c r="M31" s="755"/>
    </row>
    <row r="32" spans="1:13" ht="15">
      <c r="A32" s="1195">
        <v>25</v>
      </c>
      <c r="B32" s="1200"/>
      <c r="C32" s="684"/>
      <c r="D32" s="691" t="s">
        <v>1169</v>
      </c>
      <c r="E32" s="716"/>
      <c r="F32" s="728"/>
      <c r="G32" s="728"/>
      <c r="H32" s="1101"/>
      <c r="I32" s="786">
        <f>SUM(I30:I31)</f>
        <v>505675</v>
      </c>
      <c r="J32" s="728">
        <f>SUM(J30:J31)</f>
        <v>0</v>
      </c>
      <c r="K32" s="728">
        <f>SUM(K30:K31)</f>
        <v>0</v>
      </c>
      <c r="L32" s="779">
        <f t="shared" si="0"/>
        <v>505675</v>
      </c>
      <c r="M32" s="759">
        <f>SUM(M30:M31)</f>
        <v>0</v>
      </c>
    </row>
    <row r="33" spans="1:13" s="1108" customFormat="1" ht="30">
      <c r="A33" s="1195">
        <v>26</v>
      </c>
      <c r="B33" s="1200"/>
      <c r="C33" s="684">
        <v>7</v>
      </c>
      <c r="D33" s="716" t="s">
        <v>379</v>
      </c>
      <c r="E33" s="1160" t="s">
        <v>400</v>
      </c>
      <c r="F33" s="721">
        <f>SUM(I36,H33)</f>
        <v>32633</v>
      </c>
      <c r="G33" s="721">
        <v>0</v>
      </c>
      <c r="H33" s="1174">
        <v>137</v>
      </c>
      <c r="I33" s="778"/>
      <c r="J33" s="687"/>
      <c r="K33" s="687"/>
      <c r="L33" s="779"/>
      <c r="M33" s="752"/>
    </row>
    <row r="34" spans="1:13" ht="15">
      <c r="A34" s="1195">
        <v>27</v>
      </c>
      <c r="B34" s="1200"/>
      <c r="C34" s="684"/>
      <c r="D34" s="688" t="s">
        <v>1168</v>
      </c>
      <c r="E34" s="1160"/>
      <c r="F34" s="1176"/>
      <c r="G34" s="1176"/>
      <c r="H34" s="1177"/>
      <c r="I34" s="778">
        <v>14738</v>
      </c>
      <c r="J34" s="687"/>
      <c r="K34" s="687"/>
      <c r="L34" s="780">
        <f t="shared" si="0"/>
        <v>14738</v>
      </c>
      <c r="M34" s="757"/>
    </row>
    <row r="35" spans="1:13" s="1109" customFormat="1" ht="15">
      <c r="A35" s="1195">
        <v>28</v>
      </c>
      <c r="B35" s="1201"/>
      <c r="C35" s="711"/>
      <c r="D35" s="690" t="s">
        <v>588</v>
      </c>
      <c r="E35" s="738"/>
      <c r="F35" s="727"/>
      <c r="G35" s="727"/>
      <c r="H35" s="1100"/>
      <c r="I35" s="781">
        <v>17758</v>
      </c>
      <c r="J35" s="713"/>
      <c r="K35" s="713"/>
      <c r="L35" s="782">
        <f t="shared" si="0"/>
        <v>17758</v>
      </c>
      <c r="M35" s="760"/>
    </row>
    <row r="36" spans="1:13" s="1110" customFormat="1" ht="15">
      <c r="A36" s="1195">
        <v>29</v>
      </c>
      <c r="B36" s="739"/>
      <c r="C36" s="714"/>
      <c r="D36" s="691" t="s">
        <v>1169</v>
      </c>
      <c r="E36" s="716"/>
      <c r="F36" s="728"/>
      <c r="G36" s="728"/>
      <c r="H36" s="1101"/>
      <c r="I36" s="786">
        <f>SUM(I34:I35)</f>
        <v>32496</v>
      </c>
      <c r="J36" s="728">
        <f>SUM(J34:J35)</f>
        <v>0</v>
      </c>
      <c r="K36" s="728">
        <f>SUM(K34:K35)</f>
        <v>0</v>
      </c>
      <c r="L36" s="779">
        <f t="shared" si="0"/>
        <v>32496</v>
      </c>
      <c r="M36" s="759">
        <f>SUM(M34:M35)</f>
        <v>0</v>
      </c>
    </row>
    <row r="37" spans="1:13" ht="60">
      <c r="A37" s="1195">
        <v>30</v>
      </c>
      <c r="B37" s="1200"/>
      <c r="C37" s="684">
        <v>8</v>
      </c>
      <c r="D37" s="716" t="s">
        <v>17</v>
      </c>
      <c r="E37" s="1160" t="s">
        <v>400</v>
      </c>
      <c r="F37" s="710">
        <v>538000</v>
      </c>
      <c r="G37" s="710">
        <v>55881</v>
      </c>
      <c r="H37" s="1172">
        <v>5272</v>
      </c>
      <c r="I37" s="778"/>
      <c r="J37" s="687"/>
      <c r="K37" s="687"/>
      <c r="L37" s="779"/>
      <c r="M37" s="752"/>
    </row>
    <row r="38" spans="1:13" ht="15">
      <c r="A38" s="1195">
        <v>31</v>
      </c>
      <c r="B38" s="1200"/>
      <c r="C38" s="684"/>
      <c r="D38" s="688" t="s">
        <v>1168</v>
      </c>
      <c r="E38" s="1160"/>
      <c r="F38" s="1176"/>
      <c r="G38" s="1176"/>
      <c r="H38" s="1177"/>
      <c r="I38" s="778">
        <v>434500</v>
      </c>
      <c r="J38" s="687"/>
      <c r="K38" s="687"/>
      <c r="L38" s="780">
        <f t="shared" si="0"/>
        <v>434500</v>
      </c>
      <c r="M38" s="757"/>
    </row>
    <row r="39" spans="1:13" ht="15">
      <c r="A39" s="1195">
        <v>32</v>
      </c>
      <c r="B39" s="1200"/>
      <c r="C39" s="684"/>
      <c r="D39" s="690" t="s">
        <v>588</v>
      </c>
      <c r="E39" s="1160"/>
      <c r="F39" s="710"/>
      <c r="G39" s="710"/>
      <c r="H39" s="1172"/>
      <c r="I39" s="781">
        <v>42347</v>
      </c>
      <c r="J39" s="687"/>
      <c r="K39" s="687"/>
      <c r="L39" s="782">
        <f t="shared" si="0"/>
        <v>42347</v>
      </c>
      <c r="M39" s="757"/>
    </row>
    <row r="40" spans="1:13" ht="15">
      <c r="A40" s="1195">
        <v>33</v>
      </c>
      <c r="B40" s="1200"/>
      <c r="C40" s="684"/>
      <c r="D40" s="691" t="s">
        <v>1169</v>
      </c>
      <c r="E40" s="1160"/>
      <c r="F40" s="715"/>
      <c r="G40" s="715"/>
      <c r="H40" s="991"/>
      <c r="I40" s="783">
        <f>SUM(I38:I39)</f>
        <v>476847</v>
      </c>
      <c r="J40" s="715">
        <f>SUM(J38:J39)</f>
        <v>0</v>
      </c>
      <c r="K40" s="715">
        <f>SUM(K38:K39)</f>
        <v>0</v>
      </c>
      <c r="L40" s="779">
        <f t="shared" si="0"/>
        <v>476847</v>
      </c>
      <c r="M40" s="754">
        <f>SUM(M38:M39)</f>
        <v>0</v>
      </c>
    </row>
    <row r="41" spans="1:13" ht="15">
      <c r="A41" s="1195">
        <v>34</v>
      </c>
      <c r="B41" s="1200"/>
      <c r="C41" s="684"/>
      <c r="D41" s="722" t="s">
        <v>18</v>
      </c>
      <c r="E41" s="1160" t="s">
        <v>400</v>
      </c>
      <c r="F41" s="710">
        <v>4100</v>
      </c>
      <c r="G41" s="710">
        <v>0</v>
      </c>
      <c r="H41" s="1172">
        <v>0</v>
      </c>
      <c r="I41" s="778"/>
      <c r="J41" s="687"/>
      <c r="K41" s="687"/>
      <c r="L41" s="779"/>
      <c r="M41" s="757"/>
    </row>
    <row r="42" spans="1:13" ht="15">
      <c r="A42" s="1195">
        <v>35</v>
      </c>
      <c r="B42" s="1200"/>
      <c r="C42" s="684"/>
      <c r="D42" s="688" t="s">
        <v>1168</v>
      </c>
      <c r="E42" s="1160"/>
      <c r="F42" s="1176"/>
      <c r="G42" s="1176"/>
      <c r="H42" s="1177"/>
      <c r="I42" s="778">
        <v>3100</v>
      </c>
      <c r="J42" s="687"/>
      <c r="K42" s="687"/>
      <c r="L42" s="780">
        <f t="shared" si="0"/>
        <v>3100</v>
      </c>
      <c r="M42" s="757"/>
    </row>
    <row r="43" spans="1:13" ht="15">
      <c r="A43" s="1195">
        <v>36</v>
      </c>
      <c r="B43" s="1200"/>
      <c r="C43" s="684"/>
      <c r="D43" s="690" t="s">
        <v>588</v>
      </c>
      <c r="E43" s="1160"/>
      <c r="F43" s="710"/>
      <c r="G43" s="710"/>
      <c r="H43" s="1172"/>
      <c r="I43" s="781">
        <v>1000</v>
      </c>
      <c r="J43" s="687"/>
      <c r="K43" s="687"/>
      <c r="L43" s="782">
        <f t="shared" si="0"/>
        <v>1000</v>
      </c>
      <c r="M43" s="757"/>
    </row>
    <row r="44" spans="1:13" ht="15">
      <c r="A44" s="1195">
        <v>37</v>
      </c>
      <c r="B44" s="1200"/>
      <c r="C44" s="684"/>
      <c r="D44" s="691" t="s">
        <v>1169</v>
      </c>
      <c r="E44" s="716"/>
      <c r="F44" s="715"/>
      <c r="G44" s="715"/>
      <c r="H44" s="991"/>
      <c r="I44" s="783">
        <f>SUM(I42:I43)</f>
        <v>4100</v>
      </c>
      <c r="J44" s="715">
        <f>SUM(J42:J43)</f>
        <v>0</v>
      </c>
      <c r="K44" s="715">
        <f>SUM(K42:K43)</f>
        <v>0</v>
      </c>
      <c r="L44" s="779">
        <f t="shared" si="0"/>
        <v>4100</v>
      </c>
      <c r="M44" s="754">
        <f>SUM(M42:M43)</f>
        <v>0</v>
      </c>
    </row>
    <row r="45" spans="1:13" ht="45">
      <c r="A45" s="1195">
        <v>38</v>
      </c>
      <c r="B45" s="1200"/>
      <c r="C45" s="684">
        <v>9</v>
      </c>
      <c r="D45" s="716" t="s">
        <v>904</v>
      </c>
      <c r="E45" s="1160" t="s">
        <v>400</v>
      </c>
      <c r="F45" s="716">
        <f>SUM(F41:F44,I48,H45,G45)</f>
        <v>93893</v>
      </c>
      <c r="G45" s="716">
        <v>14466</v>
      </c>
      <c r="H45" s="1171">
        <v>15</v>
      </c>
      <c r="I45" s="778"/>
      <c r="J45" s="687"/>
      <c r="K45" s="687"/>
      <c r="L45" s="779"/>
      <c r="M45" s="752"/>
    </row>
    <row r="46" spans="1:13" s="1109" customFormat="1" ht="15">
      <c r="A46" s="1195">
        <v>39</v>
      </c>
      <c r="B46" s="1201"/>
      <c r="C46" s="711"/>
      <c r="D46" s="690" t="s">
        <v>631</v>
      </c>
      <c r="E46" s="1160"/>
      <c r="F46" s="712"/>
      <c r="G46" s="712"/>
      <c r="H46" s="1173"/>
      <c r="I46" s="781">
        <v>1500</v>
      </c>
      <c r="J46" s="713"/>
      <c r="K46" s="713"/>
      <c r="L46" s="782">
        <f>SUM(I46:K46)</f>
        <v>1500</v>
      </c>
      <c r="M46" s="760"/>
    </row>
    <row r="47" spans="1:13" s="1109" customFormat="1" ht="15">
      <c r="A47" s="1195">
        <v>40</v>
      </c>
      <c r="B47" s="1201"/>
      <c r="C47" s="711"/>
      <c r="D47" s="690" t="s">
        <v>1124</v>
      </c>
      <c r="E47" s="1160"/>
      <c r="F47" s="712"/>
      <c r="G47" s="712"/>
      <c r="H47" s="1173"/>
      <c r="I47" s="781">
        <v>73812</v>
      </c>
      <c r="J47" s="713"/>
      <c r="K47" s="713"/>
      <c r="L47" s="782">
        <f>SUM(I47:K47)</f>
        <v>73812</v>
      </c>
      <c r="M47" s="760"/>
    </row>
    <row r="48" spans="1:13" ht="15">
      <c r="A48" s="1195">
        <v>41</v>
      </c>
      <c r="B48" s="1200"/>
      <c r="C48" s="684"/>
      <c r="D48" s="691" t="s">
        <v>1169</v>
      </c>
      <c r="E48" s="716"/>
      <c r="F48" s="715"/>
      <c r="G48" s="715"/>
      <c r="H48" s="991"/>
      <c r="I48" s="783">
        <f>SUM(I46:I47)</f>
        <v>75312</v>
      </c>
      <c r="J48" s="715">
        <f>SUM(J46:J47)</f>
        <v>0</v>
      </c>
      <c r="K48" s="715">
        <f>SUM(K46:K47)</f>
        <v>0</v>
      </c>
      <c r="L48" s="991">
        <f>SUM(L46:L47)</f>
        <v>75312</v>
      </c>
      <c r="M48" s="754"/>
    </row>
    <row r="49" spans="1:13" s="1108" customFormat="1" ht="30">
      <c r="A49" s="1195">
        <v>42</v>
      </c>
      <c r="B49" s="1200"/>
      <c r="C49" s="684">
        <v>10</v>
      </c>
      <c r="D49" s="716" t="s">
        <v>665</v>
      </c>
      <c r="E49" s="1160" t="s">
        <v>400</v>
      </c>
      <c r="F49" s="716">
        <f>SUM(I51,H49,G49)</f>
        <v>172526</v>
      </c>
      <c r="G49" s="716">
        <v>6859</v>
      </c>
      <c r="H49" s="1171">
        <v>47742</v>
      </c>
      <c r="I49" s="778"/>
      <c r="J49" s="687"/>
      <c r="K49" s="687"/>
      <c r="L49" s="779"/>
      <c r="M49" s="752"/>
    </row>
    <row r="50" spans="1:13" s="1109" customFormat="1" ht="15">
      <c r="A50" s="1195">
        <v>43</v>
      </c>
      <c r="B50" s="1201"/>
      <c r="C50" s="711"/>
      <c r="D50" s="690" t="s">
        <v>588</v>
      </c>
      <c r="E50" s="1160"/>
      <c r="F50" s="712"/>
      <c r="G50" s="712"/>
      <c r="H50" s="1173"/>
      <c r="I50" s="781">
        <v>117925</v>
      </c>
      <c r="J50" s="713"/>
      <c r="K50" s="713"/>
      <c r="L50" s="782">
        <f>SUM(I50:K50)</f>
        <v>117925</v>
      </c>
      <c r="M50" s="760"/>
    </row>
    <row r="51" spans="1:13" ht="15">
      <c r="A51" s="1195">
        <v>44</v>
      </c>
      <c r="B51" s="1200"/>
      <c r="C51" s="684"/>
      <c r="D51" s="691" t="s">
        <v>1169</v>
      </c>
      <c r="E51" s="716"/>
      <c r="F51" s="715"/>
      <c r="G51" s="715"/>
      <c r="H51" s="991"/>
      <c r="I51" s="783">
        <f>SUM(I50)</f>
        <v>117925</v>
      </c>
      <c r="J51" s="715">
        <f>SUM(J50)</f>
        <v>0</v>
      </c>
      <c r="K51" s="715">
        <f>SUM(K50)</f>
        <v>0</v>
      </c>
      <c r="L51" s="779">
        <f>SUM(I51:K51)</f>
        <v>117925</v>
      </c>
      <c r="M51" s="754"/>
    </row>
    <row r="52" spans="1:13" ht="45" customHeight="1">
      <c r="A52" s="1195">
        <v>45</v>
      </c>
      <c r="B52" s="1200"/>
      <c r="C52" s="684">
        <v>11</v>
      </c>
      <c r="D52" s="716" t="s">
        <v>666</v>
      </c>
      <c r="E52" s="1160" t="s">
        <v>400</v>
      </c>
      <c r="F52" s="716">
        <f>SUM(I54,H52,G52)</f>
        <v>1858059</v>
      </c>
      <c r="G52" s="716">
        <v>163412</v>
      </c>
      <c r="H52" s="1171">
        <v>1375396</v>
      </c>
      <c r="I52" s="778"/>
      <c r="J52" s="687"/>
      <c r="K52" s="687"/>
      <c r="L52" s="779"/>
      <c r="M52" s="752"/>
    </row>
    <row r="53" spans="1:13" s="1109" customFormat="1" ht="15">
      <c r="A53" s="1195">
        <v>46</v>
      </c>
      <c r="B53" s="1201"/>
      <c r="C53" s="711"/>
      <c r="D53" s="690" t="s">
        <v>588</v>
      </c>
      <c r="E53" s="1160"/>
      <c r="F53" s="712"/>
      <c r="G53" s="712"/>
      <c r="H53" s="1173"/>
      <c r="I53" s="781">
        <v>319251</v>
      </c>
      <c r="J53" s="713"/>
      <c r="K53" s="713"/>
      <c r="L53" s="782">
        <f>SUM(I53:K53)</f>
        <v>319251</v>
      </c>
      <c r="M53" s="760"/>
    </row>
    <row r="54" spans="1:13" ht="15">
      <c r="A54" s="1195">
        <v>47</v>
      </c>
      <c r="B54" s="1200"/>
      <c r="C54" s="684"/>
      <c r="D54" s="691" t="s">
        <v>1169</v>
      </c>
      <c r="E54" s="716"/>
      <c r="F54" s="715"/>
      <c r="G54" s="715"/>
      <c r="H54" s="991"/>
      <c r="I54" s="783">
        <f>SUM(I53)</f>
        <v>319251</v>
      </c>
      <c r="J54" s="715">
        <f>SUM(J53)</f>
        <v>0</v>
      </c>
      <c r="K54" s="715">
        <f>SUM(K53)</f>
        <v>0</v>
      </c>
      <c r="L54" s="991">
        <f>SUM(L53)</f>
        <v>319251</v>
      </c>
      <c r="M54" s="754"/>
    </row>
    <row r="55" spans="1:13" ht="31.5" customHeight="1">
      <c r="A55" s="1195">
        <v>48</v>
      </c>
      <c r="B55" s="1200"/>
      <c r="C55" s="684">
        <v>12</v>
      </c>
      <c r="D55" s="716" t="s">
        <v>668</v>
      </c>
      <c r="E55" s="1160" t="s">
        <v>400</v>
      </c>
      <c r="F55" s="716">
        <f>SUM(I57,H55,G55)</f>
        <v>234205</v>
      </c>
      <c r="G55" s="716">
        <v>8209</v>
      </c>
      <c r="H55" s="1171">
        <v>139914</v>
      </c>
      <c r="I55" s="778"/>
      <c r="J55" s="687"/>
      <c r="K55" s="687"/>
      <c r="L55" s="779"/>
      <c r="M55" s="752"/>
    </row>
    <row r="56" spans="1:13" s="1109" customFormat="1" ht="15">
      <c r="A56" s="1195">
        <v>49</v>
      </c>
      <c r="B56" s="1201"/>
      <c r="C56" s="711"/>
      <c r="D56" s="690" t="s">
        <v>588</v>
      </c>
      <c r="E56" s="1160"/>
      <c r="F56" s="712"/>
      <c r="G56" s="712"/>
      <c r="H56" s="1173"/>
      <c r="I56" s="781">
        <v>86082</v>
      </c>
      <c r="J56" s="713"/>
      <c r="K56" s="713"/>
      <c r="L56" s="782">
        <f>SUM(I56:K56)</f>
        <v>86082</v>
      </c>
      <c r="M56" s="760"/>
    </row>
    <row r="57" spans="1:13" ht="15">
      <c r="A57" s="1195">
        <v>50</v>
      </c>
      <c r="B57" s="1200"/>
      <c r="C57" s="684"/>
      <c r="D57" s="691" t="s">
        <v>1169</v>
      </c>
      <c r="E57" s="716"/>
      <c r="F57" s="715"/>
      <c r="G57" s="715"/>
      <c r="H57" s="991"/>
      <c r="I57" s="783">
        <f>SUM(I56)</f>
        <v>86082</v>
      </c>
      <c r="J57" s="715">
        <f>SUM(J56)</f>
        <v>0</v>
      </c>
      <c r="K57" s="715">
        <f>SUM(K56)</f>
        <v>0</v>
      </c>
      <c r="L57" s="991">
        <f>SUM(L56)</f>
        <v>86082</v>
      </c>
      <c r="M57" s="754"/>
    </row>
    <row r="58" spans="1:13" s="1108" customFormat="1" ht="31.5" customHeight="1">
      <c r="A58" s="1195">
        <v>51</v>
      </c>
      <c r="B58" s="1200"/>
      <c r="C58" s="684">
        <v>13</v>
      </c>
      <c r="D58" s="716" t="s">
        <v>692</v>
      </c>
      <c r="E58" s="1160" t="s">
        <v>400</v>
      </c>
      <c r="F58" s="716">
        <f>SUM(I60,H58,G58)</f>
        <v>72227</v>
      </c>
      <c r="G58" s="716">
        <v>26590</v>
      </c>
      <c r="H58" s="1171">
        <v>35637</v>
      </c>
      <c r="I58" s="778"/>
      <c r="J58" s="687"/>
      <c r="K58" s="687"/>
      <c r="L58" s="779"/>
      <c r="M58" s="752"/>
    </row>
    <row r="59" spans="1:13" s="1109" customFormat="1" ht="15">
      <c r="A59" s="1195">
        <v>52</v>
      </c>
      <c r="B59" s="1201"/>
      <c r="C59" s="711"/>
      <c r="D59" s="690" t="s">
        <v>588</v>
      </c>
      <c r="E59" s="1160"/>
      <c r="F59" s="712"/>
      <c r="G59" s="712"/>
      <c r="H59" s="1173"/>
      <c r="I59" s="781">
        <v>10000</v>
      </c>
      <c r="J59" s="713"/>
      <c r="K59" s="713"/>
      <c r="L59" s="782">
        <f>SUM(I59:K59)</f>
        <v>10000</v>
      </c>
      <c r="M59" s="760"/>
    </row>
    <row r="60" spans="1:13" ht="15">
      <c r="A60" s="1195">
        <v>53</v>
      </c>
      <c r="B60" s="1200"/>
      <c r="C60" s="684"/>
      <c r="D60" s="691" t="s">
        <v>1169</v>
      </c>
      <c r="E60" s="716"/>
      <c r="F60" s="715"/>
      <c r="G60" s="715"/>
      <c r="H60" s="991"/>
      <c r="I60" s="783">
        <f>SUM(I59)</f>
        <v>10000</v>
      </c>
      <c r="J60" s="715">
        <f>SUM(J59)</f>
        <v>0</v>
      </c>
      <c r="K60" s="715">
        <f>SUM(K59)</f>
        <v>0</v>
      </c>
      <c r="L60" s="991">
        <f>SUM(L59)</f>
        <v>10000</v>
      </c>
      <c r="M60" s="754"/>
    </row>
    <row r="61" spans="1:13" s="1108" customFormat="1" ht="31.5" customHeight="1">
      <c r="A61" s="1195">
        <v>54</v>
      </c>
      <c r="B61" s="1200"/>
      <c r="C61" s="684">
        <v>14</v>
      </c>
      <c r="D61" s="716" t="s">
        <v>693</v>
      </c>
      <c r="E61" s="1160" t="s">
        <v>400</v>
      </c>
      <c r="F61" s="716">
        <f>SUM(I63,H61,G61)</f>
        <v>200</v>
      </c>
      <c r="G61" s="716">
        <v>0</v>
      </c>
      <c r="H61" s="1171">
        <v>147</v>
      </c>
      <c r="I61" s="778"/>
      <c r="J61" s="687"/>
      <c r="K61" s="687"/>
      <c r="L61" s="779"/>
      <c r="M61" s="752"/>
    </row>
    <row r="62" spans="1:13" s="1109" customFormat="1" ht="15">
      <c r="A62" s="1195">
        <v>55</v>
      </c>
      <c r="B62" s="1201"/>
      <c r="C62" s="711"/>
      <c r="D62" s="690" t="s">
        <v>588</v>
      </c>
      <c r="E62" s="1180"/>
      <c r="F62" s="712"/>
      <c r="G62" s="712"/>
      <c r="H62" s="1173"/>
      <c r="I62" s="781">
        <v>53</v>
      </c>
      <c r="J62" s="713"/>
      <c r="K62" s="713"/>
      <c r="L62" s="782">
        <f>SUM(I62:K62)</f>
        <v>53</v>
      </c>
      <c r="M62" s="760"/>
    </row>
    <row r="63" spans="1:13" ht="15">
      <c r="A63" s="1195">
        <v>56</v>
      </c>
      <c r="B63" s="1200"/>
      <c r="C63" s="684"/>
      <c r="D63" s="691" t="s">
        <v>1169</v>
      </c>
      <c r="E63" s="1160"/>
      <c r="F63" s="715"/>
      <c r="G63" s="715"/>
      <c r="H63" s="991"/>
      <c r="I63" s="783">
        <f>SUM(I62)</f>
        <v>53</v>
      </c>
      <c r="J63" s="715">
        <f>SUM(J62)</f>
        <v>0</v>
      </c>
      <c r="K63" s="715">
        <f>SUM(K62)</f>
        <v>0</v>
      </c>
      <c r="L63" s="991">
        <f>SUM(L62)</f>
        <v>53</v>
      </c>
      <c r="M63" s="754"/>
    </row>
    <row r="64" spans="1:13" s="1108" customFormat="1" ht="25.5" customHeight="1">
      <c r="A64" s="1212">
        <v>57</v>
      </c>
      <c r="B64" s="683"/>
      <c r="C64" s="694">
        <v>15</v>
      </c>
      <c r="D64" s="716" t="s">
        <v>706</v>
      </c>
      <c r="E64" s="1160" t="s">
        <v>400</v>
      </c>
      <c r="F64" s="716">
        <f>SUM(I66,H64,G64)</f>
        <v>499640</v>
      </c>
      <c r="G64" s="716">
        <v>213046</v>
      </c>
      <c r="H64" s="1171">
        <v>265798</v>
      </c>
      <c r="I64" s="778"/>
      <c r="J64" s="687"/>
      <c r="K64" s="687"/>
      <c r="L64" s="779"/>
      <c r="M64" s="752"/>
    </row>
    <row r="65" spans="1:13" s="1109" customFormat="1" ht="15">
      <c r="A65" s="1195">
        <v>58</v>
      </c>
      <c r="B65" s="1201"/>
      <c r="C65" s="711"/>
      <c r="D65" s="690" t="s">
        <v>588</v>
      </c>
      <c r="E65" s="1180"/>
      <c r="F65" s="712"/>
      <c r="G65" s="712"/>
      <c r="H65" s="1173"/>
      <c r="I65" s="781">
        <v>20796</v>
      </c>
      <c r="J65" s="713"/>
      <c r="K65" s="713"/>
      <c r="L65" s="782">
        <f>SUM(I65:K65)</f>
        <v>20796</v>
      </c>
      <c r="M65" s="760"/>
    </row>
    <row r="66" spans="1:13" ht="15">
      <c r="A66" s="1195">
        <v>59</v>
      </c>
      <c r="B66" s="1200"/>
      <c r="C66" s="684"/>
      <c r="D66" s="691" t="s">
        <v>1169</v>
      </c>
      <c r="E66" s="1160"/>
      <c r="F66" s="715"/>
      <c r="G66" s="715"/>
      <c r="H66" s="991"/>
      <c r="I66" s="783">
        <f>SUM(I65)</f>
        <v>20796</v>
      </c>
      <c r="J66" s="715">
        <f>SUM(J65)</f>
        <v>0</v>
      </c>
      <c r="K66" s="715">
        <f>SUM(K65)</f>
        <v>0</v>
      </c>
      <c r="L66" s="991">
        <f>SUM(L65)</f>
        <v>20796</v>
      </c>
      <c r="M66" s="754"/>
    </row>
    <row r="67" spans="1:13" ht="30" customHeight="1">
      <c r="A67" s="426">
        <v>60</v>
      </c>
      <c r="B67" s="726"/>
      <c r="C67" s="695">
        <v>16</v>
      </c>
      <c r="D67" s="716" t="s">
        <v>885</v>
      </c>
      <c r="E67" s="1160" t="s">
        <v>400</v>
      </c>
      <c r="F67" s="710">
        <v>28000</v>
      </c>
      <c r="G67" s="710">
        <v>0</v>
      </c>
      <c r="H67" s="1181">
        <v>0</v>
      </c>
      <c r="I67" s="778"/>
      <c r="J67" s="687"/>
      <c r="K67" s="687"/>
      <c r="L67" s="779"/>
      <c r="M67" s="752"/>
    </row>
    <row r="68" spans="1:13" ht="15">
      <c r="A68" s="1195">
        <v>61</v>
      </c>
      <c r="B68" s="1200"/>
      <c r="C68" s="684"/>
      <c r="D68" s="688" t="s">
        <v>1168</v>
      </c>
      <c r="E68" s="1168"/>
      <c r="F68" s="1176"/>
      <c r="G68" s="1176"/>
      <c r="H68" s="1177"/>
      <c r="I68" s="778">
        <v>28000</v>
      </c>
      <c r="J68" s="687"/>
      <c r="K68" s="687"/>
      <c r="L68" s="780">
        <f t="shared" si="0"/>
        <v>28000</v>
      </c>
      <c r="M68" s="757"/>
    </row>
    <row r="69" spans="1:13" ht="15">
      <c r="A69" s="1195">
        <v>62</v>
      </c>
      <c r="B69" s="1200"/>
      <c r="C69" s="684"/>
      <c r="D69" s="690" t="s">
        <v>1170</v>
      </c>
      <c r="E69" s="1160"/>
      <c r="F69" s="710"/>
      <c r="G69" s="710"/>
      <c r="H69" s="1181"/>
      <c r="I69" s="778"/>
      <c r="J69" s="687"/>
      <c r="K69" s="687"/>
      <c r="L69" s="782">
        <f t="shared" si="0"/>
        <v>0</v>
      </c>
      <c r="M69" s="757"/>
    </row>
    <row r="70" spans="1:13" ht="15">
      <c r="A70" s="1195">
        <v>63</v>
      </c>
      <c r="B70" s="1200"/>
      <c r="C70" s="684"/>
      <c r="D70" s="691" t="s">
        <v>1169</v>
      </c>
      <c r="E70" s="1160"/>
      <c r="F70" s="715"/>
      <c r="G70" s="715"/>
      <c r="H70" s="991"/>
      <c r="I70" s="783">
        <f>SUM(I68:I69)</f>
        <v>28000</v>
      </c>
      <c r="J70" s="715">
        <f>SUM(J68:J69)</f>
        <v>0</v>
      </c>
      <c r="K70" s="715">
        <f>SUM(K68:K69)</f>
        <v>0</v>
      </c>
      <c r="L70" s="779">
        <f t="shared" si="0"/>
        <v>28000</v>
      </c>
      <c r="M70" s="754">
        <f>SUM(M68:M69)</f>
        <v>0</v>
      </c>
    </row>
    <row r="71" spans="1:13" s="1108" customFormat="1" ht="30">
      <c r="A71" s="1195">
        <v>64</v>
      </c>
      <c r="B71" s="1200"/>
      <c r="C71" s="684">
        <v>17</v>
      </c>
      <c r="D71" s="716" t="s">
        <v>53</v>
      </c>
      <c r="E71" s="1160" t="s">
        <v>400</v>
      </c>
      <c r="F71" s="721">
        <f>SUM(I74,H71)</f>
        <v>22300</v>
      </c>
      <c r="G71" s="721">
        <v>0</v>
      </c>
      <c r="H71" s="1174">
        <v>18000</v>
      </c>
      <c r="I71" s="778"/>
      <c r="J71" s="687"/>
      <c r="K71" s="687"/>
      <c r="L71" s="779"/>
      <c r="M71" s="752"/>
    </row>
    <row r="72" spans="1:13" ht="15">
      <c r="A72" s="1195">
        <v>65</v>
      </c>
      <c r="B72" s="1200"/>
      <c r="C72" s="684"/>
      <c r="D72" s="688" t="s">
        <v>1168</v>
      </c>
      <c r="E72" s="1168"/>
      <c r="F72" s="1176"/>
      <c r="G72" s="1176"/>
      <c r="H72" s="1177"/>
      <c r="I72" s="778">
        <v>4300</v>
      </c>
      <c r="J72" s="687"/>
      <c r="K72" s="687"/>
      <c r="L72" s="780">
        <f t="shared" si="0"/>
        <v>4300</v>
      </c>
      <c r="M72" s="757"/>
    </row>
    <row r="73" spans="1:13" s="1109" customFormat="1" ht="15">
      <c r="A73" s="1195">
        <v>66</v>
      </c>
      <c r="B73" s="1201"/>
      <c r="C73" s="711"/>
      <c r="D73" s="690" t="s">
        <v>1170</v>
      </c>
      <c r="E73" s="1160"/>
      <c r="F73" s="727"/>
      <c r="G73" s="727"/>
      <c r="H73" s="1100"/>
      <c r="I73" s="781"/>
      <c r="J73" s="713"/>
      <c r="K73" s="713"/>
      <c r="L73" s="782">
        <f t="shared" si="0"/>
        <v>0</v>
      </c>
      <c r="M73" s="760"/>
    </row>
    <row r="74" spans="1:13" s="1110" customFormat="1" ht="15">
      <c r="A74" s="1195">
        <v>67</v>
      </c>
      <c r="B74" s="739"/>
      <c r="C74" s="714"/>
      <c r="D74" s="691" t="s">
        <v>1169</v>
      </c>
      <c r="E74" s="738"/>
      <c r="F74" s="728"/>
      <c r="G74" s="728"/>
      <c r="H74" s="1101"/>
      <c r="I74" s="786">
        <f>SUM(I72:I73)</f>
        <v>4300</v>
      </c>
      <c r="J74" s="728">
        <f>SUM(J72:J73)</f>
        <v>0</v>
      </c>
      <c r="K74" s="728">
        <f>SUM(K72:K73)</f>
        <v>0</v>
      </c>
      <c r="L74" s="779">
        <f t="shared" si="0"/>
        <v>4300</v>
      </c>
      <c r="M74" s="759">
        <f>SUM(M72:M73)</f>
        <v>0</v>
      </c>
    </row>
    <row r="75" spans="1:13" ht="60">
      <c r="A75" s="1195">
        <v>68</v>
      </c>
      <c r="B75" s="1200"/>
      <c r="C75" s="684">
        <v>18</v>
      </c>
      <c r="D75" s="716" t="s">
        <v>54</v>
      </c>
      <c r="E75" s="1160" t="s">
        <v>400</v>
      </c>
      <c r="F75" s="719">
        <f>SUM(I78,H75)</f>
        <v>9356</v>
      </c>
      <c r="G75" s="719">
        <v>0</v>
      </c>
      <c r="H75" s="1174">
        <v>2356</v>
      </c>
      <c r="I75" s="778"/>
      <c r="J75" s="687"/>
      <c r="K75" s="687"/>
      <c r="L75" s="779"/>
      <c r="M75" s="752"/>
    </row>
    <row r="76" spans="1:13" ht="15">
      <c r="A76" s="1195">
        <v>69</v>
      </c>
      <c r="B76" s="1200"/>
      <c r="C76" s="684"/>
      <c r="D76" s="688" t="s">
        <v>1168</v>
      </c>
      <c r="E76" s="1168"/>
      <c r="F76" s="1176"/>
      <c r="G76" s="1176"/>
      <c r="H76" s="1177"/>
      <c r="I76" s="778">
        <v>7000</v>
      </c>
      <c r="J76" s="687"/>
      <c r="K76" s="687"/>
      <c r="L76" s="780">
        <f t="shared" si="0"/>
        <v>7000</v>
      </c>
      <c r="M76" s="755"/>
    </row>
    <row r="77" spans="1:13" ht="15">
      <c r="A77" s="1195">
        <v>70</v>
      </c>
      <c r="B77" s="1200"/>
      <c r="C77" s="684"/>
      <c r="D77" s="690" t="s">
        <v>1170</v>
      </c>
      <c r="E77" s="1160"/>
      <c r="F77" s="719"/>
      <c r="G77" s="719"/>
      <c r="H77" s="1174"/>
      <c r="I77" s="778"/>
      <c r="J77" s="687"/>
      <c r="K77" s="687"/>
      <c r="L77" s="782">
        <f t="shared" si="0"/>
        <v>0</v>
      </c>
      <c r="M77" s="755"/>
    </row>
    <row r="78" spans="1:13" ht="15">
      <c r="A78" s="1195">
        <v>71</v>
      </c>
      <c r="B78" s="1200"/>
      <c r="C78" s="684"/>
      <c r="D78" s="691" t="s">
        <v>1169</v>
      </c>
      <c r="E78" s="1160"/>
      <c r="F78" s="693"/>
      <c r="G78" s="693"/>
      <c r="H78" s="1182"/>
      <c r="I78" s="787">
        <f>SUM(I76:I77)</f>
        <v>7000</v>
      </c>
      <c r="J78" s="693">
        <f>SUM(J76:J77)</f>
        <v>0</v>
      </c>
      <c r="K78" s="693">
        <f>SUM(K76:K77)</f>
        <v>0</v>
      </c>
      <c r="L78" s="779">
        <f t="shared" si="0"/>
        <v>7000</v>
      </c>
      <c r="M78" s="761">
        <f>SUM(M76:M77)</f>
        <v>0</v>
      </c>
    </row>
    <row r="79" spans="1:13" s="1108" customFormat="1" ht="30">
      <c r="A79" s="1195">
        <v>72</v>
      </c>
      <c r="B79" s="1200"/>
      <c r="C79" s="684">
        <v>19</v>
      </c>
      <c r="D79" s="716" t="s">
        <v>55</v>
      </c>
      <c r="E79" s="1160" t="s">
        <v>400</v>
      </c>
      <c r="F79" s="721">
        <f>SUM(M82,I82)</f>
        <v>65000</v>
      </c>
      <c r="G79" s="716">
        <v>0</v>
      </c>
      <c r="H79" s="1171">
        <v>0</v>
      </c>
      <c r="I79" s="778"/>
      <c r="J79" s="687"/>
      <c r="K79" s="687"/>
      <c r="L79" s="779"/>
      <c r="M79" s="752"/>
    </row>
    <row r="80" spans="1:13" ht="15">
      <c r="A80" s="1195">
        <v>73</v>
      </c>
      <c r="B80" s="1200"/>
      <c r="C80" s="684"/>
      <c r="D80" s="688" t="s">
        <v>1168</v>
      </c>
      <c r="E80" s="1168"/>
      <c r="F80" s="1176"/>
      <c r="G80" s="721"/>
      <c r="H80" s="1174"/>
      <c r="I80" s="778">
        <v>6000</v>
      </c>
      <c r="J80" s="687"/>
      <c r="K80" s="687"/>
      <c r="L80" s="780">
        <f t="shared" si="0"/>
        <v>6000</v>
      </c>
      <c r="M80" s="757">
        <v>59000</v>
      </c>
    </row>
    <row r="81" spans="1:13" s="1109" customFormat="1" ht="15">
      <c r="A81" s="1195">
        <v>74</v>
      </c>
      <c r="B81" s="1201"/>
      <c r="C81" s="711"/>
      <c r="D81" s="690" t="s">
        <v>1170</v>
      </c>
      <c r="E81" s="1160"/>
      <c r="F81" s="727"/>
      <c r="G81" s="727"/>
      <c r="H81" s="1100"/>
      <c r="I81" s="781"/>
      <c r="J81" s="713"/>
      <c r="K81" s="713"/>
      <c r="L81" s="782">
        <f t="shared" si="0"/>
        <v>0</v>
      </c>
      <c r="M81" s="760"/>
    </row>
    <row r="82" spans="1:13" s="1110" customFormat="1" ht="15">
      <c r="A82" s="1195">
        <v>75</v>
      </c>
      <c r="B82" s="739"/>
      <c r="C82" s="714"/>
      <c r="D82" s="691" t="s">
        <v>1169</v>
      </c>
      <c r="E82" s="738"/>
      <c r="F82" s="728"/>
      <c r="G82" s="728"/>
      <c r="H82" s="1101"/>
      <c r="I82" s="786">
        <f>SUM(I80:I81)</f>
        <v>6000</v>
      </c>
      <c r="J82" s="728">
        <f>SUM(J80:J81)</f>
        <v>0</v>
      </c>
      <c r="K82" s="728">
        <f>SUM(K80:K81)</f>
        <v>0</v>
      </c>
      <c r="L82" s="779">
        <f t="shared" si="0"/>
        <v>6000</v>
      </c>
      <c r="M82" s="759">
        <f>SUM(M80:M81)</f>
        <v>59000</v>
      </c>
    </row>
    <row r="83" spans="1:13" s="1108" customFormat="1" ht="30">
      <c r="A83" s="1195">
        <v>76</v>
      </c>
      <c r="B83" s="1200"/>
      <c r="C83" s="684">
        <v>20</v>
      </c>
      <c r="D83" s="716" t="s">
        <v>56</v>
      </c>
      <c r="E83" s="1160" t="s">
        <v>400</v>
      </c>
      <c r="F83" s="721">
        <v>6000</v>
      </c>
      <c r="G83" s="716">
        <v>0</v>
      </c>
      <c r="H83" s="1171">
        <v>0</v>
      </c>
      <c r="I83" s="778"/>
      <c r="J83" s="687"/>
      <c r="K83" s="687"/>
      <c r="L83" s="779"/>
      <c r="M83" s="752"/>
    </row>
    <row r="84" spans="1:13" ht="15">
      <c r="A84" s="1195">
        <v>77</v>
      </c>
      <c r="B84" s="1200"/>
      <c r="C84" s="684"/>
      <c r="D84" s="688" t="s">
        <v>1168</v>
      </c>
      <c r="E84" s="1168"/>
      <c r="F84" s="1176"/>
      <c r="G84" s="721"/>
      <c r="H84" s="1174"/>
      <c r="I84" s="778">
        <v>6000</v>
      </c>
      <c r="J84" s="687"/>
      <c r="K84" s="687"/>
      <c r="L84" s="780">
        <f t="shared" si="0"/>
        <v>6000</v>
      </c>
      <c r="M84" s="757"/>
    </row>
    <row r="85" spans="1:13" s="1109" customFormat="1" ht="15">
      <c r="A85" s="1195">
        <v>78</v>
      </c>
      <c r="B85" s="1201"/>
      <c r="C85" s="711"/>
      <c r="D85" s="690" t="s">
        <v>1170</v>
      </c>
      <c r="E85" s="1160"/>
      <c r="F85" s="727"/>
      <c r="G85" s="727"/>
      <c r="H85" s="1100"/>
      <c r="I85" s="781"/>
      <c r="J85" s="713"/>
      <c r="K85" s="713"/>
      <c r="L85" s="782">
        <f t="shared" si="0"/>
        <v>0</v>
      </c>
      <c r="M85" s="760"/>
    </row>
    <row r="86" spans="1:13" s="1110" customFormat="1" ht="15">
      <c r="A86" s="1195">
        <v>79</v>
      </c>
      <c r="B86" s="739"/>
      <c r="C86" s="714"/>
      <c r="D86" s="691" t="s">
        <v>1169</v>
      </c>
      <c r="E86" s="738"/>
      <c r="F86" s="728"/>
      <c r="G86" s="728"/>
      <c r="H86" s="1101"/>
      <c r="I86" s="786">
        <f>SUM(I84:I85)</f>
        <v>6000</v>
      </c>
      <c r="J86" s="728">
        <f>SUM(J84:J85)</f>
        <v>0</v>
      </c>
      <c r="K86" s="728">
        <f>SUM(K84:K85)</f>
        <v>0</v>
      </c>
      <c r="L86" s="779">
        <f t="shared" si="0"/>
        <v>6000</v>
      </c>
      <c r="M86" s="759">
        <f>SUM(M84:M85)</f>
        <v>0</v>
      </c>
    </row>
    <row r="87" spans="1:13" s="1108" customFormat="1" ht="19.5" customHeight="1">
      <c r="A87" s="1212">
        <v>80</v>
      </c>
      <c r="B87" s="683"/>
      <c r="C87" s="694">
        <v>21</v>
      </c>
      <c r="D87" s="716" t="s">
        <v>884</v>
      </c>
      <c r="E87" s="1160" t="s">
        <v>400</v>
      </c>
      <c r="F87" s="710">
        <v>1500</v>
      </c>
      <c r="G87" s="716">
        <v>0</v>
      </c>
      <c r="H87" s="1171">
        <v>0</v>
      </c>
      <c r="I87" s="778"/>
      <c r="J87" s="687"/>
      <c r="K87" s="687"/>
      <c r="L87" s="779"/>
      <c r="M87" s="752"/>
    </row>
    <row r="88" spans="1:13" ht="15">
      <c r="A88" s="1195">
        <v>81</v>
      </c>
      <c r="B88" s="1200"/>
      <c r="C88" s="684"/>
      <c r="D88" s="688" t="s">
        <v>1168</v>
      </c>
      <c r="E88" s="1168"/>
      <c r="F88" s="1176"/>
      <c r="G88" s="721"/>
      <c r="H88" s="1174"/>
      <c r="I88" s="778">
        <v>1500</v>
      </c>
      <c r="J88" s="687"/>
      <c r="K88" s="687"/>
      <c r="L88" s="780">
        <f t="shared" si="0"/>
        <v>1500</v>
      </c>
      <c r="M88" s="757"/>
    </row>
    <row r="89" spans="1:13" s="1109" customFormat="1" ht="15">
      <c r="A89" s="1195">
        <v>82</v>
      </c>
      <c r="B89" s="1201"/>
      <c r="C89" s="711"/>
      <c r="D89" s="690" t="s">
        <v>1170</v>
      </c>
      <c r="E89" s="1160"/>
      <c r="F89" s="727"/>
      <c r="G89" s="727"/>
      <c r="H89" s="1100"/>
      <c r="I89" s="781"/>
      <c r="J89" s="713"/>
      <c r="K89" s="713"/>
      <c r="L89" s="782">
        <f t="shared" si="0"/>
        <v>0</v>
      </c>
      <c r="M89" s="760"/>
    </row>
    <row r="90" spans="1:13" s="1110" customFormat="1" ht="15">
      <c r="A90" s="1195">
        <v>83</v>
      </c>
      <c r="B90" s="739"/>
      <c r="C90" s="714"/>
      <c r="D90" s="691" t="s">
        <v>1169</v>
      </c>
      <c r="E90" s="738"/>
      <c r="F90" s="728"/>
      <c r="G90" s="728"/>
      <c r="H90" s="1101"/>
      <c r="I90" s="786">
        <f>SUM(I88:I89)</f>
        <v>1500</v>
      </c>
      <c r="J90" s="728">
        <f>SUM(J88:J89)</f>
        <v>0</v>
      </c>
      <c r="K90" s="728">
        <f>SUM(K88:K89)</f>
        <v>0</v>
      </c>
      <c r="L90" s="779">
        <f t="shared" si="0"/>
        <v>1500</v>
      </c>
      <c r="M90" s="759">
        <f>SUM(M88:M89)</f>
        <v>0</v>
      </c>
    </row>
    <row r="91" spans="1:13" s="1108" customFormat="1" ht="19.5" customHeight="1">
      <c r="A91" s="1212">
        <v>84</v>
      </c>
      <c r="B91" s="683"/>
      <c r="C91" s="694">
        <v>22</v>
      </c>
      <c r="D91" s="716" t="s">
        <v>58</v>
      </c>
      <c r="E91" s="1160" t="s">
        <v>400</v>
      </c>
      <c r="F91" s="710">
        <f>SUM(F87:F90,I94,H91,G91)</f>
        <v>22417</v>
      </c>
      <c r="G91" s="710">
        <v>2682</v>
      </c>
      <c r="H91" s="1174">
        <v>109</v>
      </c>
      <c r="I91" s="778"/>
      <c r="J91" s="687"/>
      <c r="K91" s="687"/>
      <c r="L91" s="779"/>
      <c r="M91" s="752"/>
    </row>
    <row r="92" spans="1:13" ht="15">
      <c r="A92" s="1195">
        <v>85</v>
      </c>
      <c r="B92" s="1200"/>
      <c r="C92" s="684"/>
      <c r="D92" s="688" t="s">
        <v>1168</v>
      </c>
      <c r="E92" s="1168"/>
      <c r="F92" s="1176"/>
      <c r="G92" s="1176"/>
      <c r="H92" s="1177"/>
      <c r="I92" s="778">
        <v>3456</v>
      </c>
      <c r="J92" s="687"/>
      <c r="K92" s="687"/>
      <c r="L92" s="780">
        <f t="shared" si="0"/>
        <v>3456</v>
      </c>
      <c r="M92" s="757"/>
    </row>
    <row r="93" spans="1:13" s="1109" customFormat="1" ht="15">
      <c r="A93" s="1195">
        <v>86</v>
      </c>
      <c r="B93" s="1201"/>
      <c r="C93" s="711"/>
      <c r="D93" s="690" t="s">
        <v>588</v>
      </c>
      <c r="E93" s="1160"/>
      <c r="F93" s="727"/>
      <c r="G93" s="727"/>
      <c r="H93" s="1100"/>
      <c r="I93" s="781">
        <v>14670</v>
      </c>
      <c r="J93" s="713"/>
      <c r="K93" s="713"/>
      <c r="L93" s="782">
        <f t="shared" si="0"/>
        <v>14670</v>
      </c>
      <c r="M93" s="760"/>
    </row>
    <row r="94" spans="1:13" s="1110" customFormat="1" ht="15">
      <c r="A94" s="1195">
        <v>87</v>
      </c>
      <c r="B94" s="739"/>
      <c r="C94" s="714"/>
      <c r="D94" s="691" t="s">
        <v>1169</v>
      </c>
      <c r="E94" s="738"/>
      <c r="F94" s="728"/>
      <c r="G94" s="728"/>
      <c r="H94" s="1101"/>
      <c r="I94" s="786">
        <f>SUM(I92:I93)</f>
        <v>18126</v>
      </c>
      <c r="J94" s="728">
        <f>SUM(J92:J93)</f>
        <v>0</v>
      </c>
      <c r="K94" s="728">
        <f>SUM(K92:K93)</f>
        <v>0</v>
      </c>
      <c r="L94" s="779">
        <f t="shared" si="0"/>
        <v>18126</v>
      </c>
      <c r="M94" s="759">
        <f>SUM(M92:M93)</f>
        <v>0</v>
      </c>
    </row>
    <row r="95" spans="1:13" s="1108" customFormat="1" ht="30">
      <c r="A95" s="1195">
        <v>88</v>
      </c>
      <c r="B95" s="1200"/>
      <c r="C95" s="684">
        <v>23</v>
      </c>
      <c r="D95" s="716" t="s">
        <v>59</v>
      </c>
      <c r="E95" s="1160" t="s">
        <v>400</v>
      </c>
      <c r="F95" s="721">
        <v>437280</v>
      </c>
      <c r="G95" s="721">
        <v>123732</v>
      </c>
      <c r="H95" s="1174">
        <v>109329</v>
      </c>
      <c r="I95" s="778"/>
      <c r="J95" s="687"/>
      <c r="K95" s="687"/>
      <c r="L95" s="779"/>
      <c r="M95" s="752"/>
    </row>
    <row r="96" spans="1:13" ht="15">
      <c r="A96" s="1195">
        <v>89</v>
      </c>
      <c r="B96" s="1200"/>
      <c r="C96" s="684"/>
      <c r="D96" s="688" t="s">
        <v>1168</v>
      </c>
      <c r="E96" s="1168"/>
      <c r="F96" s="1176"/>
      <c r="G96" s="1176"/>
      <c r="H96" s="1177"/>
      <c r="I96" s="778">
        <v>88000</v>
      </c>
      <c r="J96" s="687"/>
      <c r="K96" s="687"/>
      <c r="L96" s="780">
        <f t="shared" si="0"/>
        <v>88000</v>
      </c>
      <c r="M96" s="757">
        <v>116219</v>
      </c>
    </row>
    <row r="97" spans="1:13" s="1109" customFormat="1" ht="15">
      <c r="A97" s="1195">
        <v>90</v>
      </c>
      <c r="B97" s="1201"/>
      <c r="C97" s="711"/>
      <c r="D97" s="690" t="s">
        <v>1170</v>
      </c>
      <c r="E97" s="1160"/>
      <c r="F97" s="727"/>
      <c r="G97" s="727"/>
      <c r="H97" s="1100"/>
      <c r="I97" s="781"/>
      <c r="J97" s="713"/>
      <c r="K97" s="713"/>
      <c r="L97" s="782">
        <f aca="true" t="shared" si="1" ref="L97:L166">SUM(I97:K97)</f>
        <v>0</v>
      </c>
      <c r="M97" s="760"/>
    </row>
    <row r="98" spans="1:13" s="1110" customFormat="1" ht="15">
      <c r="A98" s="1195">
        <v>91</v>
      </c>
      <c r="B98" s="739"/>
      <c r="C98" s="714"/>
      <c r="D98" s="691" t="s">
        <v>1169</v>
      </c>
      <c r="E98" s="738"/>
      <c r="F98" s="728"/>
      <c r="G98" s="728"/>
      <c r="H98" s="1101"/>
      <c r="I98" s="786">
        <f>SUM(I96:I97)</f>
        <v>88000</v>
      </c>
      <c r="J98" s="728">
        <f>SUM(J96:J97)</f>
        <v>0</v>
      </c>
      <c r="K98" s="728">
        <f>SUM(K96:K97)</f>
        <v>0</v>
      </c>
      <c r="L98" s="779">
        <f t="shared" si="1"/>
        <v>88000</v>
      </c>
      <c r="M98" s="759">
        <f>SUM(M96:M97)</f>
        <v>116219</v>
      </c>
    </row>
    <row r="99" spans="1:13" s="1108" customFormat="1" ht="19.5" customHeight="1">
      <c r="A99" s="1212">
        <v>92</v>
      </c>
      <c r="B99" s="683"/>
      <c r="C99" s="694">
        <v>24</v>
      </c>
      <c r="D99" s="716" t="s">
        <v>60</v>
      </c>
      <c r="E99" s="1160" t="s">
        <v>400</v>
      </c>
      <c r="F99" s="710">
        <v>200025</v>
      </c>
      <c r="G99" s="710">
        <v>0</v>
      </c>
      <c r="H99" s="1174">
        <v>72525</v>
      </c>
      <c r="I99" s="778"/>
      <c r="J99" s="687"/>
      <c r="K99" s="687"/>
      <c r="L99" s="779"/>
      <c r="M99" s="752"/>
    </row>
    <row r="100" spans="1:13" ht="15">
      <c r="A100" s="1195">
        <v>93</v>
      </c>
      <c r="B100" s="1200"/>
      <c r="C100" s="684"/>
      <c r="D100" s="688" t="s">
        <v>1168</v>
      </c>
      <c r="E100" s="1168"/>
      <c r="F100" s="1176"/>
      <c r="G100" s="1176"/>
      <c r="H100" s="1177"/>
      <c r="I100" s="778">
        <v>70000</v>
      </c>
      <c r="J100" s="687"/>
      <c r="K100" s="687"/>
      <c r="L100" s="780">
        <f t="shared" si="1"/>
        <v>70000</v>
      </c>
      <c r="M100" s="757">
        <v>57500</v>
      </c>
    </row>
    <row r="101" spans="1:13" s="1109" customFormat="1" ht="15">
      <c r="A101" s="1195">
        <v>94</v>
      </c>
      <c r="B101" s="1201"/>
      <c r="C101" s="711"/>
      <c r="D101" s="690" t="s">
        <v>1170</v>
      </c>
      <c r="E101" s="1160"/>
      <c r="F101" s="727"/>
      <c r="G101" s="727"/>
      <c r="H101" s="1100"/>
      <c r="I101" s="781"/>
      <c r="J101" s="713"/>
      <c r="K101" s="713"/>
      <c r="L101" s="782">
        <f t="shared" si="1"/>
        <v>0</v>
      </c>
      <c r="M101" s="760"/>
    </row>
    <row r="102" spans="1:13" s="1110" customFormat="1" ht="15">
      <c r="A102" s="1195">
        <v>95</v>
      </c>
      <c r="B102" s="739"/>
      <c r="C102" s="714"/>
      <c r="D102" s="691" t="s">
        <v>1169</v>
      </c>
      <c r="E102" s="738"/>
      <c r="F102" s="728"/>
      <c r="G102" s="728"/>
      <c r="H102" s="1101"/>
      <c r="I102" s="786">
        <f>SUM(I100:I101)</f>
        <v>70000</v>
      </c>
      <c r="J102" s="728">
        <f>SUM(J100:J101)</f>
        <v>0</v>
      </c>
      <c r="K102" s="728">
        <f>SUM(K100:K101)</f>
        <v>0</v>
      </c>
      <c r="L102" s="779">
        <f t="shared" si="1"/>
        <v>70000</v>
      </c>
      <c r="M102" s="759">
        <f>SUM(M100:M101)</f>
        <v>57500</v>
      </c>
    </row>
    <row r="103" spans="1:13" ht="45">
      <c r="A103" s="1195">
        <v>96</v>
      </c>
      <c r="B103" s="1200"/>
      <c r="C103" s="684">
        <v>25</v>
      </c>
      <c r="D103" s="716" t="s">
        <v>76</v>
      </c>
      <c r="E103" s="1160" t="s">
        <v>400</v>
      </c>
      <c r="F103" s="692">
        <v>15290</v>
      </c>
      <c r="G103" s="716">
        <v>0</v>
      </c>
      <c r="H103" s="1171">
        <v>0</v>
      </c>
      <c r="I103" s="778"/>
      <c r="J103" s="687"/>
      <c r="K103" s="687"/>
      <c r="L103" s="779"/>
      <c r="M103" s="752"/>
    </row>
    <row r="104" spans="1:13" ht="15">
      <c r="A104" s="1195">
        <v>97</v>
      </c>
      <c r="B104" s="1200"/>
      <c r="C104" s="684"/>
      <c r="D104" s="688" t="s">
        <v>1168</v>
      </c>
      <c r="E104" s="1168"/>
      <c r="F104" s="1176"/>
      <c r="G104" s="692"/>
      <c r="H104" s="1183"/>
      <c r="I104" s="778">
        <v>15290</v>
      </c>
      <c r="J104" s="687"/>
      <c r="K104" s="687"/>
      <c r="L104" s="780">
        <f t="shared" si="1"/>
        <v>15290</v>
      </c>
      <c r="M104" s="755"/>
    </row>
    <row r="105" spans="1:13" ht="15">
      <c r="A105" s="1195">
        <v>98</v>
      </c>
      <c r="B105" s="1200"/>
      <c r="C105" s="684"/>
      <c r="D105" s="690" t="s">
        <v>1170</v>
      </c>
      <c r="E105" s="1160"/>
      <c r="F105" s="692"/>
      <c r="G105" s="692"/>
      <c r="H105" s="1183"/>
      <c r="I105" s="778"/>
      <c r="J105" s="687"/>
      <c r="K105" s="687"/>
      <c r="L105" s="782">
        <f t="shared" si="1"/>
        <v>0</v>
      </c>
      <c r="M105" s="755"/>
    </row>
    <row r="106" spans="1:13" ht="15">
      <c r="A106" s="1195">
        <v>99</v>
      </c>
      <c r="B106" s="1200"/>
      <c r="C106" s="684"/>
      <c r="D106" s="691" t="s">
        <v>1169</v>
      </c>
      <c r="E106" s="1160"/>
      <c r="F106" s="730"/>
      <c r="G106" s="730"/>
      <c r="H106" s="1184"/>
      <c r="I106" s="788">
        <f>SUM(I104:I105)</f>
        <v>15290</v>
      </c>
      <c r="J106" s="730">
        <f>SUM(J104:J105)</f>
        <v>0</v>
      </c>
      <c r="K106" s="730">
        <f>SUM(K104:K105)</f>
        <v>0</v>
      </c>
      <c r="L106" s="779">
        <f t="shared" si="1"/>
        <v>15290</v>
      </c>
      <c r="M106" s="762">
        <f>SUM(M104:M105)</f>
        <v>0</v>
      </c>
    </row>
    <row r="107" spans="1:13" ht="60">
      <c r="A107" s="1195">
        <v>100</v>
      </c>
      <c r="B107" s="1200"/>
      <c r="C107" s="684">
        <v>26</v>
      </c>
      <c r="D107" s="716" t="s">
        <v>1029</v>
      </c>
      <c r="E107" s="1160" t="s">
        <v>400</v>
      </c>
      <c r="F107" s="692">
        <v>3100</v>
      </c>
      <c r="G107" s="716">
        <v>0</v>
      </c>
      <c r="H107" s="1171">
        <v>0</v>
      </c>
      <c r="I107" s="778"/>
      <c r="J107" s="687"/>
      <c r="K107" s="687"/>
      <c r="L107" s="779"/>
      <c r="M107" s="752"/>
    </row>
    <row r="108" spans="1:13" ht="15">
      <c r="A108" s="1195">
        <v>101</v>
      </c>
      <c r="B108" s="1200"/>
      <c r="C108" s="684"/>
      <c r="D108" s="688" t="s">
        <v>1168</v>
      </c>
      <c r="E108" s="1168"/>
      <c r="F108" s="1176"/>
      <c r="G108" s="692"/>
      <c r="H108" s="1183"/>
      <c r="I108" s="778">
        <v>3100</v>
      </c>
      <c r="J108" s="687"/>
      <c r="K108" s="687"/>
      <c r="L108" s="780">
        <f t="shared" si="1"/>
        <v>3100</v>
      </c>
      <c r="M108" s="755"/>
    </row>
    <row r="109" spans="1:13" ht="15">
      <c r="A109" s="1195">
        <v>102</v>
      </c>
      <c r="B109" s="1200"/>
      <c r="C109" s="684"/>
      <c r="D109" s="690" t="s">
        <v>1170</v>
      </c>
      <c r="E109" s="1160"/>
      <c r="F109" s="692"/>
      <c r="G109" s="692"/>
      <c r="H109" s="1183"/>
      <c r="I109" s="778"/>
      <c r="J109" s="687"/>
      <c r="K109" s="687"/>
      <c r="L109" s="782">
        <f t="shared" si="1"/>
        <v>0</v>
      </c>
      <c r="M109" s="755"/>
    </row>
    <row r="110" spans="1:13" ht="15">
      <c r="A110" s="1195">
        <v>103</v>
      </c>
      <c r="B110" s="1200"/>
      <c r="C110" s="684"/>
      <c r="D110" s="691" t="s">
        <v>1169</v>
      </c>
      <c r="E110" s="1160"/>
      <c r="F110" s="730"/>
      <c r="G110" s="730"/>
      <c r="H110" s="1184"/>
      <c r="I110" s="788">
        <f>SUM(I108:I109)</f>
        <v>3100</v>
      </c>
      <c r="J110" s="730">
        <f>SUM(J108:J109)</f>
        <v>0</v>
      </c>
      <c r="K110" s="730">
        <f>SUM(K108:K109)</f>
        <v>0</v>
      </c>
      <c r="L110" s="779">
        <f t="shared" si="1"/>
        <v>3100</v>
      </c>
      <c r="M110" s="762">
        <f>SUM(M108:M109)</f>
        <v>0</v>
      </c>
    </row>
    <row r="111" spans="1:13" ht="45" customHeight="1">
      <c r="A111" s="1195">
        <v>104</v>
      </c>
      <c r="B111" s="1200"/>
      <c r="C111" s="684">
        <v>27</v>
      </c>
      <c r="D111" s="716" t="s">
        <v>1030</v>
      </c>
      <c r="E111" s="1160" t="s">
        <v>400</v>
      </c>
      <c r="F111" s="692">
        <v>3600</v>
      </c>
      <c r="G111" s="716">
        <v>0</v>
      </c>
      <c r="H111" s="1171">
        <v>0</v>
      </c>
      <c r="I111" s="778"/>
      <c r="J111" s="687"/>
      <c r="K111" s="687"/>
      <c r="L111" s="779"/>
      <c r="M111" s="752"/>
    </row>
    <row r="112" spans="1:13" ht="15">
      <c r="A112" s="1195">
        <v>105</v>
      </c>
      <c r="B112" s="1200"/>
      <c r="C112" s="684"/>
      <c r="D112" s="688" t="s">
        <v>1168</v>
      </c>
      <c r="E112" s="1168"/>
      <c r="F112" s="1176"/>
      <c r="G112" s="692"/>
      <c r="H112" s="1183"/>
      <c r="I112" s="778">
        <v>3600</v>
      </c>
      <c r="J112" s="687"/>
      <c r="K112" s="687"/>
      <c r="L112" s="780">
        <f t="shared" si="1"/>
        <v>3600</v>
      </c>
      <c r="M112" s="755"/>
    </row>
    <row r="113" spans="1:13" ht="15">
      <c r="A113" s="1195">
        <v>106</v>
      </c>
      <c r="B113" s="1200"/>
      <c r="C113" s="684"/>
      <c r="D113" s="690" t="s">
        <v>1170</v>
      </c>
      <c r="E113" s="1160"/>
      <c r="F113" s="692"/>
      <c r="G113" s="692"/>
      <c r="H113" s="1183"/>
      <c r="I113" s="778"/>
      <c r="J113" s="687"/>
      <c r="K113" s="687"/>
      <c r="L113" s="782">
        <f t="shared" si="1"/>
        <v>0</v>
      </c>
      <c r="M113" s="755"/>
    </row>
    <row r="114" spans="1:13" ht="15">
      <c r="A114" s="1195">
        <v>107</v>
      </c>
      <c r="B114" s="1200"/>
      <c r="C114" s="684"/>
      <c r="D114" s="691" t="s">
        <v>1169</v>
      </c>
      <c r="E114" s="1160"/>
      <c r="F114" s="730"/>
      <c r="G114" s="730"/>
      <c r="H114" s="1184"/>
      <c r="I114" s="788">
        <f>SUM(I112:I113)</f>
        <v>3600</v>
      </c>
      <c r="J114" s="730">
        <f>SUM(J112:J113)</f>
        <v>0</v>
      </c>
      <c r="K114" s="730">
        <f>SUM(K112:K113)</f>
        <v>0</v>
      </c>
      <c r="L114" s="779">
        <f t="shared" si="1"/>
        <v>3600</v>
      </c>
      <c r="M114" s="762">
        <f>SUM(M112:M113)</f>
        <v>0</v>
      </c>
    </row>
    <row r="115" spans="1:13" s="1108" customFormat="1" ht="19.5" customHeight="1">
      <c r="A115" s="1212">
        <v>108</v>
      </c>
      <c r="B115" s="683"/>
      <c r="C115" s="694">
        <v>28</v>
      </c>
      <c r="D115" s="716" t="s">
        <v>78</v>
      </c>
      <c r="E115" s="1160" t="s">
        <v>400</v>
      </c>
      <c r="F115" s="710">
        <v>11000</v>
      </c>
      <c r="G115" s="710">
        <v>0</v>
      </c>
      <c r="H115" s="1174">
        <v>0</v>
      </c>
      <c r="I115" s="778"/>
      <c r="J115" s="687"/>
      <c r="K115" s="687"/>
      <c r="L115" s="779"/>
      <c r="M115" s="752"/>
    </row>
    <row r="116" spans="1:13" ht="15">
      <c r="A116" s="1195">
        <v>109</v>
      </c>
      <c r="B116" s="1200"/>
      <c r="C116" s="684"/>
      <c r="D116" s="688" t="s">
        <v>1168</v>
      </c>
      <c r="E116" s="1168"/>
      <c r="F116" s="1176"/>
      <c r="G116" s="1176"/>
      <c r="H116" s="1177"/>
      <c r="I116" s="778">
        <v>5000</v>
      </c>
      <c r="J116" s="687"/>
      <c r="K116" s="687"/>
      <c r="L116" s="780">
        <f t="shared" si="1"/>
        <v>5000</v>
      </c>
      <c r="M116" s="757"/>
    </row>
    <row r="117" spans="1:13" s="1109" customFormat="1" ht="15">
      <c r="A117" s="1195">
        <v>110</v>
      </c>
      <c r="B117" s="1201"/>
      <c r="C117" s="711"/>
      <c r="D117" s="690" t="s">
        <v>588</v>
      </c>
      <c r="E117" s="1160"/>
      <c r="F117" s="727"/>
      <c r="G117" s="727"/>
      <c r="H117" s="1100"/>
      <c r="I117" s="781">
        <v>6000</v>
      </c>
      <c r="J117" s="713"/>
      <c r="K117" s="713"/>
      <c r="L117" s="782">
        <f t="shared" si="1"/>
        <v>6000</v>
      </c>
      <c r="M117" s="760"/>
    </row>
    <row r="118" spans="1:13" s="1110" customFormat="1" ht="15">
      <c r="A118" s="1195">
        <v>111</v>
      </c>
      <c r="B118" s="739"/>
      <c r="C118" s="714"/>
      <c r="D118" s="691" t="s">
        <v>1169</v>
      </c>
      <c r="E118" s="738"/>
      <c r="F118" s="728"/>
      <c r="G118" s="728"/>
      <c r="H118" s="1101"/>
      <c r="I118" s="786">
        <f>SUM(I116:I117)</f>
        <v>11000</v>
      </c>
      <c r="J118" s="728">
        <f>SUM(J116:J117)</f>
        <v>0</v>
      </c>
      <c r="K118" s="728">
        <f>SUM(K116:K117)</f>
        <v>0</v>
      </c>
      <c r="L118" s="779">
        <f t="shared" si="1"/>
        <v>11000</v>
      </c>
      <c r="M118" s="759">
        <f>SUM(M116:M117)</f>
        <v>0</v>
      </c>
    </row>
    <row r="119" spans="1:13" s="1108" customFormat="1" ht="19.5" customHeight="1">
      <c r="A119" s="1212">
        <v>112</v>
      </c>
      <c r="B119" s="683"/>
      <c r="C119" s="694">
        <v>29</v>
      </c>
      <c r="D119" s="716" t="s">
        <v>79</v>
      </c>
      <c r="E119" s="1160" t="s">
        <v>400</v>
      </c>
      <c r="F119" s="710">
        <f>SUM(I122,M122)</f>
        <v>12000</v>
      </c>
      <c r="G119" s="710">
        <v>0</v>
      </c>
      <c r="H119" s="1174">
        <v>0</v>
      </c>
      <c r="I119" s="778"/>
      <c r="J119" s="687"/>
      <c r="K119" s="687"/>
      <c r="L119" s="779"/>
      <c r="M119" s="752"/>
    </row>
    <row r="120" spans="1:13" ht="15">
      <c r="A120" s="1195">
        <v>113</v>
      </c>
      <c r="B120" s="1200"/>
      <c r="C120" s="684"/>
      <c r="D120" s="688" t="s">
        <v>1168</v>
      </c>
      <c r="E120" s="1168"/>
      <c r="F120" s="1176"/>
      <c r="G120" s="1176"/>
      <c r="H120" s="1177"/>
      <c r="I120" s="778">
        <v>2000</v>
      </c>
      <c r="J120" s="687"/>
      <c r="K120" s="687"/>
      <c r="L120" s="780">
        <f t="shared" si="1"/>
        <v>2000</v>
      </c>
      <c r="M120" s="757">
        <v>10000</v>
      </c>
    </row>
    <row r="121" spans="1:13" s="1109" customFormat="1" ht="15">
      <c r="A121" s="1195">
        <v>114</v>
      </c>
      <c r="B121" s="1201"/>
      <c r="C121" s="711"/>
      <c r="D121" s="690" t="s">
        <v>1170</v>
      </c>
      <c r="E121" s="1160"/>
      <c r="F121" s="727"/>
      <c r="G121" s="727"/>
      <c r="H121" s="1100"/>
      <c r="I121" s="781"/>
      <c r="J121" s="713"/>
      <c r="K121" s="713"/>
      <c r="L121" s="782">
        <f t="shared" si="1"/>
        <v>0</v>
      </c>
      <c r="M121" s="760"/>
    </row>
    <row r="122" spans="1:13" s="1110" customFormat="1" ht="15">
      <c r="A122" s="1195">
        <v>115</v>
      </c>
      <c r="B122" s="739"/>
      <c r="C122" s="714"/>
      <c r="D122" s="691" t="s">
        <v>1169</v>
      </c>
      <c r="E122" s="738"/>
      <c r="F122" s="728"/>
      <c r="G122" s="728"/>
      <c r="H122" s="1101"/>
      <c r="I122" s="786">
        <f>SUM(I120:I121)</f>
        <v>2000</v>
      </c>
      <c r="J122" s="728">
        <f>SUM(J120:J121)</f>
        <v>0</v>
      </c>
      <c r="K122" s="728">
        <f>SUM(K120:K121)</f>
        <v>0</v>
      </c>
      <c r="L122" s="779">
        <f t="shared" si="1"/>
        <v>2000</v>
      </c>
      <c r="M122" s="759">
        <f>SUM(M120:M121)</f>
        <v>10000</v>
      </c>
    </row>
    <row r="123" spans="1:13" s="1108" customFormat="1" ht="19.5" customHeight="1">
      <c r="A123" s="1212">
        <v>116</v>
      </c>
      <c r="B123" s="683"/>
      <c r="C123" s="694">
        <v>30</v>
      </c>
      <c r="D123" s="716" t="s">
        <v>80</v>
      </c>
      <c r="E123" s="1160" t="s">
        <v>400</v>
      </c>
      <c r="F123" s="710">
        <v>23258</v>
      </c>
      <c r="G123" s="710">
        <v>3258</v>
      </c>
      <c r="H123" s="1174">
        <v>0</v>
      </c>
      <c r="I123" s="778"/>
      <c r="J123" s="687"/>
      <c r="K123" s="687"/>
      <c r="L123" s="779"/>
      <c r="M123" s="752"/>
    </row>
    <row r="124" spans="1:13" ht="15">
      <c r="A124" s="1195">
        <v>117</v>
      </c>
      <c r="B124" s="1200"/>
      <c r="C124" s="684"/>
      <c r="D124" s="688" t="s">
        <v>1168</v>
      </c>
      <c r="E124" s="1168"/>
      <c r="F124" s="1176"/>
      <c r="G124" s="1176"/>
      <c r="H124" s="1177"/>
      <c r="I124" s="778">
        <v>15000</v>
      </c>
      <c r="J124" s="687"/>
      <c r="K124" s="687"/>
      <c r="L124" s="780">
        <f t="shared" si="1"/>
        <v>15000</v>
      </c>
      <c r="M124" s="757"/>
    </row>
    <row r="125" spans="1:13" s="1109" customFormat="1" ht="15">
      <c r="A125" s="1195">
        <v>118</v>
      </c>
      <c r="B125" s="1201"/>
      <c r="C125" s="711"/>
      <c r="D125" s="690" t="s">
        <v>588</v>
      </c>
      <c r="E125" s="1160"/>
      <c r="F125" s="727"/>
      <c r="G125" s="727"/>
      <c r="H125" s="1100"/>
      <c r="I125" s="781">
        <v>5000</v>
      </c>
      <c r="J125" s="713"/>
      <c r="K125" s="713"/>
      <c r="L125" s="782">
        <f t="shared" si="1"/>
        <v>5000</v>
      </c>
      <c r="M125" s="760"/>
    </row>
    <row r="126" spans="1:13" s="1110" customFormat="1" ht="15">
      <c r="A126" s="1195">
        <v>119</v>
      </c>
      <c r="B126" s="739"/>
      <c r="C126" s="714"/>
      <c r="D126" s="691" t="s">
        <v>1169</v>
      </c>
      <c r="E126" s="738"/>
      <c r="F126" s="728"/>
      <c r="G126" s="728"/>
      <c r="H126" s="1101"/>
      <c r="I126" s="786">
        <f>SUM(I124:I125)</f>
        <v>20000</v>
      </c>
      <c r="J126" s="728">
        <f>SUM(J124:J125)</f>
        <v>0</v>
      </c>
      <c r="K126" s="728">
        <f>SUM(K124:K125)</f>
        <v>0</v>
      </c>
      <c r="L126" s="779">
        <f t="shared" si="1"/>
        <v>20000</v>
      </c>
      <c r="M126" s="759">
        <f>SUM(M124:M125)</f>
        <v>0</v>
      </c>
    </row>
    <row r="127" spans="1:13" s="1108" customFormat="1" ht="19.5" customHeight="1">
      <c r="A127" s="1212">
        <v>120</v>
      </c>
      <c r="B127" s="683"/>
      <c r="C127" s="694">
        <v>31</v>
      </c>
      <c r="D127" s="716" t="s">
        <v>82</v>
      </c>
      <c r="E127" s="1160" t="s">
        <v>400</v>
      </c>
      <c r="F127" s="710">
        <f>SUM(H127,I130,M130)</f>
        <v>32000</v>
      </c>
      <c r="G127" s="710">
        <v>0</v>
      </c>
      <c r="H127" s="1174">
        <v>790</v>
      </c>
      <c r="I127" s="778"/>
      <c r="J127" s="687"/>
      <c r="K127" s="687"/>
      <c r="L127" s="779"/>
      <c r="M127" s="752"/>
    </row>
    <row r="128" spans="1:13" ht="15">
      <c r="A128" s="1195">
        <v>121</v>
      </c>
      <c r="B128" s="1200"/>
      <c r="C128" s="684"/>
      <c r="D128" s="688" t="s">
        <v>1168</v>
      </c>
      <c r="E128" s="1168"/>
      <c r="F128" s="1176"/>
      <c r="G128" s="1176"/>
      <c r="H128" s="1177"/>
      <c r="I128" s="778">
        <v>10000</v>
      </c>
      <c r="J128" s="687"/>
      <c r="K128" s="687"/>
      <c r="L128" s="780">
        <f t="shared" si="1"/>
        <v>10000</v>
      </c>
      <c r="M128" s="757">
        <v>12000</v>
      </c>
    </row>
    <row r="129" spans="1:13" s="1109" customFormat="1" ht="15">
      <c r="A129" s="1195">
        <v>122</v>
      </c>
      <c r="B129" s="1201"/>
      <c r="C129" s="711"/>
      <c r="D129" s="690" t="s">
        <v>588</v>
      </c>
      <c r="E129" s="1160"/>
      <c r="F129" s="727"/>
      <c r="G129" s="727"/>
      <c r="H129" s="1100"/>
      <c r="I129" s="781">
        <v>9210</v>
      </c>
      <c r="J129" s="713"/>
      <c r="K129" s="713"/>
      <c r="L129" s="782">
        <f t="shared" si="1"/>
        <v>9210</v>
      </c>
      <c r="M129" s="760"/>
    </row>
    <row r="130" spans="1:13" s="1110" customFormat="1" ht="15">
      <c r="A130" s="1195">
        <v>123</v>
      </c>
      <c r="B130" s="739"/>
      <c r="C130" s="714"/>
      <c r="D130" s="691" t="s">
        <v>1169</v>
      </c>
      <c r="E130" s="738"/>
      <c r="F130" s="728"/>
      <c r="G130" s="728"/>
      <c r="H130" s="1101"/>
      <c r="I130" s="786">
        <f>SUM(I128:I129)</f>
        <v>19210</v>
      </c>
      <c r="J130" s="728">
        <f>SUM(J128:J129)</f>
        <v>0</v>
      </c>
      <c r="K130" s="728">
        <f>SUM(K128:K129)</f>
        <v>0</v>
      </c>
      <c r="L130" s="779">
        <f t="shared" si="1"/>
        <v>19210</v>
      </c>
      <c r="M130" s="759">
        <f>SUM(M128:M129)</f>
        <v>12000</v>
      </c>
    </row>
    <row r="131" spans="1:13" s="1108" customFormat="1" ht="19.5" customHeight="1">
      <c r="A131" s="1212">
        <v>124</v>
      </c>
      <c r="B131" s="683"/>
      <c r="C131" s="694">
        <v>32</v>
      </c>
      <c r="D131" s="716" t="s">
        <v>83</v>
      </c>
      <c r="E131" s="1160" t="s">
        <v>400</v>
      </c>
      <c r="F131" s="710">
        <v>3000</v>
      </c>
      <c r="G131" s="710">
        <v>0</v>
      </c>
      <c r="H131" s="1174">
        <v>0</v>
      </c>
      <c r="I131" s="778"/>
      <c r="J131" s="687"/>
      <c r="K131" s="687"/>
      <c r="L131" s="779"/>
      <c r="M131" s="752"/>
    </row>
    <row r="132" spans="1:13" ht="15">
      <c r="A132" s="1195">
        <v>125</v>
      </c>
      <c r="B132" s="1200"/>
      <c r="C132" s="684"/>
      <c r="D132" s="688" t="s">
        <v>1168</v>
      </c>
      <c r="E132" s="1168"/>
      <c r="F132" s="1176"/>
      <c r="G132" s="721"/>
      <c r="H132" s="1174"/>
      <c r="I132" s="778">
        <v>3000</v>
      </c>
      <c r="J132" s="687"/>
      <c r="K132" s="687"/>
      <c r="L132" s="780">
        <f t="shared" si="1"/>
        <v>3000</v>
      </c>
      <c r="M132" s="757"/>
    </row>
    <row r="133" spans="1:13" s="1109" customFormat="1" ht="15">
      <c r="A133" s="1195">
        <v>126</v>
      </c>
      <c r="B133" s="1201"/>
      <c r="C133" s="711"/>
      <c r="D133" s="690" t="s">
        <v>1170</v>
      </c>
      <c r="E133" s="1160"/>
      <c r="F133" s="727"/>
      <c r="G133" s="727"/>
      <c r="H133" s="1100"/>
      <c r="I133" s="781"/>
      <c r="J133" s="713"/>
      <c r="K133" s="713"/>
      <c r="L133" s="782">
        <f t="shared" si="1"/>
        <v>0</v>
      </c>
      <c r="M133" s="760"/>
    </row>
    <row r="134" spans="1:13" s="1110" customFormat="1" ht="15">
      <c r="A134" s="1195">
        <v>127</v>
      </c>
      <c r="B134" s="739"/>
      <c r="C134" s="714"/>
      <c r="D134" s="691" t="s">
        <v>1169</v>
      </c>
      <c r="E134" s="738"/>
      <c r="F134" s="728"/>
      <c r="G134" s="728"/>
      <c r="H134" s="1101"/>
      <c r="I134" s="786">
        <f>SUM(I132:I133)</f>
        <v>3000</v>
      </c>
      <c r="J134" s="728">
        <f>SUM(J132:J133)</f>
        <v>0</v>
      </c>
      <c r="K134" s="728">
        <f>SUM(K132:K133)</f>
        <v>0</v>
      </c>
      <c r="L134" s="779">
        <f t="shared" si="1"/>
        <v>3000</v>
      </c>
      <c r="M134" s="759">
        <f>SUM(M132:M133)</f>
        <v>0</v>
      </c>
    </row>
    <row r="135" spans="1:13" s="1108" customFormat="1" ht="19.5" customHeight="1">
      <c r="A135" s="1212">
        <v>128</v>
      </c>
      <c r="B135" s="683"/>
      <c r="C135" s="694">
        <v>33</v>
      </c>
      <c r="D135" s="716" t="s">
        <v>85</v>
      </c>
      <c r="E135" s="1160" t="s">
        <v>400</v>
      </c>
      <c r="F135" s="710">
        <v>1500</v>
      </c>
      <c r="G135" s="710">
        <v>0</v>
      </c>
      <c r="H135" s="1174">
        <v>0</v>
      </c>
      <c r="I135" s="778"/>
      <c r="J135" s="687"/>
      <c r="K135" s="687"/>
      <c r="L135" s="779"/>
      <c r="M135" s="752"/>
    </row>
    <row r="136" spans="1:13" ht="15">
      <c r="A136" s="1195">
        <v>129</v>
      </c>
      <c r="B136" s="1200"/>
      <c r="C136" s="684"/>
      <c r="D136" s="688" t="s">
        <v>1168</v>
      </c>
      <c r="E136" s="1168"/>
      <c r="F136" s="1176"/>
      <c r="G136" s="721"/>
      <c r="H136" s="1174"/>
      <c r="I136" s="778">
        <v>1500</v>
      </c>
      <c r="J136" s="687"/>
      <c r="K136" s="687"/>
      <c r="L136" s="780">
        <f t="shared" si="1"/>
        <v>1500</v>
      </c>
      <c r="M136" s="757"/>
    </row>
    <row r="137" spans="1:13" s="1109" customFormat="1" ht="15">
      <c r="A137" s="1195">
        <v>130</v>
      </c>
      <c r="B137" s="1201"/>
      <c r="C137" s="711"/>
      <c r="D137" s="690" t="s">
        <v>1170</v>
      </c>
      <c r="E137" s="1160"/>
      <c r="F137" s="727"/>
      <c r="G137" s="727"/>
      <c r="H137" s="1100"/>
      <c r="I137" s="781"/>
      <c r="J137" s="713"/>
      <c r="K137" s="713"/>
      <c r="L137" s="782">
        <f t="shared" si="1"/>
        <v>0</v>
      </c>
      <c r="M137" s="760"/>
    </row>
    <row r="138" spans="1:13" s="1110" customFormat="1" ht="15">
      <c r="A138" s="1195">
        <v>131</v>
      </c>
      <c r="B138" s="739"/>
      <c r="C138" s="714"/>
      <c r="D138" s="691" t="s">
        <v>1169</v>
      </c>
      <c r="E138" s="738"/>
      <c r="F138" s="728"/>
      <c r="G138" s="728"/>
      <c r="H138" s="1101"/>
      <c r="I138" s="786">
        <f>SUM(I136:I137)</f>
        <v>1500</v>
      </c>
      <c r="J138" s="728">
        <f>SUM(J136:J137)</f>
        <v>0</v>
      </c>
      <c r="K138" s="728">
        <f>SUM(K136:K137)</f>
        <v>0</v>
      </c>
      <c r="L138" s="779">
        <f t="shared" si="1"/>
        <v>1500</v>
      </c>
      <c r="M138" s="759">
        <f>SUM(M136:M137)</f>
        <v>0</v>
      </c>
    </row>
    <row r="139" spans="1:13" s="1108" customFormat="1" ht="19.5" customHeight="1">
      <c r="A139" s="1212">
        <v>132</v>
      </c>
      <c r="B139" s="683"/>
      <c r="C139" s="694">
        <v>34</v>
      </c>
      <c r="D139" s="716" t="s">
        <v>87</v>
      </c>
      <c r="E139" s="1160" t="s">
        <v>400</v>
      </c>
      <c r="F139" s="710">
        <v>1000</v>
      </c>
      <c r="G139" s="710">
        <v>0</v>
      </c>
      <c r="H139" s="1174">
        <v>0</v>
      </c>
      <c r="I139" s="778"/>
      <c r="J139" s="687"/>
      <c r="K139" s="687"/>
      <c r="L139" s="779"/>
      <c r="M139" s="752"/>
    </row>
    <row r="140" spans="1:13" ht="15">
      <c r="A140" s="1195">
        <v>133</v>
      </c>
      <c r="B140" s="1200"/>
      <c r="C140" s="684"/>
      <c r="D140" s="688" t="s">
        <v>1168</v>
      </c>
      <c r="E140" s="1168"/>
      <c r="F140" s="1176"/>
      <c r="G140" s="721"/>
      <c r="H140" s="1174"/>
      <c r="I140" s="778">
        <v>1000</v>
      </c>
      <c r="J140" s="687"/>
      <c r="K140" s="687"/>
      <c r="L140" s="780">
        <f t="shared" si="1"/>
        <v>1000</v>
      </c>
      <c r="M140" s="757"/>
    </row>
    <row r="141" spans="1:13" s="1109" customFormat="1" ht="15">
      <c r="A141" s="1195">
        <v>134</v>
      </c>
      <c r="B141" s="1201"/>
      <c r="C141" s="711"/>
      <c r="D141" s="690" t="s">
        <v>1170</v>
      </c>
      <c r="E141" s="1160"/>
      <c r="F141" s="727"/>
      <c r="G141" s="727"/>
      <c r="H141" s="1100"/>
      <c r="I141" s="781"/>
      <c r="J141" s="713"/>
      <c r="K141" s="713"/>
      <c r="L141" s="782">
        <f t="shared" si="1"/>
        <v>0</v>
      </c>
      <c r="M141" s="760"/>
    </row>
    <row r="142" spans="1:13" s="1110" customFormat="1" ht="15">
      <c r="A142" s="1195">
        <v>135</v>
      </c>
      <c r="B142" s="739"/>
      <c r="C142" s="714"/>
      <c r="D142" s="691" t="s">
        <v>1169</v>
      </c>
      <c r="E142" s="738"/>
      <c r="F142" s="728"/>
      <c r="G142" s="728"/>
      <c r="H142" s="1101"/>
      <c r="I142" s="786">
        <f>SUM(I140:I141)</f>
        <v>1000</v>
      </c>
      <c r="J142" s="728">
        <f>SUM(J140:J141)</f>
        <v>0</v>
      </c>
      <c r="K142" s="728">
        <f>SUM(K140:K141)</f>
        <v>0</v>
      </c>
      <c r="L142" s="779">
        <f t="shared" si="1"/>
        <v>1000</v>
      </c>
      <c r="M142" s="759">
        <f>SUM(M140:M141)</f>
        <v>0</v>
      </c>
    </row>
    <row r="143" spans="1:13" s="1108" customFormat="1" ht="19.5" customHeight="1">
      <c r="A143" s="1212">
        <v>136</v>
      </c>
      <c r="B143" s="683"/>
      <c r="C143" s="694">
        <v>35</v>
      </c>
      <c r="D143" s="716" t="s">
        <v>88</v>
      </c>
      <c r="E143" s="1160" t="s">
        <v>400</v>
      </c>
      <c r="F143" s="710">
        <v>0</v>
      </c>
      <c r="G143" s="710">
        <v>0</v>
      </c>
      <c r="H143" s="1174">
        <v>0</v>
      </c>
      <c r="I143" s="778"/>
      <c r="J143" s="687"/>
      <c r="K143" s="687"/>
      <c r="L143" s="779"/>
      <c r="M143" s="752"/>
    </row>
    <row r="144" spans="1:13" ht="15">
      <c r="A144" s="1195">
        <v>137</v>
      </c>
      <c r="B144" s="1200"/>
      <c r="C144" s="684"/>
      <c r="D144" s="688" t="s">
        <v>1168</v>
      </c>
      <c r="E144" s="1168"/>
      <c r="F144" s="1176"/>
      <c r="G144" s="1176"/>
      <c r="H144" s="1177"/>
      <c r="I144" s="778">
        <v>18050</v>
      </c>
      <c r="J144" s="687"/>
      <c r="K144" s="687"/>
      <c r="L144" s="780">
        <f t="shared" si="1"/>
        <v>18050</v>
      </c>
      <c r="M144" s="757"/>
    </row>
    <row r="145" spans="1:13" s="1109" customFormat="1" ht="15">
      <c r="A145" s="1195">
        <v>138</v>
      </c>
      <c r="B145" s="1201"/>
      <c r="C145" s="711"/>
      <c r="D145" s="690" t="s">
        <v>605</v>
      </c>
      <c r="E145" s="1160"/>
      <c r="F145" s="727"/>
      <c r="G145" s="727"/>
      <c r="H145" s="1100"/>
      <c r="I145" s="781">
        <v>-18050</v>
      </c>
      <c r="J145" s="713"/>
      <c r="K145" s="713"/>
      <c r="L145" s="782">
        <f t="shared" si="1"/>
        <v>-18050</v>
      </c>
      <c r="M145" s="760"/>
    </row>
    <row r="146" spans="1:13" s="1110" customFormat="1" ht="15">
      <c r="A146" s="1195">
        <v>139</v>
      </c>
      <c r="B146" s="739"/>
      <c r="C146" s="714"/>
      <c r="D146" s="691" t="s">
        <v>1169</v>
      </c>
      <c r="E146" s="738"/>
      <c r="F146" s="728"/>
      <c r="G146" s="728"/>
      <c r="H146" s="1101"/>
      <c r="I146" s="786">
        <f>SUM(I144:I145)</f>
        <v>0</v>
      </c>
      <c r="J146" s="728">
        <f>SUM(J144:J145)</f>
        <v>0</v>
      </c>
      <c r="K146" s="728">
        <f>SUM(K144:K145)</f>
        <v>0</v>
      </c>
      <c r="L146" s="779">
        <f t="shared" si="1"/>
        <v>0</v>
      </c>
      <c r="M146" s="759">
        <f>SUM(M144:M145)</f>
        <v>0</v>
      </c>
    </row>
    <row r="147" spans="1:13" s="1108" customFormat="1" ht="30">
      <c r="A147" s="1195">
        <v>140</v>
      </c>
      <c r="B147" s="1200"/>
      <c r="C147" s="684">
        <v>36</v>
      </c>
      <c r="D147" s="716" t="s">
        <v>651</v>
      </c>
      <c r="E147" s="1160" t="s">
        <v>400</v>
      </c>
      <c r="F147" s="721">
        <f>SUM(H147,K149)</f>
        <v>18300</v>
      </c>
      <c r="G147" s="716">
        <v>0</v>
      </c>
      <c r="H147" s="1171">
        <v>250</v>
      </c>
      <c r="I147" s="778"/>
      <c r="J147" s="687"/>
      <c r="K147" s="687"/>
      <c r="L147" s="779"/>
      <c r="M147" s="752"/>
    </row>
    <row r="148" spans="1:13" s="1109" customFormat="1" ht="15">
      <c r="A148" s="1195">
        <v>141</v>
      </c>
      <c r="B148" s="1201"/>
      <c r="C148" s="711"/>
      <c r="D148" s="690" t="s">
        <v>606</v>
      </c>
      <c r="E148" s="1185"/>
      <c r="F148" s="1186"/>
      <c r="G148" s="727"/>
      <c r="H148" s="1100"/>
      <c r="I148" s="781"/>
      <c r="J148" s="713"/>
      <c r="K148" s="713">
        <v>18050</v>
      </c>
      <c r="L148" s="782">
        <f>SUM(I148:K148)</f>
        <v>18050</v>
      </c>
      <c r="M148" s="760"/>
    </row>
    <row r="149" spans="1:13" s="1110" customFormat="1" ht="15">
      <c r="A149" s="1195">
        <v>142</v>
      </c>
      <c r="B149" s="739"/>
      <c r="C149" s="714"/>
      <c r="D149" s="691" t="s">
        <v>1169</v>
      </c>
      <c r="E149" s="738"/>
      <c r="F149" s="728"/>
      <c r="G149" s="728"/>
      <c r="H149" s="1101"/>
      <c r="I149" s="786"/>
      <c r="J149" s="728"/>
      <c r="K149" s="728">
        <f>SUM(K148)</f>
        <v>18050</v>
      </c>
      <c r="L149" s="779">
        <f>SUM(I149:K149)</f>
        <v>18050</v>
      </c>
      <c r="M149" s="759"/>
    </row>
    <row r="150" spans="1:13" s="1108" customFormat="1" ht="30">
      <c r="A150" s="1195">
        <v>143</v>
      </c>
      <c r="B150" s="1200"/>
      <c r="C150" s="684">
        <v>37</v>
      </c>
      <c r="D150" s="716" t="s">
        <v>652</v>
      </c>
      <c r="E150" s="1160" t="s">
        <v>400</v>
      </c>
      <c r="F150" s="721">
        <v>1100000</v>
      </c>
      <c r="G150" s="721">
        <v>0</v>
      </c>
      <c r="H150" s="1174">
        <v>140000</v>
      </c>
      <c r="I150" s="778"/>
      <c r="J150" s="687"/>
      <c r="K150" s="687"/>
      <c r="L150" s="779"/>
      <c r="M150" s="752"/>
    </row>
    <row r="151" spans="1:13" ht="15">
      <c r="A151" s="1195">
        <v>144</v>
      </c>
      <c r="B151" s="1200"/>
      <c r="C151" s="684"/>
      <c r="D151" s="688" t="s">
        <v>1168</v>
      </c>
      <c r="E151" s="1168"/>
      <c r="F151" s="1176"/>
      <c r="G151" s="1176"/>
      <c r="H151" s="1177"/>
      <c r="I151" s="778">
        <v>0</v>
      </c>
      <c r="J151" s="687"/>
      <c r="K151" s="687">
        <v>120000</v>
      </c>
      <c r="L151" s="780">
        <f t="shared" si="1"/>
        <v>120000</v>
      </c>
      <c r="M151" s="757">
        <v>840000</v>
      </c>
    </row>
    <row r="152" spans="1:13" s="1109" customFormat="1" ht="15">
      <c r="A152" s="1195">
        <v>145</v>
      </c>
      <c r="B152" s="1201"/>
      <c r="C152" s="711"/>
      <c r="D152" s="690" t="s">
        <v>1170</v>
      </c>
      <c r="E152" s="1160"/>
      <c r="F152" s="727"/>
      <c r="G152" s="727"/>
      <c r="H152" s="1100"/>
      <c r="I152" s="781"/>
      <c r="J152" s="713"/>
      <c r="K152" s="713"/>
      <c r="L152" s="782">
        <f t="shared" si="1"/>
        <v>0</v>
      </c>
      <c r="M152" s="760"/>
    </row>
    <row r="153" spans="1:13" s="1110" customFormat="1" ht="15">
      <c r="A153" s="1195">
        <v>146</v>
      </c>
      <c r="B153" s="739"/>
      <c r="C153" s="714"/>
      <c r="D153" s="691" t="s">
        <v>1169</v>
      </c>
      <c r="E153" s="738"/>
      <c r="F153" s="728"/>
      <c r="G153" s="728"/>
      <c r="H153" s="1101"/>
      <c r="I153" s="786">
        <f>SUM(I151:I152)</f>
        <v>0</v>
      </c>
      <c r="J153" s="728">
        <f>SUM(J151:J152)</f>
        <v>0</v>
      </c>
      <c r="K153" s="728">
        <f>SUM(K151:K152)</f>
        <v>120000</v>
      </c>
      <c r="L153" s="779">
        <f t="shared" si="1"/>
        <v>120000</v>
      </c>
      <c r="M153" s="759">
        <f>SUM(M151:M152)</f>
        <v>840000</v>
      </c>
    </row>
    <row r="154" spans="1:13" s="1108" customFormat="1" ht="19.5" customHeight="1">
      <c r="A154" s="1212">
        <v>147</v>
      </c>
      <c r="B154" s="683"/>
      <c r="C154" s="694">
        <v>38</v>
      </c>
      <c r="D154" s="716" t="s">
        <v>658</v>
      </c>
      <c r="E154" s="1160" t="s">
        <v>400</v>
      </c>
      <c r="F154" s="710">
        <v>7486950</v>
      </c>
      <c r="G154" s="710">
        <v>1132500</v>
      </c>
      <c r="H154" s="1174">
        <v>579830</v>
      </c>
      <c r="I154" s="778"/>
      <c r="J154" s="687"/>
      <c r="K154" s="687"/>
      <c r="L154" s="779"/>
      <c r="M154" s="752"/>
    </row>
    <row r="155" spans="1:13" ht="15">
      <c r="A155" s="1195">
        <v>148</v>
      </c>
      <c r="B155" s="1200"/>
      <c r="C155" s="684"/>
      <c r="D155" s="688" t="s">
        <v>1168</v>
      </c>
      <c r="E155" s="1168"/>
      <c r="F155" s="1176"/>
      <c r="G155" s="1176"/>
      <c r="H155" s="1177"/>
      <c r="I155" s="778">
        <v>0</v>
      </c>
      <c r="J155" s="687"/>
      <c r="K155" s="687">
        <v>580000</v>
      </c>
      <c r="L155" s="780">
        <f t="shared" si="1"/>
        <v>580000</v>
      </c>
      <c r="M155" s="757">
        <v>5194450</v>
      </c>
    </row>
    <row r="156" spans="1:13" s="1109" customFormat="1" ht="15">
      <c r="A156" s="1195">
        <v>149</v>
      </c>
      <c r="B156" s="1201"/>
      <c r="C156" s="711"/>
      <c r="D156" s="690" t="s">
        <v>588</v>
      </c>
      <c r="E156" s="1160"/>
      <c r="F156" s="727"/>
      <c r="G156" s="727"/>
      <c r="H156" s="1100"/>
      <c r="I156" s="781"/>
      <c r="J156" s="713"/>
      <c r="K156" s="713">
        <v>500000</v>
      </c>
      <c r="L156" s="782">
        <f t="shared" si="1"/>
        <v>500000</v>
      </c>
      <c r="M156" s="760"/>
    </row>
    <row r="157" spans="1:13" s="1110" customFormat="1" ht="15">
      <c r="A157" s="1195">
        <v>150</v>
      </c>
      <c r="B157" s="739"/>
      <c r="C157" s="714"/>
      <c r="D157" s="691" t="s">
        <v>1169</v>
      </c>
      <c r="E157" s="738"/>
      <c r="F157" s="728"/>
      <c r="G157" s="728"/>
      <c r="H157" s="1101"/>
      <c r="I157" s="786">
        <f>SUM(I155:I156)</f>
        <v>0</v>
      </c>
      <c r="J157" s="728">
        <f>SUM(J155:J156)</f>
        <v>0</v>
      </c>
      <c r="K157" s="728">
        <f>SUM(K155:K156)</f>
        <v>1080000</v>
      </c>
      <c r="L157" s="779">
        <f t="shared" si="1"/>
        <v>1080000</v>
      </c>
      <c r="M157" s="759">
        <f>SUM(M155:M156)</f>
        <v>5194450</v>
      </c>
    </row>
    <row r="158" spans="1:13" s="1108" customFormat="1" ht="30">
      <c r="A158" s="1195">
        <v>151</v>
      </c>
      <c r="B158" s="1200"/>
      <c r="C158" s="684">
        <v>39</v>
      </c>
      <c r="D158" s="716" t="s">
        <v>649</v>
      </c>
      <c r="E158" s="1160" t="s">
        <v>400</v>
      </c>
      <c r="F158" s="721">
        <v>0</v>
      </c>
      <c r="G158" s="716">
        <v>0</v>
      </c>
      <c r="H158" s="1171">
        <v>0</v>
      </c>
      <c r="I158" s="778"/>
      <c r="J158" s="687"/>
      <c r="K158" s="687"/>
      <c r="L158" s="779"/>
      <c r="M158" s="752"/>
    </row>
    <row r="159" spans="1:13" ht="15">
      <c r="A159" s="1195">
        <v>152</v>
      </c>
      <c r="B159" s="1200"/>
      <c r="C159" s="684"/>
      <c r="D159" s="688" t="s">
        <v>1168</v>
      </c>
      <c r="E159" s="1168"/>
      <c r="F159" s="1176"/>
      <c r="G159" s="721"/>
      <c r="H159" s="1174"/>
      <c r="I159" s="778"/>
      <c r="J159" s="687"/>
      <c r="K159" s="687">
        <v>718800</v>
      </c>
      <c r="L159" s="780">
        <f t="shared" si="1"/>
        <v>718800</v>
      </c>
      <c r="M159" s="757"/>
    </row>
    <row r="160" spans="1:13" s="1109" customFormat="1" ht="15">
      <c r="A160" s="1195">
        <v>153</v>
      </c>
      <c r="B160" s="1201"/>
      <c r="C160" s="711"/>
      <c r="D160" s="690" t="s">
        <v>605</v>
      </c>
      <c r="E160" s="1160"/>
      <c r="F160" s="727"/>
      <c r="G160" s="727"/>
      <c r="H160" s="1100"/>
      <c r="I160" s="781"/>
      <c r="J160" s="713"/>
      <c r="K160" s="713">
        <v>-718800</v>
      </c>
      <c r="L160" s="782">
        <f t="shared" si="1"/>
        <v>-718800</v>
      </c>
      <c r="M160" s="760"/>
    </row>
    <row r="161" spans="1:13" s="1110" customFormat="1" ht="15">
      <c r="A161" s="1195">
        <v>154</v>
      </c>
      <c r="B161" s="739"/>
      <c r="C161" s="714"/>
      <c r="D161" s="691" t="s">
        <v>1169</v>
      </c>
      <c r="E161" s="738"/>
      <c r="F161" s="728"/>
      <c r="G161" s="728"/>
      <c r="H161" s="1101"/>
      <c r="I161" s="786">
        <f>SUM(I159:I160)</f>
        <v>0</v>
      </c>
      <c r="J161" s="728">
        <f>SUM(J159:J160)</f>
        <v>0</v>
      </c>
      <c r="K161" s="728">
        <f>SUM(K159:K160)</f>
        <v>0</v>
      </c>
      <c r="L161" s="779">
        <f t="shared" si="1"/>
        <v>0</v>
      </c>
      <c r="M161" s="759">
        <f>SUM(M159:M160)</f>
        <v>0</v>
      </c>
    </row>
    <row r="162" spans="1:13" s="1108" customFormat="1" ht="30">
      <c r="A162" s="1195">
        <v>155</v>
      </c>
      <c r="B162" s="1200"/>
      <c r="C162" s="684">
        <v>40</v>
      </c>
      <c r="D162" s="716" t="s">
        <v>181</v>
      </c>
      <c r="E162" s="1160" t="s">
        <v>400</v>
      </c>
      <c r="F162" s="721">
        <v>718800</v>
      </c>
      <c r="G162" s="716">
        <v>0</v>
      </c>
      <c r="H162" s="1171">
        <v>0</v>
      </c>
      <c r="I162" s="778"/>
      <c r="J162" s="687"/>
      <c r="K162" s="687"/>
      <c r="L162" s="779"/>
      <c r="M162" s="752"/>
    </row>
    <row r="163" spans="1:13" s="1109" customFormat="1" ht="15">
      <c r="A163" s="1195">
        <v>156</v>
      </c>
      <c r="B163" s="1201"/>
      <c r="C163" s="711"/>
      <c r="D163" s="690" t="s">
        <v>605</v>
      </c>
      <c r="E163" s="1185"/>
      <c r="F163" s="1186"/>
      <c r="G163" s="727"/>
      <c r="H163" s="1100"/>
      <c r="I163" s="781"/>
      <c r="J163" s="713"/>
      <c r="K163" s="713">
        <v>718800</v>
      </c>
      <c r="L163" s="782">
        <f>SUM(I163:K163)</f>
        <v>718800</v>
      </c>
      <c r="M163" s="760"/>
    </row>
    <row r="164" spans="1:13" s="1110" customFormat="1" ht="15">
      <c r="A164" s="1195">
        <v>157</v>
      </c>
      <c r="B164" s="739"/>
      <c r="C164" s="714"/>
      <c r="D164" s="691" t="s">
        <v>1169</v>
      </c>
      <c r="E164" s="738"/>
      <c r="F164" s="728"/>
      <c r="G164" s="728"/>
      <c r="H164" s="1101"/>
      <c r="I164" s="786">
        <f>SUM(I163)</f>
        <v>0</v>
      </c>
      <c r="J164" s="728">
        <f>SUM(J163)</f>
        <v>0</v>
      </c>
      <c r="K164" s="728">
        <f>SUM(K163)</f>
        <v>718800</v>
      </c>
      <c r="L164" s="779">
        <f>SUM(I164:K164)</f>
        <v>718800</v>
      </c>
      <c r="M164" s="759">
        <f>SUM(M163)</f>
        <v>0</v>
      </c>
    </row>
    <row r="165" spans="1:13" s="1108" customFormat="1" ht="21.75" customHeight="1">
      <c r="A165" s="1212">
        <v>158</v>
      </c>
      <c r="B165" s="683"/>
      <c r="C165" s="694">
        <v>41</v>
      </c>
      <c r="D165" s="716" t="s">
        <v>89</v>
      </c>
      <c r="E165" s="1160" t="s">
        <v>400</v>
      </c>
      <c r="F165" s="710">
        <v>3000</v>
      </c>
      <c r="G165" s="710">
        <v>0</v>
      </c>
      <c r="H165" s="1174">
        <v>0</v>
      </c>
      <c r="I165" s="778"/>
      <c r="J165" s="687"/>
      <c r="K165" s="687"/>
      <c r="L165" s="779"/>
      <c r="M165" s="752"/>
    </row>
    <row r="166" spans="1:13" ht="15">
      <c r="A166" s="1195">
        <v>159</v>
      </c>
      <c r="B166" s="1200"/>
      <c r="C166" s="684"/>
      <c r="D166" s="688" t="s">
        <v>1168</v>
      </c>
      <c r="E166" s="1168"/>
      <c r="F166" s="1176"/>
      <c r="G166" s="721"/>
      <c r="H166" s="1174"/>
      <c r="I166" s="778">
        <v>3000</v>
      </c>
      <c r="J166" s="687"/>
      <c r="K166" s="687"/>
      <c r="L166" s="780">
        <f t="shared" si="1"/>
        <v>3000</v>
      </c>
      <c r="M166" s="757"/>
    </row>
    <row r="167" spans="1:13" s="1109" customFormat="1" ht="15">
      <c r="A167" s="1195">
        <v>160</v>
      </c>
      <c r="B167" s="1201"/>
      <c r="C167" s="711"/>
      <c r="D167" s="690" t="s">
        <v>1170</v>
      </c>
      <c r="E167" s="1160"/>
      <c r="F167" s="727"/>
      <c r="G167" s="727"/>
      <c r="H167" s="1100"/>
      <c r="I167" s="781"/>
      <c r="J167" s="713"/>
      <c r="K167" s="713"/>
      <c r="L167" s="782">
        <f>SUM(I167:K167)</f>
        <v>0</v>
      </c>
      <c r="M167" s="760"/>
    </row>
    <row r="168" spans="1:13" s="1110" customFormat="1" ht="15">
      <c r="A168" s="1195">
        <v>161</v>
      </c>
      <c r="B168" s="739"/>
      <c r="C168" s="714"/>
      <c r="D168" s="691" t="s">
        <v>1169</v>
      </c>
      <c r="E168" s="738"/>
      <c r="F168" s="728"/>
      <c r="G168" s="728"/>
      <c r="H168" s="1101"/>
      <c r="I168" s="786">
        <f>SUM(I166:I167)</f>
        <v>3000</v>
      </c>
      <c r="J168" s="728">
        <f>SUM(J166:J167)</f>
        <v>0</v>
      </c>
      <c r="K168" s="728">
        <f>SUM(K166:K167)</f>
        <v>0</v>
      </c>
      <c r="L168" s="779">
        <f>SUM(I168:K168)</f>
        <v>3000</v>
      </c>
      <c r="M168" s="759">
        <f>SUM(M166:M167)</f>
        <v>0</v>
      </c>
    </row>
    <row r="169" spans="1:13" s="1108" customFormat="1" ht="21.75" customHeight="1">
      <c r="A169" s="1212">
        <v>162</v>
      </c>
      <c r="B169" s="683"/>
      <c r="C169" s="694">
        <v>42</v>
      </c>
      <c r="D169" s="716" t="s">
        <v>91</v>
      </c>
      <c r="E169" s="1160" t="s">
        <v>400</v>
      </c>
      <c r="F169" s="710">
        <v>3000</v>
      </c>
      <c r="G169" s="710">
        <v>0</v>
      </c>
      <c r="H169" s="1174">
        <v>0</v>
      </c>
      <c r="I169" s="778"/>
      <c r="J169" s="687"/>
      <c r="K169" s="687"/>
      <c r="L169" s="779"/>
      <c r="M169" s="752"/>
    </row>
    <row r="170" spans="1:13" ht="15">
      <c r="A170" s="1195">
        <v>163</v>
      </c>
      <c r="B170" s="1200"/>
      <c r="C170" s="684"/>
      <c r="D170" s="688" t="s">
        <v>1168</v>
      </c>
      <c r="E170" s="1168"/>
      <c r="F170" s="1176"/>
      <c r="G170" s="721"/>
      <c r="H170" s="1174"/>
      <c r="I170" s="778">
        <v>3000</v>
      </c>
      <c r="J170" s="687"/>
      <c r="K170" s="687"/>
      <c r="L170" s="780">
        <f>SUM(I170:K170)</f>
        <v>3000</v>
      </c>
      <c r="M170" s="757"/>
    </row>
    <row r="171" spans="1:13" s="1109" customFormat="1" ht="15">
      <c r="A171" s="1195">
        <v>164</v>
      </c>
      <c r="B171" s="1201"/>
      <c r="C171" s="711"/>
      <c r="D171" s="690" t="s">
        <v>1170</v>
      </c>
      <c r="E171" s="1160"/>
      <c r="F171" s="727"/>
      <c r="G171" s="727"/>
      <c r="H171" s="1100"/>
      <c r="I171" s="781"/>
      <c r="J171" s="713"/>
      <c r="K171" s="713"/>
      <c r="L171" s="782">
        <f>SUM(I171:K171)</f>
        <v>0</v>
      </c>
      <c r="M171" s="760"/>
    </row>
    <row r="172" spans="1:13" s="1110" customFormat="1" ht="15">
      <c r="A172" s="1195">
        <v>165</v>
      </c>
      <c r="B172" s="739"/>
      <c r="C172" s="714"/>
      <c r="D172" s="691" t="s">
        <v>1169</v>
      </c>
      <c r="E172" s="738"/>
      <c r="F172" s="728"/>
      <c r="G172" s="728"/>
      <c r="H172" s="1101"/>
      <c r="I172" s="786">
        <f>SUM(I170:I171)</f>
        <v>3000</v>
      </c>
      <c r="J172" s="728">
        <f>SUM(J170:J171)</f>
        <v>0</v>
      </c>
      <c r="K172" s="728">
        <f>SUM(K170:K171)</f>
        <v>0</v>
      </c>
      <c r="L172" s="779">
        <f>SUM(I172:K172)</f>
        <v>3000</v>
      </c>
      <c r="M172" s="759">
        <f>SUM(M170:M171)</f>
        <v>0</v>
      </c>
    </row>
    <row r="173" spans="1:13" s="1108" customFormat="1" ht="21.75" customHeight="1">
      <c r="A173" s="1212">
        <v>166</v>
      </c>
      <c r="B173" s="683"/>
      <c r="C173" s="694">
        <v>43</v>
      </c>
      <c r="D173" s="716" t="s">
        <v>92</v>
      </c>
      <c r="E173" s="1160" t="s">
        <v>400</v>
      </c>
      <c r="F173" s="710">
        <v>2000</v>
      </c>
      <c r="G173" s="710">
        <v>0</v>
      </c>
      <c r="H173" s="1174">
        <v>0</v>
      </c>
      <c r="I173" s="778"/>
      <c r="J173" s="687"/>
      <c r="K173" s="687"/>
      <c r="L173" s="779"/>
      <c r="M173" s="752"/>
    </row>
    <row r="174" spans="1:13" ht="15">
      <c r="A174" s="1195">
        <v>167</v>
      </c>
      <c r="B174" s="1200"/>
      <c r="C174" s="684"/>
      <c r="D174" s="688" t="s">
        <v>1168</v>
      </c>
      <c r="E174" s="1168"/>
      <c r="F174" s="1176"/>
      <c r="G174" s="721"/>
      <c r="H174" s="1174"/>
      <c r="I174" s="778">
        <v>2000</v>
      </c>
      <c r="J174" s="687"/>
      <c r="K174" s="687"/>
      <c r="L174" s="780">
        <f>SUM(I174:K174)</f>
        <v>2000</v>
      </c>
      <c r="M174" s="757"/>
    </row>
    <row r="175" spans="1:13" s="1109" customFormat="1" ht="15">
      <c r="A175" s="1195">
        <v>168</v>
      </c>
      <c r="B175" s="1201"/>
      <c r="C175" s="711"/>
      <c r="D175" s="690" t="s">
        <v>1170</v>
      </c>
      <c r="E175" s="1160"/>
      <c r="F175" s="727"/>
      <c r="G175" s="727"/>
      <c r="H175" s="1100"/>
      <c r="I175" s="781"/>
      <c r="J175" s="713"/>
      <c r="K175" s="713"/>
      <c r="L175" s="782">
        <f>SUM(I175:K175)</f>
        <v>0</v>
      </c>
      <c r="M175" s="760"/>
    </row>
    <row r="176" spans="1:13" s="1110" customFormat="1" ht="15">
      <c r="A176" s="1195">
        <v>169</v>
      </c>
      <c r="B176" s="739"/>
      <c r="C176" s="714"/>
      <c r="D176" s="691" t="s">
        <v>1169</v>
      </c>
      <c r="E176" s="738"/>
      <c r="F176" s="728"/>
      <c r="G176" s="728"/>
      <c r="H176" s="1101"/>
      <c r="I176" s="786">
        <f>SUM(I174:I175)</f>
        <v>2000</v>
      </c>
      <c r="J176" s="728">
        <f>SUM(J174:J175)</f>
        <v>0</v>
      </c>
      <c r="K176" s="728">
        <f>SUM(K174:K175)</f>
        <v>0</v>
      </c>
      <c r="L176" s="779">
        <f>SUM(I176:K176)</f>
        <v>2000</v>
      </c>
      <c r="M176" s="759">
        <f>SUM(M174:M175)</f>
        <v>0</v>
      </c>
    </row>
    <row r="177" spans="1:13" s="1108" customFormat="1" ht="21.75" customHeight="1">
      <c r="A177" s="1212">
        <v>170</v>
      </c>
      <c r="B177" s="683"/>
      <c r="C177" s="694">
        <v>44</v>
      </c>
      <c r="D177" s="716" t="s">
        <v>93</v>
      </c>
      <c r="E177" s="1160" t="s">
        <v>400</v>
      </c>
      <c r="F177" s="710">
        <v>9000</v>
      </c>
      <c r="G177" s="710">
        <v>0</v>
      </c>
      <c r="H177" s="1174">
        <v>0</v>
      </c>
      <c r="I177" s="778"/>
      <c r="J177" s="687"/>
      <c r="K177" s="687"/>
      <c r="L177" s="779"/>
      <c r="M177" s="752"/>
    </row>
    <row r="178" spans="1:13" ht="15">
      <c r="A178" s="1195">
        <v>171</v>
      </c>
      <c r="B178" s="1200"/>
      <c r="C178" s="684"/>
      <c r="D178" s="688" t="s">
        <v>1168</v>
      </c>
      <c r="E178" s="1168"/>
      <c r="F178" s="1176"/>
      <c r="G178" s="1176"/>
      <c r="H178" s="1177"/>
      <c r="I178" s="778">
        <v>9000</v>
      </c>
      <c r="J178" s="687"/>
      <c r="K178" s="687"/>
      <c r="L178" s="780">
        <f>SUM(I178:K178)</f>
        <v>9000</v>
      </c>
      <c r="M178" s="757"/>
    </row>
    <row r="179" spans="1:13" s="1109" customFormat="1" ht="15">
      <c r="A179" s="1195">
        <v>172</v>
      </c>
      <c r="B179" s="1201"/>
      <c r="C179" s="711"/>
      <c r="D179" s="690" t="s">
        <v>1170</v>
      </c>
      <c r="E179" s="1160"/>
      <c r="F179" s="727"/>
      <c r="G179" s="727"/>
      <c r="H179" s="1100"/>
      <c r="I179" s="781"/>
      <c r="J179" s="713"/>
      <c r="K179" s="713"/>
      <c r="L179" s="782">
        <f>SUM(I179:K179)</f>
        <v>0</v>
      </c>
      <c r="M179" s="760"/>
    </row>
    <row r="180" spans="1:13" s="1110" customFormat="1" ht="15">
      <c r="A180" s="1195">
        <v>173</v>
      </c>
      <c r="B180" s="739"/>
      <c r="C180" s="714"/>
      <c r="D180" s="691" t="s">
        <v>1169</v>
      </c>
      <c r="E180" s="738"/>
      <c r="F180" s="728"/>
      <c r="G180" s="728"/>
      <c r="H180" s="1101"/>
      <c r="I180" s="786">
        <f>SUM(I178:I179)</f>
        <v>9000</v>
      </c>
      <c r="J180" s="728">
        <f>SUM(J178:J179)</f>
        <v>0</v>
      </c>
      <c r="K180" s="728">
        <f>SUM(K178:K179)</f>
        <v>0</v>
      </c>
      <c r="L180" s="779">
        <f>SUM(I180:K180)</f>
        <v>9000</v>
      </c>
      <c r="M180" s="759">
        <f>SUM(M178:M179)</f>
        <v>0</v>
      </c>
    </row>
    <row r="181" spans="1:13" s="1108" customFormat="1" ht="21.75" customHeight="1">
      <c r="A181" s="1212">
        <v>174</v>
      </c>
      <c r="B181" s="683"/>
      <c r="C181" s="694">
        <v>45</v>
      </c>
      <c r="D181" s="716" t="s">
        <v>707</v>
      </c>
      <c r="E181" s="1160" t="s">
        <v>400</v>
      </c>
      <c r="F181" s="710">
        <f>SUM(I183,H181)+G181</f>
        <v>1639</v>
      </c>
      <c r="G181" s="710">
        <v>639</v>
      </c>
      <c r="H181" s="1174">
        <v>3</v>
      </c>
      <c r="I181" s="778"/>
      <c r="J181" s="687"/>
      <c r="K181" s="687"/>
      <c r="L181" s="779"/>
      <c r="M181" s="752"/>
    </row>
    <row r="182" spans="1:13" s="1109" customFormat="1" ht="15">
      <c r="A182" s="1195">
        <v>175</v>
      </c>
      <c r="B182" s="1201"/>
      <c r="C182" s="711"/>
      <c r="D182" s="690" t="s">
        <v>588</v>
      </c>
      <c r="E182" s="1185"/>
      <c r="F182" s="727"/>
      <c r="G182" s="727"/>
      <c r="H182" s="1100"/>
      <c r="I182" s="781">
        <v>997</v>
      </c>
      <c r="J182" s="713"/>
      <c r="K182" s="713"/>
      <c r="L182" s="782">
        <f>SUM(I182:K182)</f>
        <v>997</v>
      </c>
      <c r="M182" s="760"/>
    </row>
    <row r="183" spans="1:13" s="1110" customFormat="1" ht="15">
      <c r="A183" s="1195">
        <v>176</v>
      </c>
      <c r="B183" s="739"/>
      <c r="C183" s="714"/>
      <c r="D183" s="691" t="s">
        <v>1169</v>
      </c>
      <c r="E183" s="738"/>
      <c r="F183" s="728"/>
      <c r="G183" s="728"/>
      <c r="H183" s="1101"/>
      <c r="I183" s="786">
        <f>SUM(I182)</f>
        <v>997</v>
      </c>
      <c r="J183" s="728">
        <f>SUM(J182)</f>
        <v>0</v>
      </c>
      <c r="K183" s="728">
        <f>SUM(K182)</f>
        <v>0</v>
      </c>
      <c r="L183" s="1101">
        <f>SUM(L182)</f>
        <v>997</v>
      </c>
      <c r="M183" s="759"/>
    </row>
    <row r="184" spans="1:13" s="1108" customFormat="1" ht="21.75" customHeight="1">
      <c r="A184" s="1212">
        <v>177</v>
      </c>
      <c r="B184" s="683"/>
      <c r="C184" s="694">
        <v>46</v>
      </c>
      <c r="D184" s="716" t="s">
        <v>700</v>
      </c>
      <c r="E184" s="1160" t="s">
        <v>400</v>
      </c>
      <c r="F184" s="710">
        <v>5000</v>
      </c>
      <c r="G184" s="710">
        <v>0</v>
      </c>
      <c r="H184" s="1174">
        <v>0</v>
      </c>
      <c r="I184" s="778"/>
      <c r="J184" s="687"/>
      <c r="K184" s="687"/>
      <c r="L184" s="779"/>
      <c r="M184" s="752"/>
    </row>
    <row r="185" spans="1:13" s="1109" customFormat="1" ht="15">
      <c r="A185" s="1195">
        <v>178</v>
      </c>
      <c r="B185" s="1201"/>
      <c r="C185" s="711"/>
      <c r="D185" s="690" t="s">
        <v>588</v>
      </c>
      <c r="E185" s="738"/>
      <c r="F185" s="727"/>
      <c r="G185" s="727"/>
      <c r="H185" s="1100"/>
      <c r="I185" s="781">
        <v>5000</v>
      </c>
      <c r="J185" s="713"/>
      <c r="K185" s="713"/>
      <c r="L185" s="782">
        <f>SUM(I185:K185)</f>
        <v>5000</v>
      </c>
      <c r="M185" s="760"/>
    </row>
    <row r="186" spans="1:13" s="1110" customFormat="1" ht="15">
      <c r="A186" s="1195">
        <v>179</v>
      </c>
      <c r="B186" s="739"/>
      <c r="C186" s="714"/>
      <c r="D186" s="691" t="s">
        <v>1169</v>
      </c>
      <c r="E186" s="716"/>
      <c r="F186" s="728"/>
      <c r="G186" s="728"/>
      <c r="H186" s="1101"/>
      <c r="I186" s="786">
        <f>SUM(I185)</f>
        <v>5000</v>
      </c>
      <c r="J186" s="728">
        <f>SUM(J185)</f>
        <v>0</v>
      </c>
      <c r="K186" s="728">
        <f>SUM(K185)</f>
        <v>0</v>
      </c>
      <c r="L186" s="1101">
        <f>SUM(L185)</f>
        <v>5000</v>
      </c>
      <c r="M186" s="759"/>
    </row>
    <row r="187" spans="1:13" s="1108" customFormat="1" ht="21.75" customHeight="1">
      <c r="A187" s="1212">
        <v>180</v>
      </c>
      <c r="B187" s="683"/>
      <c r="C187" s="694">
        <v>47</v>
      </c>
      <c r="D187" s="716" t="s">
        <v>708</v>
      </c>
      <c r="E187" s="1160" t="s">
        <v>400</v>
      </c>
      <c r="F187" s="710">
        <v>240</v>
      </c>
      <c r="G187" s="710">
        <v>0</v>
      </c>
      <c r="H187" s="1174">
        <v>0</v>
      </c>
      <c r="I187" s="778"/>
      <c r="J187" s="687"/>
      <c r="K187" s="687"/>
      <c r="L187" s="779"/>
      <c r="M187" s="752"/>
    </row>
    <row r="188" spans="1:13" s="1109" customFormat="1" ht="15">
      <c r="A188" s="1195">
        <v>181</v>
      </c>
      <c r="B188" s="1201"/>
      <c r="C188" s="711"/>
      <c r="D188" s="690" t="s">
        <v>588</v>
      </c>
      <c r="E188" s="738"/>
      <c r="F188" s="727"/>
      <c r="G188" s="727"/>
      <c r="H188" s="1100"/>
      <c r="I188" s="781">
        <v>240</v>
      </c>
      <c r="J188" s="713"/>
      <c r="K188" s="713"/>
      <c r="L188" s="782">
        <f>SUM(I188:K188)</f>
        <v>240</v>
      </c>
      <c r="M188" s="760"/>
    </row>
    <row r="189" spans="1:13" s="1110" customFormat="1" ht="15">
      <c r="A189" s="1195">
        <v>182</v>
      </c>
      <c r="B189" s="739"/>
      <c r="C189" s="714"/>
      <c r="D189" s="691" t="s">
        <v>1169</v>
      </c>
      <c r="E189" s="716"/>
      <c r="F189" s="728"/>
      <c r="G189" s="728"/>
      <c r="H189" s="1101"/>
      <c r="I189" s="786">
        <f>SUM(I188)</f>
        <v>240</v>
      </c>
      <c r="J189" s="728">
        <f>SUM(J188)</f>
        <v>0</v>
      </c>
      <c r="K189" s="728">
        <f>SUM(K188)</f>
        <v>0</v>
      </c>
      <c r="L189" s="1101">
        <f>SUM(L188)</f>
        <v>240</v>
      </c>
      <c r="M189" s="759"/>
    </row>
    <row r="190" spans="1:13" s="1108" customFormat="1" ht="21.75" customHeight="1">
      <c r="A190" s="1212">
        <v>183</v>
      </c>
      <c r="B190" s="683"/>
      <c r="C190" s="694">
        <v>48</v>
      </c>
      <c r="D190" s="716" t="s">
        <v>510</v>
      </c>
      <c r="E190" s="1160" t="s">
        <v>400</v>
      </c>
      <c r="F190" s="710">
        <v>1000</v>
      </c>
      <c r="G190" s="710">
        <v>0</v>
      </c>
      <c r="H190" s="1174">
        <v>0</v>
      </c>
      <c r="I190" s="778"/>
      <c r="J190" s="687"/>
      <c r="K190" s="687"/>
      <c r="L190" s="779"/>
      <c r="M190" s="752"/>
    </row>
    <row r="191" spans="1:13" s="1109" customFormat="1" ht="15">
      <c r="A191" s="1195">
        <v>184</v>
      </c>
      <c r="B191" s="1201"/>
      <c r="C191" s="711"/>
      <c r="D191" s="690" t="s">
        <v>588</v>
      </c>
      <c r="E191" s="738"/>
      <c r="F191" s="727"/>
      <c r="G191" s="727"/>
      <c r="H191" s="1100"/>
      <c r="I191" s="781">
        <v>1000</v>
      </c>
      <c r="J191" s="713"/>
      <c r="K191" s="713"/>
      <c r="L191" s="782">
        <f>SUM(I191:K191)</f>
        <v>1000</v>
      </c>
      <c r="M191" s="760"/>
    </row>
    <row r="192" spans="1:13" s="1110" customFormat="1" ht="15">
      <c r="A192" s="1195">
        <v>185</v>
      </c>
      <c r="B192" s="739"/>
      <c r="C192" s="714"/>
      <c r="D192" s="691" t="s">
        <v>1169</v>
      </c>
      <c r="E192" s="716"/>
      <c r="F192" s="728"/>
      <c r="G192" s="728"/>
      <c r="H192" s="1101"/>
      <c r="I192" s="786">
        <f>SUM(I191)</f>
        <v>1000</v>
      </c>
      <c r="J192" s="728">
        <f>SUM(J191)</f>
        <v>0</v>
      </c>
      <c r="K192" s="728">
        <f>SUM(K191)</f>
        <v>0</v>
      </c>
      <c r="L192" s="1101">
        <f>SUM(L191)</f>
        <v>1000</v>
      </c>
      <c r="M192" s="759"/>
    </row>
    <row r="193" spans="1:13" s="1108" customFormat="1" ht="30">
      <c r="A193" s="1195">
        <v>186</v>
      </c>
      <c r="B193" s="1200"/>
      <c r="C193" s="684">
        <v>49</v>
      </c>
      <c r="D193" s="716" t="s">
        <v>709</v>
      </c>
      <c r="E193" s="1160" t="s">
        <v>400</v>
      </c>
      <c r="F193" s="716">
        <f>SUM(H193,I195)</f>
        <v>1800</v>
      </c>
      <c r="G193" s="716">
        <v>0</v>
      </c>
      <c r="H193" s="1171">
        <v>80</v>
      </c>
      <c r="I193" s="778"/>
      <c r="J193" s="687"/>
      <c r="K193" s="687"/>
      <c r="L193" s="779"/>
      <c r="M193" s="752"/>
    </row>
    <row r="194" spans="1:13" s="1109" customFormat="1" ht="15">
      <c r="A194" s="1195">
        <v>187</v>
      </c>
      <c r="B194" s="1201"/>
      <c r="C194" s="711"/>
      <c r="D194" s="690" t="s">
        <v>588</v>
      </c>
      <c r="E194" s="738"/>
      <c r="F194" s="727"/>
      <c r="G194" s="727"/>
      <c r="H194" s="1100"/>
      <c r="I194" s="781">
        <v>1720</v>
      </c>
      <c r="J194" s="713"/>
      <c r="K194" s="713"/>
      <c r="L194" s="782">
        <f>SUM(I194:K194)</f>
        <v>1720</v>
      </c>
      <c r="M194" s="760"/>
    </row>
    <row r="195" spans="1:13" s="1110" customFormat="1" ht="15">
      <c r="A195" s="1195">
        <v>188</v>
      </c>
      <c r="B195" s="739"/>
      <c r="C195" s="714"/>
      <c r="D195" s="691" t="s">
        <v>1169</v>
      </c>
      <c r="E195" s="716"/>
      <c r="F195" s="728"/>
      <c r="G195" s="728"/>
      <c r="H195" s="1101"/>
      <c r="I195" s="786">
        <f>SUM(I194)</f>
        <v>1720</v>
      </c>
      <c r="J195" s="728">
        <f>SUM(J194)</f>
        <v>0</v>
      </c>
      <c r="K195" s="728">
        <f>SUM(K194)</f>
        <v>0</v>
      </c>
      <c r="L195" s="1101">
        <f>SUM(L194)</f>
        <v>1720</v>
      </c>
      <c r="M195" s="759"/>
    </row>
    <row r="196" spans="1:13" s="1108" customFormat="1" ht="19.5" customHeight="1">
      <c r="A196" s="1212">
        <v>189</v>
      </c>
      <c r="B196" s="683"/>
      <c r="C196" s="694">
        <v>50</v>
      </c>
      <c r="D196" s="716" t="s">
        <v>704</v>
      </c>
      <c r="E196" s="1160" t="s">
        <v>400</v>
      </c>
      <c r="F196" s="710">
        <v>6000</v>
      </c>
      <c r="G196" s="710">
        <v>0</v>
      </c>
      <c r="H196" s="1174">
        <v>0</v>
      </c>
      <c r="I196" s="778"/>
      <c r="J196" s="687"/>
      <c r="K196" s="687"/>
      <c r="L196" s="779"/>
      <c r="M196" s="752"/>
    </row>
    <row r="197" spans="1:13" s="1109" customFormat="1" ht="15">
      <c r="A197" s="1195">
        <v>190</v>
      </c>
      <c r="B197" s="1201"/>
      <c r="C197" s="711"/>
      <c r="D197" s="690" t="s">
        <v>588</v>
      </c>
      <c r="E197" s="1185"/>
      <c r="F197" s="727"/>
      <c r="G197" s="727"/>
      <c r="H197" s="1100"/>
      <c r="I197" s="781">
        <v>6000</v>
      </c>
      <c r="J197" s="713"/>
      <c r="K197" s="713"/>
      <c r="L197" s="782">
        <f>SUM(I197:K197)</f>
        <v>6000</v>
      </c>
      <c r="M197" s="760"/>
    </row>
    <row r="198" spans="1:13" s="1110" customFormat="1" ht="15">
      <c r="A198" s="1195">
        <v>191</v>
      </c>
      <c r="B198" s="739"/>
      <c r="C198" s="714"/>
      <c r="D198" s="691" t="s">
        <v>1169</v>
      </c>
      <c r="E198" s="738"/>
      <c r="F198" s="728"/>
      <c r="G198" s="728"/>
      <c r="H198" s="1101"/>
      <c r="I198" s="786">
        <f>SUM(I197)</f>
        <v>6000</v>
      </c>
      <c r="J198" s="728">
        <f>SUM(J197)</f>
        <v>0</v>
      </c>
      <c r="K198" s="728">
        <f>SUM(K197)</f>
        <v>0</v>
      </c>
      <c r="L198" s="1101">
        <f>SUM(L197)</f>
        <v>6000</v>
      </c>
      <c r="M198" s="759"/>
    </row>
    <row r="199" spans="1:13" s="1108" customFormat="1" ht="30">
      <c r="A199" s="1195">
        <v>192</v>
      </c>
      <c r="B199" s="1200"/>
      <c r="C199" s="684">
        <v>51</v>
      </c>
      <c r="D199" s="716" t="s">
        <v>705</v>
      </c>
      <c r="E199" s="1160" t="s">
        <v>400</v>
      </c>
      <c r="F199" s="716">
        <v>6000</v>
      </c>
      <c r="G199" s="716">
        <v>0</v>
      </c>
      <c r="H199" s="1171">
        <v>0</v>
      </c>
      <c r="I199" s="778"/>
      <c r="J199" s="687"/>
      <c r="K199" s="687"/>
      <c r="L199" s="779"/>
      <c r="M199" s="752"/>
    </row>
    <row r="200" spans="1:13" s="1109" customFormat="1" ht="15">
      <c r="A200" s="1195">
        <v>193</v>
      </c>
      <c r="B200" s="1201"/>
      <c r="C200" s="711"/>
      <c r="D200" s="690" t="s">
        <v>588</v>
      </c>
      <c r="E200" s="1186"/>
      <c r="F200" s="727"/>
      <c r="G200" s="727"/>
      <c r="H200" s="1100"/>
      <c r="I200" s="781">
        <v>6000</v>
      </c>
      <c r="J200" s="713"/>
      <c r="K200" s="713"/>
      <c r="L200" s="782">
        <f>SUM(I200:K200)</f>
        <v>6000</v>
      </c>
      <c r="M200" s="760"/>
    </row>
    <row r="201" spans="1:13" s="1110" customFormat="1" ht="15">
      <c r="A201" s="1195">
        <v>194</v>
      </c>
      <c r="B201" s="739"/>
      <c r="C201" s="714"/>
      <c r="D201" s="691" t="s">
        <v>1169</v>
      </c>
      <c r="E201" s="738"/>
      <c r="F201" s="728"/>
      <c r="G201" s="728"/>
      <c r="H201" s="1101"/>
      <c r="I201" s="786">
        <f>SUM(I200)</f>
        <v>6000</v>
      </c>
      <c r="J201" s="728">
        <f>SUM(J200)</f>
        <v>0</v>
      </c>
      <c r="K201" s="728">
        <f>SUM(K200)</f>
        <v>0</v>
      </c>
      <c r="L201" s="1101">
        <f>SUM(L200)</f>
        <v>6000</v>
      </c>
      <c r="M201" s="759"/>
    </row>
    <row r="202" spans="1:13" s="1108" customFormat="1" ht="19.5" customHeight="1">
      <c r="A202" s="1212">
        <v>195</v>
      </c>
      <c r="B202" s="683"/>
      <c r="C202" s="694">
        <v>52</v>
      </c>
      <c r="D202" s="716" t="s">
        <v>94</v>
      </c>
      <c r="E202" s="1160" t="s">
        <v>400</v>
      </c>
      <c r="F202" s="710">
        <v>10000</v>
      </c>
      <c r="G202" s="710">
        <v>0</v>
      </c>
      <c r="H202" s="1174">
        <v>0</v>
      </c>
      <c r="I202" s="778"/>
      <c r="J202" s="687"/>
      <c r="K202" s="687"/>
      <c r="L202" s="779"/>
      <c r="M202" s="752"/>
    </row>
    <row r="203" spans="1:13" ht="15">
      <c r="A203" s="1195">
        <v>196</v>
      </c>
      <c r="B203" s="1200"/>
      <c r="C203" s="684"/>
      <c r="D203" s="688" t="s">
        <v>1168</v>
      </c>
      <c r="E203" s="1168"/>
      <c r="F203" s="1176"/>
      <c r="G203" s="721"/>
      <c r="H203" s="1174"/>
      <c r="I203" s="778">
        <v>10000</v>
      </c>
      <c r="J203" s="687"/>
      <c r="K203" s="687"/>
      <c r="L203" s="780">
        <f>SUM(I203:K203)</f>
        <v>10000</v>
      </c>
      <c r="M203" s="757"/>
    </row>
    <row r="204" spans="1:13" s="1109" customFormat="1" ht="15">
      <c r="A204" s="1195">
        <v>197</v>
      </c>
      <c r="B204" s="1201"/>
      <c r="C204" s="711"/>
      <c r="D204" s="690" t="s">
        <v>1170</v>
      </c>
      <c r="E204" s="1160"/>
      <c r="F204" s="727"/>
      <c r="G204" s="727"/>
      <c r="H204" s="1100"/>
      <c r="I204" s="781"/>
      <c r="J204" s="713"/>
      <c r="K204" s="713"/>
      <c r="L204" s="782">
        <f>SUM(I204:K204)</f>
        <v>0</v>
      </c>
      <c r="M204" s="760"/>
    </row>
    <row r="205" spans="1:13" s="1110" customFormat="1" ht="15">
      <c r="A205" s="1195">
        <v>198</v>
      </c>
      <c r="B205" s="739"/>
      <c r="C205" s="714"/>
      <c r="D205" s="691" t="s">
        <v>1169</v>
      </c>
      <c r="E205" s="738"/>
      <c r="F205" s="728"/>
      <c r="G205" s="728"/>
      <c r="H205" s="1101"/>
      <c r="I205" s="786">
        <f>SUM(I203:I204)</f>
        <v>10000</v>
      </c>
      <c r="J205" s="728">
        <f>SUM(J203:J204)</f>
        <v>0</v>
      </c>
      <c r="K205" s="728">
        <f>SUM(K203:K204)</f>
        <v>0</v>
      </c>
      <c r="L205" s="779">
        <f>SUM(I205:K205)</f>
        <v>10000</v>
      </c>
      <c r="M205" s="759">
        <f>SUM(M203:M204)</f>
        <v>0</v>
      </c>
    </row>
    <row r="206" spans="1:13" s="1108" customFormat="1" ht="19.5" customHeight="1">
      <c r="A206" s="1212">
        <v>199</v>
      </c>
      <c r="B206" s="683"/>
      <c r="C206" s="694">
        <v>53</v>
      </c>
      <c r="D206" s="716" t="s">
        <v>71</v>
      </c>
      <c r="E206" s="1160" t="s">
        <v>400</v>
      </c>
      <c r="F206" s="710">
        <v>2300</v>
      </c>
      <c r="G206" s="710">
        <v>0</v>
      </c>
      <c r="H206" s="1174">
        <v>0</v>
      </c>
      <c r="I206" s="778"/>
      <c r="J206" s="687"/>
      <c r="K206" s="687"/>
      <c r="L206" s="779"/>
      <c r="M206" s="752"/>
    </row>
    <row r="207" spans="1:13" ht="15">
      <c r="A207" s="1195">
        <v>200</v>
      </c>
      <c r="B207" s="1200"/>
      <c r="C207" s="684"/>
      <c r="D207" s="688" t="s">
        <v>1168</v>
      </c>
      <c r="E207" s="1168"/>
      <c r="F207" s="1176"/>
      <c r="G207" s="721"/>
      <c r="H207" s="1174"/>
      <c r="I207" s="778">
        <v>2300</v>
      </c>
      <c r="J207" s="687"/>
      <c r="K207" s="687"/>
      <c r="L207" s="780">
        <f>SUM(I207:K207)</f>
        <v>2300</v>
      </c>
      <c r="M207" s="757"/>
    </row>
    <row r="208" spans="1:13" s="1109" customFormat="1" ht="15">
      <c r="A208" s="1195">
        <v>201</v>
      </c>
      <c r="B208" s="1201"/>
      <c r="C208" s="711"/>
      <c r="D208" s="690" t="s">
        <v>1170</v>
      </c>
      <c r="E208" s="1160"/>
      <c r="F208" s="727"/>
      <c r="G208" s="727"/>
      <c r="H208" s="1100"/>
      <c r="I208" s="781"/>
      <c r="J208" s="713"/>
      <c r="K208" s="713"/>
      <c r="L208" s="782">
        <f>SUM(I208:K208)</f>
        <v>0</v>
      </c>
      <c r="M208" s="760"/>
    </row>
    <row r="209" spans="1:13" s="1111" customFormat="1" ht="15">
      <c r="A209" s="1195">
        <v>202</v>
      </c>
      <c r="B209" s="739"/>
      <c r="C209" s="714"/>
      <c r="D209" s="691" t="s">
        <v>1169</v>
      </c>
      <c r="E209" s="738"/>
      <c r="F209" s="740"/>
      <c r="G209" s="740"/>
      <c r="H209" s="967"/>
      <c r="I209" s="789">
        <f>SUM(I207:I208)</f>
        <v>2300</v>
      </c>
      <c r="J209" s="740">
        <f>SUM(J207:J208)</f>
        <v>0</v>
      </c>
      <c r="K209" s="740">
        <f>SUM(K207:K208)</f>
        <v>0</v>
      </c>
      <c r="L209" s="961">
        <f>SUM(I209:K209)</f>
        <v>2300</v>
      </c>
      <c r="M209" s="763">
        <f>SUM(M207:M208)</f>
        <v>0</v>
      </c>
    </row>
    <row r="210" spans="1:13" s="1108" customFormat="1" ht="45">
      <c r="A210" s="1195">
        <v>203</v>
      </c>
      <c r="B210" s="1200"/>
      <c r="C210" s="684">
        <v>54</v>
      </c>
      <c r="D210" s="716" t="s">
        <v>283</v>
      </c>
      <c r="E210" s="1160" t="s">
        <v>400</v>
      </c>
      <c r="F210" s="1187">
        <v>250</v>
      </c>
      <c r="G210" s="1187">
        <v>0</v>
      </c>
      <c r="H210" s="1188">
        <v>0</v>
      </c>
      <c r="I210" s="778"/>
      <c r="J210" s="687"/>
      <c r="K210" s="687"/>
      <c r="L210" s="779"/>
      <c r="M210" s="752"/>
    </row>
    <row r="211" spans="1:13" s="1109" customFormat="1" ht="15">
      <c r="A211" s="1195">
        <v>204</v>
      </c>
      <c r="B211" s="1201"/>
      <c r="C211" s="711"/>
      <c r="D211" s="690" t="s">
        <v>1170</v>
      </c>
      <c r="E211" s="1186"/>
      <c r="F211" s="727"/>
      <c r="G211" s="727"/>
      <c r="H211" s="1100"/>
      <c r="I211" s="781">
        <v>250</v>
      </c>
      <c r="J211" s="713"/>
      <c r="K211" s="713"/>
      <c r="L211" s="782">
        <f>SUM(I211:K211)</f>
        <v>250</v>
      </c>
      <c r="M211" s="760"/>
    </row>
    <row r="212" spans="1:13" s="1111" customFormat="1" ht="15">
      <c r="A212" s="1195">
        <v>205</v>
      </c>
      <c r="B212" s="739"/>
      <c r="C212" s="714"/>
      <c r="D212" s="691" t="s">
        <v>1169</v>
      </c>
      <c r="E212" s="738"/>
      <c r="F212" s="740"/>
      <c r="G212" s="740"/>
      <c r="H212" s="967"/>
      <c r="I212" s="789">
        <f>SUM(I211)</f>
        <v>250</v>
      </c>
      <c r="J212" s="740">
        <f>SUM(J211)</f>
        <v>0</v>
      </c>
      <c r="K212" s="740">
        <f>SUM(K211)</f>
        <v>0</v>
      </c>
      <c r="L212" s="961">
        <f>SUM(I212:K212)</f>
        <v>250</v>
      </c>
      <c r="M212" s="1097">
        <f>SUM(M211)</f>
        <v>0</v>
      </c>
    </row>
    <row r="213" spans="1:13" s="1108" customFormat="1" ht="19.5" customHeight="1">
      <c r="A213" s="1212">
        <v>206</v>
      </c>
      <c r="B213" s="683"/>
      <c r="C213" s="694">
        <v>55</v>
      </c>
      <c r="D213" s="716" t="s">
        <v>284</v>
      </c>
      <c r="E213" s="1160" t="s">
        <v>400</v>
      </c>
      <c r="F213" s="710">
        <v>1000</v>
      </c>
      <c r="G213" s="710">
        <v>0</v>
      </c>
      <c r="H213" s="1174">
        <v>0</v>
      </c>
      <c r="I213" s="778"/>
      <c r="J213" s="687"/>
      <c r="K213" s="687"/>
      <c r="L213" s="779"/>
      <c r="M213" s="752"/>
    </row>
    <row r="214" spans="1:13" s="1109" customFormat="1" ht="15">
      <c r="A214" s="1195">
        <v>207</v>
      </c>
      <c r="B214" s="1201"/>
      <c r="C214" s="711"/>
      <c r="D214" s="690" t="s">
        <v>1170</v>
      </c>
      <c r="E214" s="738"/>
      <c r="F214" s="727"/>
      <c r="G214" s="727"/>
      <c r="H214" s="1100"/>
      <c r="I214" s="781">
        <v>1000</v>
      </c>
      <c r="J214" s="713"/>
      <c r="K214" s="713"/>
      <c r="L214" s="782">
        <f>SUM(I214:K214)</f>
        <v>1000</v>
      </c>
      <c r="M214" s="760"/>
    </row>
    <row r="215" spans="1:13" s="1111" customFormat="1" ht="15">
      <c r="A215" s="1195">
        <v>208</v>
      </c>
      <c r="B215" s="739"/>
      <c r="C215" s="714"/>
      <c r="D215" s="691" t="s">
        <v>1169</v>
      </c>
      <c r="E215" s="716"/>
      <c r="F215" s="740"/>
      <c r="G215" s="740"/>
      <c r="H215" s="967"/>
      <c r="I215" s="789">
        <f>SUM(I214)</f>
        <v>1000</v>
      </c>
      <c r="J215" s="740">
        <f>SUM(J214)</f>
        <v>0</v>
      </c>
      <c r="K215" s="740">
        <f>SUM(K214)</f>
        <v>0</v>
      </c>
      <c r="L215" s="967">
        <f>SUM(I215:K215)</f>
        <v>1000</v>
      </c>
      <c r="M215" s="763">
        <f>SUM(M214)</f>
        <v>0</v>
      </c>
    </row>
    <row r="216" spans="1:13" s="1108" customFormat="1" ht="30">
      <c r="A216" s="1195">
        <v>209</v>
      </c>
      <c r="B216" s="1200"/>
      <c r="C216" s="684">
        <v>56</v>
      </c>
      <c r="D216" s="716" t="s">
        <v>285</v>
      </c>
      <c r="E216" s="1160" t="s">
        <v>400</v>
      </c>
      <c r="F216" s="716">
        <v>970</v>
      </c>
      <c r="G216" s="716">
        <v>0</v>
      </c>
      <c r="H216" s="1171">
        <v>0</v>
      </c>
      <c r="I216" s="778"/>
      <c r="J216" s="687"/>
      <c r="K216" s="687"/>
      <c r="L216" s="779"/>
      <c r="M216" s="752"/>
    </row>
    <row r="217" spans="1:13" s="1109" customFormat="1" ht="15">
      <c r="A217" s="1195">
        <v>210</v>
      </c>
      <c r="B217" s="1201"/>
      <c r="C217" s="711"/>
      <c r="D217" s="690" t="s">
        <v>1170</v>
      </c>
      <c r="E217" s="738"/>
      <c r="F217" s="727"/>
      <c r="G217" s="727"/>
      <c r="H217" s="1100"/>
      <c r="I217" s="781">
        <v>970</v>
      </c>
      <c r="J217" s="713"/>
      <c r="K217" s="713"/>
      <c r="L217" s="782">
        <f>SUM(I217:K217)</f>
        <v>970</v>
      </c>
      <c r="M217" s="760"/>
    </row>
    <row r="218" spans="1:13" s="1111" customFormat="1" ht="15">
      <c r="A218" s="1195">
        <v>211</v>
      </c>
      <c r="B218" s="739"/>
      <c r="C218" s="714"/>
      <c r="D218" s="691" t="s">
        <v>1169</v>
      </c>
      <c r="E218" s="716"/>
      <c r="F218" s="740"/>
      <c r="G218" s="740"/>
      <c r="H218" s="967"/>
      <c r="I218" s="789">
        <f>SUM(I217)</f>
        <v>970</v>
      </c>
      <c r="J218" s="740">
        <f>SUM(J217)</f>
        <v>0</v>
      </c>
      <c r="K218" s="740">
        <f>SUM(K217)</f>
        <v>0</v>
      </c>
      <c r="L218" s="967">
        <f>SUM(I218:K218)</f>
        <v>970</v>
      </c>
      <c r="M218" s="763">
        <f>SUM(M217)</f>
        <v>0</v>
      </c>
    </row>
    <row r="219" spans="1:13" s="1108" customFormat="1" ht="30">
      <c r="A219" s="1195">
        <v>212</v>
      </c>
      <c r="B219" s="1200"/>
      <c r="C219" s="684">
        <v>57</v>
      </c>
      <c r="D219" s="716" t="s">
        <v>650</v>
      </c>
      <c r="E219" s="1160" t="s">
        <v>400</v>
      </c>
      <c r="F219" s="716">
        <v>13900</v>
      </c>
      <c r="G219" s="716">
        <v>0</v>
      </c>
      <c r="H219" s="1171">
        <v>0</v>
      </c>
      <c r="I219" s="778"/>
      <c r="J219" s="687"/>
      <c r="K219" s="687"/>
      <c r="L219" s="779"/>
      <c r="M219" s="752"/>
    </row>
    <row r="220" spans="1:13" s="1109" customFormat="1" ht="15">
      <c r="A220" s="1195">
        <v>213</v>
      </c>
      <c r="B220" s="1201"/>
      <c r="C220" s="711"/>
      <c r="D220" s="690" t="s">
        <v>1170</v>
      </c>
      <c r="E220" s="738"/>
      <c r="F220" s="727"/>
      <c r="G220" s="727"/>
      <c r="H220" s="1100"/>
      <c r="I220" s="781">
        <v>13900</v>
      </c>
      <c r="J220" s="713"/>
      <c r="K220" s="713"/>
      <c r="L220" s="782">
        <f>SUM(I220:K220)</f>
        <v>13900</v>
      </c>
      <c r="M220" s="760"/>
    </row>
    <row r="221" spans="1:13" s="1111" customFormat="1" ht="15">
      <c r="A221" s="1195">
        <v>214</v>
      </c>
      <c r="B221" s="739"/>
      <c r="C221" s="714"/>
      <c r="D221" s="691" t="s">
        <v>1169</v>
      </c>
      <c r="E221" s="716"/>
      <c r="F221" s="740"/>
      <c r="G221" s="740"/>
      <c r="H221" s="967"/>
      <c r="I221" s="789">
        <f>SUM(I220)</f>
        <v>13900</v>
      </c>
      <c r="J221" s="740">
        <f>SUM(J220)</f>
        <v>0</v>
      </c>
      <c r="K221" s="740">
        <f>SUM(K220)</f>
        <v>0</v>
      </c>
      <c r="L221" s="967">
        <f>SUM(I221:K221)</f>
        <v>13900</v>
      </c>
      <c r="M221" s="1098">
        <f>SUM(M220)</f>
        <v>0</v>
      </c>
    </row>
    <row r="222" spans="1:13" s="1108" customFormat="1" ht="19.5" customHeight="1">
      <c r="A222" s="1212">
        <v>215</v>
      </c>
      <c r="B222" s="683"/>
      <c r="C222" s="694">
        <v>58</v>
      </c>
      <c r="D222" s="716" t="s">
        <v>286</v>
      </c>
      <c r="E222" s="1160" t="s">
        <v>400</v>
      </c>
      <c r="F222" s="710">
        <v>741</v>
      </c>
      <c r="G222" s="710">
        <v>0</v>
      </c>
      <c r="H222" s="1174">
        <v>0</v>
      </c>
      <c r="I222" s="778"/>
      <c r="J222" s="687"/>
      <c r="K222" s="687"/>
      <c r="L222" s="779"/>
      <c r="M222" s="752"/>
    </row>
    <row r="223" spans="1:13" s="1109" customFormat="1" ht="15">
      <c r="A223" s="1195">
        <v>216</v>
      </c>
      <c r="B223" s="1201"/>
      <c r="C223" s="711"/>
      <c r="D223" s="690" t="s">
        <v>1170</v>
      </c>
      <c r="E223" s="738"/>
      <c r="F223" s="727"/>
      <c r="G223" s="727"/>
      <c r="H223" s="1100"/>
      <c r="I223" s="781">
        <v>741</v>
      </c>
      <c r="J223" s="713"/>
      <c r="K223" s="713"/>
      <c r="L223" s="782">
        <f>SUM(I223:K223)</f>
        <v>741</v>
      </c>
      <c r="M223" s="760"/>
    </row>
    <row r="224" spans="1:13" s="1111" customFormat="1" ht="15">
      <c r="A224" s="1195">
        <v>217</v>
      </c>
      <c r="B224" s="739"/>
      <c r="C224" s="714"/>
      <c r="D224" s="691" t="s">
        <v>1169</v>
      </c>
      <c r="E224" s="716"/>
      <c r="F224" s="740"/>
      <c r="G224" s="740"/>
      <c r="H224" s="967"/>
      <c r="I224" s="789">
        <f>SUM(I223)</f>
        <v>741</v>
      </c>
      <c r="J224" s="740">
        <f>SUM(J223)</f>
        <v>0</v>
      </c>
      <c r="K224" s="740">
        <f>SUM(K223)</f>
        <v>0</v>
      </c>
      <c r="L224" s="967">
        <f>SUM(I224:K224)</f>
        <v>741</v>
      </c>
      <c r="M224" s="1098">
        <f>SUM(M223)</f>
        <v>0</v>
      </c>
    </row>
    <row r="225" spans="1:13" s="1108" customFormat="1" ht="19.5" customHeight="1">
      <c r="A225" s="1212">
        <v>218</v>
      </c>
      <c r="B225" s="683"/>
      <c r="C225" s="694">
        <v>59</v>
      </c>
      <c r="D225" s="716" t="s">
        <v>287</v>
      </c>
      <c r="E225" s="1160" t="s">
        <v>400</v>
      </c>
      <c r="F225" s="710">
        <v>600</v>
      </c>
      <c r="G225" s="710">
        <v>0</v>
      </c>
      <c r="H225" s="1174">
        <v>0</v>
      </c>
      <c r="I225" s="778"/>
      <c r="J225" s="687"/>
      <c r="K225" s="687"/>
      <c r="L225" s="779"/>
      <c r="M225" s="752"/>
    </row>
    <row r="226" spans="1:13" s="1109" customFormat="1" ht="15">
      <c r="A226" s="1195">
        <v>219</v>
      </c>
      <c r="B226" s="1201"/>
      <c r="C226" s="711"/>
      <c r="D226" s="690" t="s">
        <v>1170</v>
      </c>
      <c r="E226" s="738"/>
      <c r="F226" s="727"/>
      <c r="G226" s="727"/>
      <c r="H226" s="1100"/>
      <c r="I226" s="781">
        <v>600</v>
      </c>
      <c r="J226" s="713"/>
      <c r="K226" s="713"/>
      <c r="L226" s="782">
        <f>SUM(I226:K226)</f>
        <v>600</v>
      </c>
      <c r="M226" s="760"/>
    </row>
    <row r="227" spans="1:13" s="1111" customFormat="1" ht="15">
      <c r="A227" s="1195">
        <v>220</v>
      </c>
      <c r="B227" s="739"/>
      <c r="C227" s="714"/>
      <c r="D227" s="691" t="s">
        <v>1169</v>
      </c>
      <c r="E227" s="716"/>
      <c r="F227" s="740"/>
      <c r="G227" s="740"/>
      <c r="H227" s="967"/>
      <c r="I227" s="789">
        <f>SUM(I226)</f>
        <v>600</v>
      </c>
      <c r="J227" s="740">
        <f>SUM(J226)</f>
        <v>0</v>
      </c>
      <c r="K227" s="740">
        <f>SUM(K226)</f>
        <v>0</v>
      </c>
      <c r="L227" s="967">
        <f>SUM(I227:K227)</f>
        <v>600</v>
      </c>
      <c r="M227" s="1098">
        <f>SUM(M226)</f>
        <v>0</v>
      </c>
    </row>
    <row r="228" spans="1:13" s="1108" customFormat="1" ht="30">
      <c r="A228" s="1195">
        <v>221</v>
      </c>
      <c r="B228" s="1200"/>
      <c r="C228" s="684">
        <v>60</v>
      </c>
      <c r="D228" s="716" t="s">
        <v>697</v>
      </c>
      <c r="E228" s="1160" t="s">
        <v>400</v>
      </c>
      <c r="F228" s="716">
        <v>3000</v>
      </c>
      <c r="G228" s="716">
        <v>0</v>
      </c>
      <c r="H228" s="1171">
        <v>0</v>
      </c>
      <c r="I228" s="778"/>
      <c r="J228" s="687"/>
      <c r="K228" s="687"/>
      <c r="L228" s="779"/>
      <c r="M228" s="752"/>
    </row>
    <row r="229" spans="1:13" s="1109" customFormat="1" ht="15">
      <c r="A229" s="1195">
        <v>222</v>
      </c>
      <c r="B229" s="1201"/>
      <c r="C229" s="711"/>
      <c r="D229" s="690" t="s">
        <v>588</v>
      </c>
      <c r="E229" s="1186"/>
      <c r="F229" s="727"/>
      <c r="G229" s="727"/>
      <c r="H229" s="1100"/>
      <c r="I229" s="781">
        <v>3000</v>
      </c>
      <c r="J229" s="713"/>
      <c r="K229" s="713"/>
      <c r="L229" s="782">
        <f>SUM(I229:K229)</f>
        <v>3000</v>
      </c>
      <c r="M229" s="760"/>
    </row>
    <row r="230" spans="1:13" s="1111" customFormat="1" ht="15">
      <c r="A230" s="1195">
        <v>223</v>
      </c>
      <c r="B230" s="739"/>
      <c r="C230" s="714"/>
      <c r="D230" s="691" t="s">
        <v>1169</v>
      </c>
      <c r="E230" s="738"/>
      <c r="F230" s="740"/>
      <c r="G230" s="740"/>
      <c r="H230" s="967"/>
      <c r="I230" s="789">
        <f>SUM(I229)</f>
        <v>3000</v>
      </c>
      <c r="J230" s="740">
        <f>SUM(J229)</f>
        <v>0</v>
      </c>
      <c r="K230" s="740">
        <f>SUM(K229)</f>
        <v>0</v>
      </c>
      <c r="L230" s="967">
        <f>SUM(L229)</f>
        <v>3000</v>
      </c>
      <c r="M230" s="1098"/>
    </row>
    <row r="231" spans="1:13" s="1108" customFormat="1" ht="19.5" customHeight="1">
      <c r="A231" s="1212">
        <v>224</v>
      </c>
      <c r="B231" s="683"/>
      <c r="C231" s="694">
        <v>61</v>
      </c>
      <c r="D231" s="716" t="s">
        <v>16</v>
      </c>
      <c r="E231" s="1160" t="s">
        <v>400</v>
      </c>
      <c r="F231" s="710">
        <v>20390</v>
      </c>
      <c r="G231" s="710">
        <v>9959</v>
      </c>
      <c r="H231" s="1174">
        <v>2431</v>
      </c>
      <c r="I231" s="778"/>
      <c r="J231" s="687"/>
      <c r="K231" s="687"/>
      <c r="L231" s="779"/>
      <c r="M231" s="752"/>
    </row>
    <row r="232" spans="1:13" s="1109" customFormat="1" ht="15">
      <c r="A232" s="1195">
        <v>225</v>
      </c>
      <c r="B232" s="1201"/>
      <c r="C232" s="711"/>
      <c r="D232" s="690" t="s">
        <v>221</v>
      </c>
      <c r="E232" s="738"/>
      <c r="F232" s="727"/>
      <c r="G232" s="727"/>
      <c r="H232" s="1100"/>
      <c r="I232" s="781">
        <v>8000</v>
      </c>
      <c r="J232" s="713"/>
      <c r="K232" s="713"/>
      <c r="L232" s="782">
        <f>SUM(I232:K232)</f>
        <v>8000</v>
      </c>
      <c r="M232" s="760"/>
    </row>
    <row r="233" spans="1:13" s="1110" customFormat="1" ht="15">
      <c r="A233" s="1195">
        <v>226</v>
      </c>
      <c r="B233" s="739"/>
      <c r="C233" s="714"/>
      <c r="D233" s="691" t="s">
        <v>1169</v>
      </c>
      <c r="E233" s="1152"/>
      <c r="F233" s="728"/>
      <c r="G233" s="728"/>
      <c r="H233" s="1101"/>
      <c r="I233" s="786">
        <f>SUM(I232:I232)</f>
        <v>8000</v>
      </c>
      <c r="J233" s="728">
        <f>SUM(J232:J232)</f>
        <v>0</v>
      </c>
      <c r="K233" s="728">
        <f>SUM(K232:K232)</f>
        <v>0</v>
      </c>
      <c r="L233" s="779">
        <f>SUM(I233:K233)</f>
        <v>8000</v>
      </c>
      <c r="M233" s="759">
        <f>SUM(M232:M232)</f>
        <v>0</v>
      </c>
    </row>
    <row r="234" spans="1:13" s="1108" customFormat="1" ht="19.5" customHeight="1">
      <c r="A234" s="1212">
        <v>227</v>
      </c>
      <c r="B234" s="683"/>
      <c r="C234" s="694">
        <v>62</v>
      </c>
      <c r="D234" s="716" t="s">
        <v>57</v>
      </c>
      <c r="E234" s="1160" t="s">
        <v>400</v>
      </c>
      <c r="F234" s="710">
        <v>28500</v>
      </c>
      <c r="G234" s="710">
        <v>0</v>
      </c>
      <c r="H234" s="1174">
        <v>0</v>
      </c>
      <c r="I234" s="778"/>
      <c r="J234" s="687"/>
      <c r="K234" s="687"/>
      <c r="L234" s="779"/>
      <c r="M234" s="752"/>
    </row>
    <row r="235" spans="1:13" s="1109" customFormat="1" ht="15">
      <c r="A235" s="1195">
        <v>228</v>
      </c>
      <c r="B235" s="1201"/>
      <c r="C235" s="711"/>
      <c r="D235" s="690" t="s">
        <v>221</v>
      </c>
      <c r="E235" s="1160"/>
      <c r="F235" s="727"/>
      <c r="G235" s="727"/>
      <c r="H235" s="1100"/>
      <c r="I235" s="781">
        <v>13500</v>
      </c>
      <c r="J235" s="713"/>
      <c r="K235" s="713"/>
      <c r="L235" s="782">
        <f>SUM(I235:K235)</f>
        <v>13500</v>
      </c>
      <c r="M235" s="760"/>
    </row>
    <row r="236" spans="1:13" s="1109" customFormat="1" ht="15">
      <c r="A236" s="1195">
        <v>229</v>
      </c>
      <c r="B236" s="1201"/>
      <c r="C236" s="711"/>
      <c r="D236" s="690" t="s">
        <v>1124</v>
      </c>
      <c r="E236" s="738"/>
      <c r="F236" s="727"/>
      <c r="G236" s="727"/>
      <c r="H236" s="1100"/>
      <c r="I236" s="781">
        <v>15000</v>
      </c>
      <c r="J236" s="713"/>
      <c r="K236" s="713"/>
      <c r="L236" s="782">
        <f>SUM(I236:K236)</f>
        <v>15000</v>
      </c>
      <c r="M236" s="760"/>
    </row>
    <row r="237" spans="1:13" s="1110" customFormat="1" ht="15">
      <c r="A237" s="1195">
        <v>230</v>
      </c>
      <c r="B237" s="739"/>
      <c r="C237" s="714"/>
      <c r="D237" s="691" t="s">
        <v>1169</v>
      </c>
      <c r="E237" s="1152"/>
      <c r="F237" s="728"/>
      <c r="G237" s="728"/>
      <c r="H237" s="1101"/>
      <c r="I237" s="786">
        <f>SUM(I235:I236)</f>
        <v>28500</v>
      </c>
      <c r="J237" s="728">
        <f>SUM(J235:J235)</f>
        <v>0</v>
      </c>
      <c r="K237" s="728">
        <f>SUM(K235:K235)</f>
        <v>0</v>
      </c>
      <c r="L237" s="779">
        <f>SUM(I237:K237)</f>
        <v>28500</v>
      </c>
      <c r="M237" s="759">
        <f>SUM(M235:M235)</f>
        <v>0</v>
      </c>
    </row>
    <row r="238" spans="1:13" s="1108" customFormat="1" ht="19.5" customHeight="1">
      <c r="A238" s="1212">
        <v>231</v>
      </c>
      <c r="B238" s="683"/>
      <c r="C238" s="694">
        <v>63</v>
      </c>
      <c r="D238" s="716" t="s">
        <v>77</v>
      </c>
      <c r="E238" s="1160" t="s">
        <v>400</v>
      </c>
      <c r="F238" s="710">
        <f>SUM(G238,I241)</f>
        <v>20006</v>
      </c>
      <c r="G238" s="710">
        <v>6</v>
      </c>
      <c r="H238" s="1174">
        <v>0</v>
      </c>
      <c r="I238" s="778"/>
      <c r="J238" s="687"/>
      <c r="K238" s="687"/>
      <c r="L238" s="779"/>
      <c r="M238" s="752"/>
    </row>
    <row r="239" spans="1:13" s="1109" customFormat="1" ht="15">
      <c r="A239" s="1195">
        <v>232</v>
      </c>
      <c r="B239" s="1201"/>
      <c r="C239" s="711"/>
      <c r="D239" s="690" t="s">
        <v>221</v>
      </c>
      <c r="E239" s="1186"/>
      <c r="F239" s="727"/>
      <c r="G239" s="727"/>
      <c r="H239" s="1100"/>
      <c r="I239" s="781">
        <v>10000</v>
      </c>
      <c r="J239" s="713"/>
      <c r="K239" s="713"/>
      <c r="L239" s="782">
        <f>SUM(I239:K239)</f>
        <v>10000</v>
      </c>
      <c r="M239" s="760"/>
    </row>
    <row r="240" spans="1:13" s="1109" customFormat="1" ht="15">
      <c r="A240" s="1195">
        <v>233</v>
      </c>
      <c r="B240" s="1201"/>
      <c r="C240" s="711"/>
      <c r="D240" s="690" t="s">
        <v>1124</v>
      </c>
      <c r="E240" s="1160"/>
      <c r="F240" s="727"/>
      <c r="G240" s="727"/>
      <c r="H240" s="1100"/>
      <c r="I240" s="781">
        <v>10000</v>
      </c>
      <c r="J240" s="713"/>
      <c r="K240" s="713"/>
      <c r="L240" s="782">
        <f>SUM(I240:K240)</f>
        <v>10000</v>
      </c>
      <c r="M240" s="760"/>
    </row>
    <row r="241" spans="1:13" s="1110" customFormat="1" ht="15">
      <c r="A241" s="1195">
        <v>234</v>
      </c>
      <c r="B241" s="739"/>
      <c r="C241" s="714"/>
      <c r="D241" s="691" t="s">
        <v>1169</v>
      </c>
      <c r="E241" s="738"/>
      <c r="F241" s="728"/>
      <c r="G241" s="728"/>
      <c r="H241" s="1101"/>
      <c r="I241" s="786">
        <f>SUM(I239:I240)</f>
        <v>20000</v>
      </c>
      <c r="J241" s="728">
        <f>SUM(J239:J239)</f>
        <v>0</v>
      </c>
      <c r="K241" s="728">
        <f>SUM(K239:K239)</f>
        <v>0</v>
      </c>
      <c r="L241" s="779">
        <f>SUM(I241:K241)</f>
        <v>20000</v>
      </c>
      <c r="M241" s="759">
        <f>SUM(M239:M239)</f>
        <v>0</v>
      </c>
    </row>
    <row r="242" spans="1:13" s="1108" customFormat="1" ht="19.5" customHeight="1">
      <c r="A242" s="1212">
        <v>235</v>
      </c>
      <c r="B242" s="683"/>
      <c r="C242" s="694">
        <v>64</v>
      </c>
      <c r="D242" s="716" t="s">
        <v>81</v>
      </c>
      <c r="E242" s="1160" t="s">
        <v>400</v>
      </c>
      <c r="F242" s="710">
        <f>SUM(G242,H242,I244)</f>
        <v>27514</v>
      </c>
      <c r="G242" s="710">
        <v>2150</v>
      </c>
      <c r="H242" s="1174">
        <v>364</v>
      </c>
      <c r="I242" s="778"/>
      <c r="J242" s="687"/>
      <c r="K242" s="687"/>
      <c r="L242" s="779"/>
      <c r="M242" s="752"/>
    </row>
    <row r="243" spans="1:13" s="1109" customFormat="1" ht="15">
      <c r="A243" s="1195">
        <v>236</v>
      </c>
      <c r="B243" s="1201"/>
      <c r="C243" s="711"/>
      <c r="D243" s="690" t="s">
        <v>221</v>
      </c>
      <c r="E243" s="738"/>
      <c r="F243" s="727"/>
      <c r="G243" s="727"/>
      <c r="H243" s="1100"/>
      <c r="I243" s="781">
        <v>25000</v>
      </c>
      <c r="J243" s="713"/>
      <c r="K243" s="713"/>
      <c r="L243" s="782">
        <f>SUM(I243:K243)</f>
        <v>25000</v>
      </c>
      <c r="M243" s="760"/>
    </row>
    <row r="244" spans="1:13" s="1110" customFormat="1" ht="15">
      <c r="A244" s="1195">
        <v>237</v>
      </c>
      <c r="B244" s="739"/>
      <c r="C244" s="714"/>
      <c r="D244" s="691" t="s">
        <v>1169</v>
      </c>
      <c r="E244" s="1152"/>
      <c r="F244" s="728"/>
      <c r="G244" s="728"/>
      <c r="H244" s="1101"/>
      <c r="I244" s="786">
        <f>SUM(I243:I243)</f>
        <v>25000</v>
      </c>
      <c r="J244" s="728">
        <f>SUM(J243:J243)</f>
        <v>0</v>
      </c>
      <c r="K244" s="728">
        <f>SUM(K243:K243)</f>
        <v>0</v>
      </c>
      <c r="L244" s="779">
        <f>SUM(I244:K244)</f>
        <v>25000</v>
      </c>
      <c r="M244" s="759">
        <f>SUM(M243:M243)</f>
        <v>0</v>
      </c>
    </row>
    <row r="245" spans="1:13" s="1108" customFormat="1" ht="19.5" customHeight="1">
      <c r="A245" s="1212">
        <v>238</v>
      </c>
      <c r="B245" s="683"/>
      <c r="C245" s="694">
        <v>65</v>
      </c>
      <c r="D245" s="716" t="s">
        <v>493</v>
      </c>
      <c r="E245" s="1160" t="s">
        <v>400</v>
      </c>
      <c r="F245" s="710">
        <v>13000</v>
      </c>
      <c r="G245" s="710">
        <v>0</v>
      </c>
      <c r="H245" s="1174">
        <v>0</v>
      </c>
      <c r="I245" s="778"/>
      <c r="J245" s="687"/>
      <c r="K245" s="687"/>
      <c r="L245" s="779"/>
      <c r="M245" s="752"/>
    </row>
    <row r="246" spans="1:13" s="1109" customFormat="1" ht="15">
      <c r="A246" s="1195">
        <v>239</v>
      </c>
      <c r="B246" s="1201"/>
      <c r="C246" s="711"/>
      <c r="D246" s="690" t="s">
        <v>221</v>
      </c>
      <c r="E246" s="738"/>
      <c r="F246" s="727"/>
      <c r="G246" s="727"/>
      <c r="H246" s="1100"/>
      <c r="I246" s="781">
        <v>13000</v>
      </c>
      <c r="J246" s="713"/>
      <c r="K246" s="713"/>
      <c r="L246" s="782">
        <f>SUM(I246:K246)</f>
        <v>13000</v>
      </c>
      <c r="M246" s="760"/>
    </row>
    <row r="247" spans="1:13" s="1110" customFormat="1" ht="15">
      <c r="A247" s="1195">
        <v>240</v>
      </c>
      <c r="B247" s="739"/>
      <c r="C247" s="714"/>
      <c r="D247" s="691" t="s">
        <v>1169</v>
      </c>
      <c r="E247" s="1152"/>
      <c r="F247" s="728"/>
      <c r="G247" s="728"/>
      <c r="H247" s="1101"/>
      <c r="I247" s="786">
        <f>SUM(I246:I246)</f>
        <v>13000</v>
      </c>
      <c r="J247" s="728">
        <f>SUM(J246:J246)</f>
        <v>0</v>
      </c>
      <c r="K247" s="728">
        <f>SUM(K246:K246)</f>
        <v>0</v>
      </c>
      <c r="L247" s="779">
        <f>SUM(I247:K247)</f>
        <v>13000</v>
      </c>
      <c r="M247" s="759">
        <f>SUM(M246:M246)</f>
        <v>0</v>
      </c>
    </row>
    <row r="248" spans="1:13" s="1108" customFormat="1" ht="19.5" customHeight="1">
      <c r="A248" s="1212">
        <v>241</v>
      </c>
      <c r="B248" s="683"/>
      <c r="C248" s="694">
        <v>66</v>
      </c>
      <c r="D248" s="716" t="s">
        <v>84</v>
      </c>
      <c r="E248" s="1160" t="s">
        <v>400</v>
      </c>
      <c r="F248" s="710">
        <v>5000</v>
      </c>
      <c r="G248" s="710">
        <v>0</v>
      </c>
      <c r="H248" s="1174">
        <v>0</v>
      </c>
      <c r="I248" s="778"/>
      <c r="J248" s="687"/>
      <c r="K248" s="687"/>
      <c r="L248" s="779"/>
      <c r="M248" s="752"/>
    </row>
    <row r="249" spans="1:13" s="1109" customFormat="1" ht="15">
      <c r="A249" s="1195">
        <v>242</v>
      </c>
      <c r="B249" s="1201"/>
      <c r="C249" s="711"/>
      <c r="D249" s="690" t="s">
        <v>221</v>
      </c>
      <c r="E249" s="1186"/>
      <c r="F249" s="727"/>
      <c r="G249" s="727"/>
      <c r="H249" s="1100"/>
      <c r="I249" s="781">
        <v>5000</v>
      </c>
      <c r="J249" s="713"/>
      <c r="K249" s="713"/>
      <c r="L249" s="782">
        <f>SUM(I249:K249)</f>
        <v>5000</v>
      </c>
      <c r="M249" s="760"/>
    </row>
    <row r="250" spans="1:13" s="1110" customFormat="1" ht="15">
      <c r="A250" s="1195">
        <v>243</v>
      </c>
      <c r="B250" s="739"/>
      <c r="C250" s="714"/>
      <c r="D250" s="691" t="s">
        <v>1169</v>
      </c>
      <c r="E250" s="738"/>
      <c r="F250" s="728"/>
      <c r="G250" s="728"/>
      <c r="H250" s="1101"/>
      <c r="I250" s="786">
        <f>SUM(I249:I249)</f>
        <v>5000</v>
      </c>
      <c r="J250" s="728">
        <f>SUM(J249:J249)</f>
        <v>0</v>
      </c>
      <c r="K250" s="728">
        <f>SUM(K249:K249)</f>
        <v>0</v>
      </c>
      <c r="L250" s="779">
        <f>SUM(I250:K250)</f>
        <v>5000</v>
      </c>
      <c r="M250" s="759">
        <f>SUM(M249:M249)</f>
        <v>0</v>
      </c>
    </row>
    <row r="251" spans="1:13" s="1108" customFormat="1" ht="30">
      <c r="A251" s="1195">
        <v>244</v>
      </c>
      <c r="B251" s="1200"/>
      <c r="C251" s="684">
        <v>67</v>
      </c>
      <c r="D251" s="716" t="s">
        <v>86</v>
      </c>
      <c r="E251" s="1160" t="s">
        <v>400</v>
      </c>
      <c r="F251" s="716">
        <v>7000</v>
      </c>
      <c r="G251" s="716">
        <v>0</v>
      </c>
      <c r="H251" s="1171">
        <v>0</v>
      </c>
      <c r="I251" s="778"/>
      <c r="J251" s="687"/>
      <c r="K251" s="687"/>
      <c r="L251" s="779"/>
      <c r="M251" s="752"/>
    </row>
    <row r="252" spans="1:13" s="1109" customFormat="1" ht="15">
      <c r="A252" s="1195">
        <v>245</v>
      </c>
      <c r="B252" s="1201"/>
      <c r="C252" s="711"/>
      <c r="D252" s="690" t="s">
        <v>221</v>
      </c>
      <c r="E252" s="738"/>
      <c r="F252" s="727"/>
      <c r="G252" s="727"/>
      <c r="H252" s="1100"/>
      <c r="I252" s="781">
        <v>7000</v>
      </c>
      <c r="J252" s="713"/>
      <c r="K252" s="713"/>
      <c r="L252" s="782">
        <f>SUM(I252:K252)</f>
        <v>7000</v>
      </c>
      <c r="M252" s="760"/>
    </row>
    <row r="253" spans="1:13" s="1110" customFormat="1" ht="15">
      <c r="A253" s="1195">
        <v>246</v>
      </c>
      <c r="B253" s="739"/>
      <c r="C253" s="714"/>
      <c r="D253" s="691" t="s">
        <v>1169</v>
      </c>
      <c r="E253" s="1152"/>
      <c r="F253" s="728"/>
      <c r="G253" s="728"/>
      <c r="H253" s="1101"/>
      <c r="I253" s="786">
        <f>SUM(I252:I252)</f>
        <v>7000</v>
      </c>
      <c r="J253" s="728">
        <f>SUM(J252:J252)</f>
        <v>0</v>
      </c>
      <c r="K253" s="728">
        <f>SUM(K252:K252)</f>
        <v>0</v>
      </c>
      <c r="L253" s="779">
        <f>SUM(I253:K253)</f>
        <v>7000</v>
      </c>
      <c r="M253" s="759">
        <f>SUM(M252:M252)</f>
        <v>0</v>
      </c>
    </row>
    <row r="254" spans="1:13" s="1108" customFormat="1" ht="15">
      <c r="A254" s="1212">
        <v>247</v>
      </c>
      <c r="B254" s="683"/>
      <c r="C254" s="694">
        <v>68</v>
      </c>
      <c r="D254" s="716" t="s">
        <v>90</v>
      </c>
      <c r="E254" s="1160" t="s">
        <v>400</v>
      </c>
      <c r="F254" s="710">
        <v>15000</v>
      </c>
      <c r="G254" s="710">
        <v>0</v>
      </c>
      <c r="H254" s="1174">
        <v>0</v>
      </c>
      <c r="I254" s="778"/>
      <c r="J254" s="687"/>
      <c r="K254" s="687"/>
      <c r="L254" s="779"/>
      <c r="M254" s="752"/>
    </row>
    <row r="255" spans="1:13" s="1109" customFormat="1" ht="15">
      <c r="A255" s="1195">
        <v>248</v>
      </c>
      <c r="B255" s="1201"/>
      <c r="C255" s="711"/>
      <c r="D255" s="690" t="s">
        <v>221</v>
      </c>
      <c r="E255" s="1186"/>
      <c r="F255" s="727"/>
      <c r="G255" s="727"/>
      <c r="H255" s="1100"/>
      <c r="I255" s="781">
        <v>15000</v>
      </c>
      <c r="J255" s="713"/>
      <c r="K255" s="713"/>
      <c r="L255" s="782">
        <f>SUM(I255:K255)</f>
        <v>15000</v>
      </c>
      <c r="M255" s="760"/>
    </row>
    <row r="256" spans="1:13" s="1110" customFormat="1" ht="15">
      <c r="A256" s="1195">
        <v>249</v>
      </c>
      <c r="B256" s="739"/>
      <c r="C256" s="714"/>
      <c r="D256" s="691" t="s">
        <v>1169</v>
      </c>
      <c r="E256" s="738"/>
      <c r="F256" s="728"/>
      <c r="G256" s="728"/>
      <c r="H256" s="1101"/>
      <c r="I256" s="786">
        <f>SUM(I255:I255)</f>
        <v>15000</v>
      </c>
      <c r="J256" s="728">
        <f>SUM(J255:J255)</f>
        <v>0</v>
      </c>
      <c r="K256" s="728">
        <f>SUM(K255:K255)</f>
        <v>0</v>
      </c>
      <c r="L256" s="779">
        <f>SUM(I256:K256)</f>
        <v>15000</v>
      </c>
      <c r="M256" s="759">
        <f>SUM(M255:M255)</f>
        <v>0</v>
      </c>
    </row>
    <row r="257" spans="1:13" ht="19.5" customHeight="1">
      <c r="A257" s="1195">
        <v>250</v>
      </c>
      <c r="B257" s="1200"/>
      <c r="C257" s="684"/>
      <c r="D257" s="685" t="s">
        <v>1048</v>
      </c>
      <c r="E257" s="1160"/>
      <c r="F257" s="696"/>
      <c r="G257" s="697"/>
      <c r="H257" s="1189"/>
      <c r="I257" s="796"/>
      <c r="J257" s="698"/>
      <c r="K257" s="698"/>
      <c r="L257" s="779"/>
      <c r="M257" s="773"/>
    </row>
    <row r="258" spans="1:13" s="1108" customFormat="1" ht="15">
      <c r="A258" s="1195">
        <v>251</v>
      </c>
      <c r="B258" s="1200"/>
      <c r="C258" s="684">
        <v>69</v>
      </c>
      <c r="D258" s="716" t="s">
        <v>1082</v>
      </c>
      <c r="E258" s="1160" t="s">
        <v>400</v>
      </c>
      <c r="F258" s="716">
        <v>500</v>
      </c>
      <c r="G258" s="716">
        <v>0</v>
      </c>
      <c r="H258" s="1171">
        <v>0</v>
      </c>
      <c r="I258" s="778"/>
      <c r="J258" s="687"/>
      <c r="K258" s="687"/>
      <c r="L258" s="779"/>
      <c r="M258" s="752"/>
    </row>
    <row r="259" spans="1:13" s="1109" customFormat="1" ht="15">
      <c r="A259" s="1195">
        <v>252</v>
      </c>
      <c r="B259" s="1201"/>
      <c r="C259" s="711"/>
      <c r="D259" s="690" t="s">
        <v>221</v>
      </c>
      <c r="E259" s="1186"/>
      <c r="F259" s="727"/>
      <c r="G259" s="727"/>
      <c r="H259" s="1100"/>
      <c r="I259" s="781"/>
      <c r="J259" s="713">
        <v>500</v>
      </c>
      <c r="K259" s="713"/>
      <c r="L259" s="782">
        <f>SUM(I259:K259)</f>
        <v>500</v>
      </c>
      <c r="M259" s="760"/>
    </row>
    <row r="260" spans="1:13" s="1110" customFormat="1" ht="15">
      <c r="A260" s="1195">
        <v>253</v>
      </c>
      <c r="B260" s="739"/>
      <c r="C260" s="714"/>
      <c r="D260" s="691" t="s">
        <v>1169</v>
      </c>
      <c r="E260" s="738"/>
      <c r="F260" s="728"/>
      <c r="G260" s="728"/>
      <c r="H260" s="1101"/>
      <c r="I260" s="786">
        <f>SUM(I259:I259)</f>
        <v>0</v>
      </c>
      <c r="J260" s="728">
        <f>SUM(J259:J259)</f>
        <v>500</v>
      </c>
      <c r="K260" s="728">
        <f>SUM(K259:K259)</f>
        <v>0</v>
      </c>
      <c r="L260" s="779">
        <f>SUM(I260:K260)</f>
        <v>500</v>
      </c>
      <c r="M260" s="759">
        <f>SUM(M259:M259)</f>
        <v>0</v>
      </c>
    </row>
    <row r="261" spans="1:13" ht="19.5" customHeight="1">
      <c r="A261" s="1195">
        <v>254</v>
      </c>
      <c r="B261" s="1200"/>
      <c r="C261" s="684"/>
      <c r="D261" s="685" t="s">
        <v>95</v>
      </c>
      <c r="E261" s="1160"/>
      <c r="F261" s="686"/>
      <c r="G261" s="686"/>
      <c r="H261" s="1190"/>
      <c r="I261" s="795"/>
      <c r="J261" s="689"/>
      <c r="K261" s="689"/>
      <c r="L261" s="779"/>
      <c r="M261" s="769"/>
    </row>
    <row r="262" spans="1:13" s="1108" customFormat="1" ht="15">
      <c r="A262" s="1195">
        <v>255</v>
      </c>
      <c r="B262" s="1200"/>
      <c r="C262" s="684">
        <v>70</v>
      </c>
      <c r="D262" s="716" t="s">
        <v>1083</v>
      </c>
      <c r="E262" s="1152" t="s">
        <v>400</v>
      </c>
      <c r="F262" s="716">
        <v>2725</v>
      </c>
      <c r="G262" s="716">
        <v>0</v>
      </c>
      <c r="H262" s="1171">
        <v>0</v>
      </c>
      <c r="I262" s="778"/>
      <c r="J262" s="687"/>
      <c r="K262" s="687"/>
      <c r="L262" s="779"/>
      <c r="M262" s="752"/>
    </row>
    <row r="263" spans="1:13" s="1109" customFormat="1" ht="15">
      <c r="A263" s="1195">
        <v>256</v>
      </c>
      <c r="B263" s="1201"/>
      <c r="C263" s="711"/>
      <c r="D263" s="690" t="s">
        <v>221</v>
      </c>
      <c r="E263" s="1160"/>
      <c r="F263" s="727"/>
      <c r="G263" s="727"/>
      <c r="H263" s="1100"/>
      <c r="I263" s="781">
        <v>2725</v>
      </c>
      <c r="J263" s="713"/>
      <c r="K263" s="713"/>
      <c r="L263" s="782">
        <f>SUM(I263:K263)</f>
        <v>2725</v>
      </c>
      <c r="M263" s="760"/>
    </row>
    <row r="264" spans="1:13" s="1110" customFormat="1" ht="15">
      <c r="A264" s="1195">
        <v>257</v>
      </c>
      <c r="B264" s="739"/>
      <c r="C264" s="714"/>
      <c r="D264" s="691" t="s">
        <v>1169</v>
      </c>
      <c r="E264" s="738"/>
      <c r="F264" s="728"/>
      <c r="G264" s="728"/>
      <c r="H264" s="1101"/>
      <c r="I264" s="786">
        <f>SUM(I263:I263)</f>
        <v>2725</v>
      </c>
      <c r="J264" s="728">
        <f>SUM(J263:J263)</f>
        <v>0</v>
      </c>
      <c r="K264" s="728">
        <f>SUM(K263:K263)</f>
        <v>0</v>
      </c>
      <c r="L264" s="779">
        <f>SUM(I264:K264)</f>
        <v>2725</v>
      </c>
      <c r="M264" s="759">
        <f>SUM(M263:M263)</f>
        <v>0</v>
      </c>
    </row>
    <row r="265" spans="1:13" s="1108" customFormat="1" ht="21.75" customHeight="1">
      <c r="A265" s="1212">
        <v>258</v>
      </c>
      <c r="B265" s="683"/>
      <c r="C265" s="694">
        <v>71</v>
      </c>
      <c r="D265" s="1099" t="s">
        <v>742</v>
      </c>
      <c r="E265" s="1160" t="s">
        <v>400</v>
      </c>
      <c r="F265" s="716">
        <v>2846</v>
      </c>
      <c r="G265" s="716">
        <v>0</v>
      </c>
      <c r="H265" s="1171">
        <v>0</v>
      </c>
      <c r="I265" s="778"/>
      <c r="J265" s="687"/>
      <c r="K265" s="687"/>
      <c r="L265" s="779"/>
      <c r="M265" s="752"/>
    </row>
    <row r="266" spans="1:13" s="1109" customFormat="1" ht="15">
      <c r="A266" s="1195">
        <v>259</v>
      </c>
      <c r="B266" s="1201"/>
      <c r="C266" s="711"/>
      <c r="D266" s="690" t="s">
        <v>221</v>
      </c>
      <c r="E266" s="1186"/>
      <c r="F266" s="727"/>
      <c r="G266" s="727"/>
      <c r="H266" s="1100"/>
      <c r="I266" s="781">
        <v>2846</v>
      </c>
      <c r="J266" s="713"/>
      <c r="K266" s="713"/>
      <c r="L266" s="782">
        <f>SUM(I266:K266)</f>
        <v>2846</v>
      </c>
      <c r="M266" s="760"/>
    </row>
    <row r="267" spans="1:13" s="1110" customFormat="1" ht="15">
      <c r="A267" s="1195">
        <v>260</v>
      </c>
      <c r="B267" s="739"/>
      <c r="C267" s="714"/>
      <c r="D267" s="691" t="s">
        <v>1169</v>
      </c>
      <c r="E267" s="738"/>
      <c r="F267" s="728"/>
      <c r="G267" s="728"/>
      <c r="H267" s="1101"/>
      <c r="I267" s="786">
        <f>SUM(I266:I266)</f>
        <v>2846</v>
      </c>
      <c r="J267" s="728">
        <f>SUM(J266:J266)</f>
        <v>0</v>
      </c>
      <c r="K267" s="728">
        <f>SUM(K266:K266)</f>
        <v>0</v>
      </c>
      <c r="L267" s="779">
        <f>SUM(I267:K267)</f>
        <v>2846</v>
      </c>
      <c r="M267" s="759">
        <f>SUM(M266:M266)</f>
        <v>0</v>
      </c>
    </row>
    <row r="268" spans="1:13" s="1108" customFormat="1" ht="30">
      <c r="A268" s="1195">
        <v>261</v>
      </c>
      <c r="B268" s="1200"/>
      <c r="C268" s="684">
        <v>72</v>
      </c>
      <c r="D268" s="1099" t="s">
        <v>743</v>
      </c>
      <c r="E268" s="1152" t="s">
        <v>400</v>
      </c>
      <c r="F268" s="716">
        <v>15000</v>
      </c>
      <c r="G268" s="716">
        <v>0</v>
      </c>
      <c r="H268" s="1171">
        <v>0</v>
      </c>
      <c r="I268" s="778"/>
      <c r="J268" s="687"/>
      <c r="K268" s="687"/>
      <c r="L268" s="779"/>
      <c r="M268" s="752"/>
    </row>
    <row r="269" spans="1:13" s="1109" customFormat="1" ht="15">
      <c r="A269" s="1195">
        <v>262</v>
      </c>
      <c r="B269" s="1201"/>
      <c r="C269" s="711"/>
      <c r="D269" s="690" t="s">
        <v>221</v>
      </c>
      <c r="E269" s="1160"/>
      <c r="F269" s="727"/>
      <c r="G269" s="727"/>
      <c r="H269" s="1100"/>
      <c r="I269" s="781">
        <v>15000</v>
      </c>
      <c r="J269" s="713"/>
      <c r="K269" s="713"/>
      <c r="L269" s="782">
        <f>SUM(I269:K269)</f>
        <v>15000</v>
      </c>
      <c r="M269" s="760"/>
    </row>
    <row r="270" spans="1:13" s="1110" customFormat="1" ht="15">
      <c r="A270" s="1195">
        <v>263</v>
      </c>
      <c r="B270" s="739"/>
      <c r="C270" s="714"/>
      <c r="D270" s="691" t="s">
        <v>1169</v>
      </c>
      <c r="E270" s="738"/>
      <c r="F270" s="728"/>
      <c r="G270" s="728"/>
      <c r="H270" s="1101"/>
      <c r="I270" s="786">
        <f>SUM(I269:I269)</f>
        <v>15000</v>
      </c>
      <c r="J270" s="728">
        <f>SUM(J269:J269)</f>
        <v>0</v>
      </c>
      <c r="K270" s="728">
        <f>SUM(K269:K269)</f>
        <v>0</v>
      </c>
      <c r="L270" s="779">
        <f>SUM(I270:K270)</f>
        <v>15000</v>
      </c>
      <c r="M270" s="759">
        <f>SUM(M269:M269)</f>
        <v>0</v>
      </c>
    </row>
    <row r="271" spans="1:13" ht="25.5" customHeight="1">
      <c r="A271" s="1195">
        <v>264</v>
      </c>
      <c r="B271" s="1200"/>
      <c r="C271" s="684"/>
      <c r="D271" s="685" t="s">
        <v>96</v>
      </c>
      <c r="E271" s="1160"/>
      <c r="F271" s="686"/>
      <c r="G271" s="686"/>
      <c r="H271" s="1190"/>
      <c r="I271" s="795"/>
      <c r="J271" s="689"/>
      <c r="K271" s="689"/>
      <c r="L271" s="779"/>
      <c r="M271" s="769"/>
    </row>
    <row r="272" spans="1:13" s="1108" customFormat="1" ht="15">
      <c r="A272" s="1195">
        <v>265</v>
      </c>
      <c r="B272" s="1200"/>
      <c r="C272" s="684">
        <v>73</v>
      </c>
      <c r="D272" s="716" t="s">
        <v>1086</v>
      </c>
      <c r="E272" s="1160" t="s">
        <v>400</v>
      </c>
      <c r="F272" s="716">
        <v>1950</v>
      </c>
      <c r="G272" s="716">
        <v>0</v>
      </c>
      <c r="H272" s="1171">
        <v>0</v>
      </c>
      <c r="I272" s="778"/>
      <c r="J272" s="687"/>
      <c r="K272" s="687"/>
      <c r="L272" s="779"/>
      <c r="M272" s="752"/>
    </row>
    <row r="273" spans="1:13" s="1109" customFormat="1" ht="15">
      <c r="A273" s="1195">
        <v>266</v>
      </c>
      <c r="B273" s="1201"/>
      <c r="C273" s="711"/>
      <c r="D273" s="690" t="s">
        <v>221</v>
      </c>
      <c r="E273" s="738"/>
      <c r="F273" s="727"/>
      <c r="G273" s="727"/>
      <c r="H273" s="1100"/>
      <c r="I273" s="781">
        <v>1950</v>
      </c>
      <c r="J273" s="713"/>
      <c r="K273" s="713"/>
      <c r="L273" s="782">
        <f>SUM(I273:K273)</f>
        <v>1950</v>
      </c>
      <c r="M273" s="760"/>
    </row>
    <row r="274" spans="1:13" s="1110" customFormat="1" ht="15">
      <c r="A274" s="1195">
        <v>267</v>
      </c>
      <c r="B274" s="739"/>
      <c r="C274" s="714"/>
      <c r="D274" s="691" t="s">
        <v>1169</v>
      </c>
      <c r="E274" s="1152"/>
      <c r="F274" s="728"/>
      <c r="G274" s="728"/>
      <c r="H274" s="1101"/>
      <c r="I274" s="786">
        <f>SUM(I273:I273)</f>
        <v>1950</v>
      </c>
      <c r="J274" s="728">
        <f>SUM(J273:J273)</f>
        <v>0</v>
      </c>
      <c r="K274" s="728">
        <f>SUM(K273:K273)</f>
        <v>0</v>
      </c>
      <c r="L274" s="779">
        <f>SUM(I274:K274)</f>
        <v>1950</v>
      </c>
      <c r="M274" s="759">
        <f>SUM(M273:M273)</f>
        <v>0</v>
      </c>
    </row>
    <row r="275" spans="1:13" s="1108" customFormat="1" ht="15">
      <c r="A275" s="1195">
        <v>268</v>
      </c>
      <c r="B275" s="1200"/>
      <c r="C275" s="684">
        <v>74</v>
      </c>
      <c r="D275" s="716" t="s">
        <v>97</v>
      </c>
      <c r="E275" s="1160" t="s">
        <v>400</v>
      </c>
      <c r="F275" s="716">
        <v>1950</v>
      </c>
      <c r="G275" s="716">
        <v>0</v>
      </c>
      <c r="H275" s="1171">
        <v>0</v>
      </c>
      <c r="I275" s="778"/>
      <c r="J275" s="687"/>
      <c r="K275" s="687"/>
      <c r="L275" s="779"/>
      <c r="M275" s="752"/>
    </row>
    <row r="276" spans="1:13" s="1109" customFormat="1" ht="15">
      <c r="A276" s="1195">
        <v>269</v>
      </c>
      <c r="B276" s="1201"/>
      <c r="C276" s="711"/>
      <c r="D276" s="690" t="s">
        <v>221</v>
      </c>
      <c r="E276" s="1186"/>
      <c r="F276" s="727"/>
      <c r="G276" s="727"/>
      <c r="H276" s="1100"/>
      <c r="I276" s="781">
        <v>1950</v>
      </c>
      <c r="J276" s="713"/>
      <c r="K276" s="713"/>
      <c r="L276" s="782">
        <f>SUM(I276:K276)</f>
        <v>1950</v>
      </c>
      <c r="M276" s="760"/>
    </row>
    <row r="277" spans="1:13" s="1111" customFormat="1" ht="19.5" customHeight="1">
      <c r="A277" s="1195">
        <v>270</v>
      </c>
      <c r="B277" s="744"/>
      <c r="C277" s="743"/>
      <c r="D277" s="724" t="s">
        <v>1169</v>
      </c>
      <c r="E277" s="1161"/>
      <c r="F277" s="745"/>
      <c r="G277" s="745"/>
      <c r="H277" s="962"/>
      <c r="I277" s="797">
        <f>SUM(I276:I276)</f>
        <v>1950</v>
      </c>
      <c r="J277" s="745">
        <f>SUM(J276:J276)</f>
        <v>0</v>
      </c>
      <c r="K277" s="745">
        <f>SUM(K276:K276)</f>
        <v>0</v>
      </c>
      <c r="L277" s="962">
        <f>SUM(I277:K277)</f>
        <v>1950</v>
      </c>
      <c r="M277" s="771">
        <f>SUM(M276:M276)</f>
        <v>0</v>
      </c>
    </row>
    <row r="278" spans="1:13" s="1113" customFormat="1" ht="18" customHeight="1">
      <c r="A278" s="1195">
        <v>271</v>
      </c>
      <c r="B278" s="1202"/>
      <c r="C278" s="701"/>
      <c r="D278" s="1112" t="s">
        <v>98</v>
      </c>
      <c r="E278" s="1162"/>
      <c r="F278" s="733">
        <f>SUM(F9:F275)</f>
        <v>17428605</v>
      </c>
      <c r="G278" s="733">
        <f>SUM(G9:G275)</f>
        <v>1859723</v>
      </c>
      <c r="H278" s="733">
        <f>SUM(H9:H275)</f>
        <v>2936390</v>
      </c>
      <c r="I278" s="790"/>
      <c r="J278" s="734"/>
      <c r="K278" s="734"/>
      <c r="L278" s="806"/>
      <c r="M278" s="764"/>
    </row>
    <row r="279" spans="1:13" s="1113" customFormat="1" ht="18" customHeight="1">
      <c r="A279" s="1195">
        <v>272</v>
      </c>
      <c r="B279" s="1200"/>
      <c r="C279" s="684"/>
      <c r="D279" s="735" t="s">
        <v>1168</v>
      </c>
      <c r="E279" s="694"/>
      <c r="F279" s="731"/>
      <c r="G279" s="731"/>
      <c r="H279" s="747"/>
      <c r="I279" s="791">
        <f>SUM(I207+I203+I178+I174+I170+I166+I159+I155+I151+I144+I140+I136+I132+I128+I124+I120+I116+I112+I108+I104+I100+I96+I92+I88+I84+I80+I76+I72+I68+I42+I38+I34+I30+I26+I22+I18+I14+I10)</f>
        <v>3017086</v>
      </c>
      <c r="J279" s="731">
        <f>SUM(J207+J203+J178+J174+J170+J166+J159+J155+J151+J144+J140+J136+J132+J128+J124+J120+J116+J112+J108+J104+J100+J96+J92+J88+J84+J80+J76+J72+J68+J42+J38+J34+J30+J26+J22+J18+J14+J10)</f>
        <v>0</v>
      </c>
      <c r="K279" s="731">
        <f>SUM(K207+K203+K178+K174+K170+K166+K159+K155+K151+K144+K140+K136+K132+K128+K124+K120+K116+K112+K108+K104+K100+K96+K92+K88+K84+K80+K76+K72+K68+K42+K38+K34+K30+K26+K22+K18+K14+K10)</f>
        <v>1418800</v>
      </c>
      <c r="L279" s="801">
        <f>SUM(I279:K279)</f>
        <v>4435886</v>
      </c>
      <c r="M279" s="765">
        <f>SUM(M207+M203+M178+M174+M170+M166+M159+M155+M151+M144+M140+M136+M132+M128+M124+M120+M116+M112+M108+M104+M100+M96+M92+M88+M84+M80+M76+M72+M68+M42+M38+M34+M30+M26+M22+M18+M14+M10)</f>
        <v>6686694</v>
      </c>
    </row>
    <row r="280" spans="1:13" s="1113" customFormat="1" ht="18" customHeight="1">
      <c r="A280" s="1195">
        <v>273</v>
      </c>
      <c r="B280" s="1200"/>
      <c r="C280" s="684"/>
      <c r="D280" s="736" t="s">
        <v>1170</v>
      </c>
      <c r="E280" s="694"/>
      <c r="F280" s="732"/>
      <c r="G280" s="732"/>
      <c r="H280" s="748"/>
      <c r="I280" s="792">
        <f>SUM(I276+I273+I269+I266+I263+I259+I255+I252+I249+I246+I243+I239+I235+I232+I226+I223+I220+I217+I214+I211+I208+I204+I179+I175+I171+I167+I163+I160+I156+I152+I148+I145+I141+I137+I133+I129+I125+I121+I117+I113+I109+I105+I101+I97+I93+I89+I85+I81+I77+I73+I69+I43+I39+I35+I31+I27+I23+I19+I15+I11)+I46+I240+I236+I229+I200+I197+I194+I191+I188+I185+I182+I65+I62+I59+I56+I53+I50+I47</f>
        <v>1485256</v>
      </c>
      <c r="J280" s="732">
        <f>SUM(J276+J273+J269+J266+J263+J259+J255+J252+J249+J246+J243+J239+J235+J232+J226+J223+J220+J217+J214+J211+J208+J204+J179+J175+J171+J167+J163+J160+J156+J152+J148+J145+J141+J137+J133+J129+J125+J121+J117+J113+J109+J105+J101+J97+J93+J89+J85+J81+J77+J73+J69+J43+J39+J35+J31+J27+J23+J19+J15+J11)+J46+J240+J236+J229+J200+J197+J194+J191+J188+J185+J182+J65+J62+J59+J56+J53+J50+J47</f>
        <v>500</v>
      </c>
      <c r="K280" s="732">
        <f>SUM(K276+K273+K269+K266+K263+K259+K255+K252+K249+K246+K243+K239+K235+K232+K226+K223+K220+K217+K214+K211+K208+K204+K179+K175+K171+K167+K163+K160+K156+K152+K148+K145+K141+K137+K133+K129+K125+K121+K117+K113+K109+K105+K101+K97+K93+K89+K85+K81+K77+K73+K69+K43+K39+K35+K31+K27+K23+K19+K15+K11)+K46+K240+K236+K229+K200+K197+K194+K191+K188+K185+K182+K65+K62+K59+K56+K53+K50+K47</f>
        <v>518050</v>
      </c>
      <c r="L280" s="802">
        <f>SUM(L276+L273+L269+L266+L263+L259+L255+L252+L249+L246+L243+L239+L235+L232+L226+L223+L220+L217+L214+L211+L208+L204+L179+L175+L171+L167+L163+L160+L156+L152+L148+L145+L141+L137+L133+L129+L125+L121+L117+L113+L109+L105+L101+L97+L93+L89+L85+L81+L77+L73+L69+L43+L39+L35+L31+L27+L23+L19+L15+L11)+L46+L240+L236+L229+L200+L197+L194+L191+L188+L185+L182+L65+L62+L59+L56+L53+L50+L47</f>
        <v>2003806</v>
      </c>
      <c r="M280" s="916">
        <f>SUM(M208+M204+M179+M175+M171+M167+M160+M156+M152+M145+M141+M137+M133+M129+M125+M121+M117+M113+M109+M105+M101+M97+M93+M89+M85+M81+M77+M73+M69+M43+M39+M35+M31+M27+M23+M19+M15+M11)+M148</f>
        <v>0</v>
      </c>
    </row>
    <row r="281" spans="1:13" s="1113" customFormat="1" ht="18" customHeight="1" thickBot="1">
      <c r="A281" s="1195">
        <v>274</v>
      </c>
      <c r="B281" s="1203"/>
      <c r="C281" s="704"/>
      <c r="D281" s="737" t="s">
        <v>1169</v>
      </c>
      <c r="E281" s="1163"/>
      <c r="F281" s="706"/>
      <c r="G281" s="706"/>
      <c r="H281" s="749"/>
      <c r="I281" s="793">
        <f>SUM(I279:I280)</f>
        <v>4502342</v>
      </c>
      <c r="J281" s="706">
        <f>SUM(J279:J280)</f>
        <v>500</v>
      </c>
      <c r="K281" s="706">
        <f>SUM(K279:K280)</f>
        <v>1936850</v>
      </c>
      <c r="L281" s="803">
        <f>SUM(I281:K281)</f>
        <v>6439692</v>
      </c>
      <c r="M281" s="767">
        <f>SUM(M279:M280)</f>
        <v>6686694</v>
      </c>
    </row>
    <row r="282" spans="1:13" s="1116" customFormat="1" ht="19.5" customHeight="1" thickTop="1">
      <c r="A282" s="1212">
        <v>275</v>
      </c>
      <c r="B282" s="1204"/>
      <c r="C282" s="1205"/>
      <c r="D282" s="1114" t="s">
        <v>487</v>
      </c>
      <c r="E282" s="1115"/>
      <c r="F282" s="742"/>
      <c r="G282" s="742"/>
      <c r="H282" s="1191"/>
      <c r="I282" s="794"/>
      <c r="J282" s="742"/>
      <c r="K282" s="742"/>
      <c r="L282" s="779"/>
      <c r="M282" s="768"/>
    </row>
    <row r="283" spans="1:13" s="1108" customFormat="1" ht="19.5" customHeight="1">
      <c r="A283" s="1212">
        <v>276</v>
      </c>
      <c r="B283" s="683">
        <v>1</v>
      </c>
      <c r="C283" s="694"/>
      <c r="D283" s="685" t="s">
        <v>1185</v>
      </c>
      <c r="E283" s="738"/>
      <c r="F283" s="723"/>
      <c r="G283" s="723"/>
      <c r="H283" s="1181"/>
      <c r="I283" s="778"/>
      <c r="J283" s="687"/>
      <c r="K283" s="687"/>
      <c r="L283" s="779"/>
      <c r="M283" s="755"/>
    </row>
    <row r="284" spans="1:13" s="1108" customFormat="1" ht="15">
      <c r="A284" s="1195">
        <v>277</v>
      </c>
      <c r="B284" s="1200"/>
      <c r="C284" s="684">
        <v>1</v>
      </c>
      <c r="D284" s="716" t="s">
        <v>1031</v>
      </c>
      <c r="E284" s="1160" t="s">
        <v>400</v>
      </c>
      <c r="F284" s="721">
        <v>500</v>
      </c>
      <c r="G284" s="716">
        <v>0</v>
      </c>
      <c r="H284" s="716">
        <v>0</v>
      </c>
      <c r="I284" s="778"/>
      <c r="J284" s="687"/>
      <c r="K284" s="687"/>
      <c r="L284" s="779"/>
      <c r="M284" s="752"/>
    </row>
    <row r="285" spans="1:13" ht="15">
      <c r="A285" s="1195">
        <v>278</v>
      </c>
      <c r="B285" s="1200"/>
      <c r="C285" s="684"/>
      <c r="D285" s="688" t="s">
        <v>1168</v>
      </c>
      <c r="E285" s="1168"/>
      <c r="F285" s="1176"/>
      <c r="G285" s="721"/>
      <c r="H285" s="721"/>
      <c r="I285" s="778"/>
      <c r="J285" s="687">
        <v>500</v>
      </c>
      <c r="K285" s="687"/>
      <c r="L285" s="780">
        <f>SUM(I285:K285)</f>
        <v>500</v>
      </c>
      <c r="M285" s="757"/>
    </row>
    <row r="286" spans="1:13" s="1109" customFormat="1" ht="15">
      <c r="A286" s="1195">
        <v>279</v>
      </c>
      <c r="B286" s="1201"/>
      <c r="C286" s="711"/>
      <c r="D286" s="690" t="s">
        <v>1170</v>
      </c>
      <c r="E286" s="1160"/>
      <c r="F286" s="727"/>
      <c r="G286" s="727"/>
      <c r="H286" s="727"/>
      <c r="I286" s="781"/>
      <c r="J286" s="713"/>
      <c r="K286" s="713"/>
      <c r="L286" s="782">
        <f>SUM(I286:K286)</f>
        <v>0</v>
      </c>
      <c r="M286" s="760"/>
    </row>
    <row r="287" spans="1:13" s="1110" customFormat="1" ht="15">
      <c r="A287" s="1195">
        <v>280</v>
      </c>
      <c r="B287" s="739"/>
      <c r="C287" s="714"/>
      <c r="D287" s="691" t="s">
        <v>1169</v>
      </c>
      <c r="E287" s="738"/>
      <c r="F287" s="728"/>
      <c r="G287" s="728"/>
      <c r="H287" s="728"/>
      <c r="I287" s="786">
        <f>SUM(I285:I286)</f>
        <v>0</v>
      </c>
      <c r="J287" s="728">
        <f>SUM(J285:J286)</f>
        <v>500</v>
      </c>
      <c r="K287" s="728">
        <f>SUM(K285:K286)</f>
        <v>0</v>
      </c>
      <c r="L287" s="779">
        <f>SUM(I287:K287)</f>
        <v>500</v>
      </c>
      <c r="M287" s="759">
        <f>SUM(M285:M286)</f>
        <v>0</v>
      </c>
    </row>
    <row r="288" spans="1:13" ht="15">
      <c r="A288" s="1195">
        <v>281</v>
      </c>
      <c r="B288" s="1200"/>
      <c r="C288" s="684">
        <v>2</v>
      </c>
      <c r="D288" s="688" t="s">
        <v>289</v>
      </c>
      <c r="E288" s="1160" t="s">
        <v>400</v>
      </c>
      <c r="F288" s="721">
        <v>120</v>
      </c>
      <c r="G288" s="721">
        <v>0</v>
      </c>
      <c r="H288" s="721">
        <v>0</v>
      </c>
      <c r="I288" s="778"/>
      <c r="J288" s="687"/>
      <c r="K288" s="687"/>
      <c r="L288" s="779"/>
      <c r="M288" s="757"/>
    </row>
    <row r="289" spans="1:13" s="1109" customFormat="1" ht="15">
      <c r="A289" s="1195">
        <v>282</v>
      </c>
      <c r="B289" s="1201"/>
      <c r="C289" s="711"/>
      <c r="D289" s="690" t="s">
        <v>1170</v>
      </c>
      <c r="E289" s="1186"/>
      <c r="F289" s="727"/>
      <c r="G289" s="727"/>
      <c r="H289" s="727"/>
      <c r="I289" s="781"/>
      <c r="J289" s="713">
        <v>120</v>
      </c>
      <c r="K289" s="713"/>
      <c r="L289" s="782">
        <f>SUM(I289:K289)</f>
        <v>120</v>
      </c>
      <c r="M289" s="760"/>
    </row>
    <row r="290" spans="1:13" s="1110" customFormat="1" ht="15">
      <c r="A290" s="1195">
        <v>283</v>
      </c>
      <c r="B290" s="739"/>
      <c r="C290" s="714"/>
      <c r="D290" s="691" t="s">
        <v>1169</v>
      </c>
      <c r="E290" s="1153"/>
      <c r="F290" s="728"/>
      <c r="G290" s="728"/>
      <c r="H290" s="728"/>
      <c r="I290" s="786">
        <f>SUM(I289)</f>
        <v>0</v>
      </c>
      <c r="J290" s="728">
        <f>SUM(J289)</f>
        <v>120</v>
      </c>
      <c r="K290" s="728">
        <f>SUM(K289)</f>
        <v>0</v>
      </c>
      <c r="L290" s="1101">
        <f>SUM(I290:K290)</f>
        <v>120</v>
      </c>
      <c r="M290" s="1102">
        <f>SUM(M289)</f>
        <v>0</v>
      </c>
    </row>
    <row r="291" spans="1:13" s="1108" customFormat="1" ht="30">
      <c r="A291" s="1195">
        <v>284</v>
      </c>
      <c r="B291" s="1200">
        <v>1</v>
      </c>
      <c r="C291" s="684"/>
      <c r="D291" s="685" t="s">
        <v>99</v>
      </c>
      <c r="E291" s="685"/>
      <c r="F291" s="685"/>
      <c r="G291" s="685"/>
      <c r="H291" s="685"/>
      <c r="I291" s="778"/>
      <c r="J291" s="687"/>
      <c r="K291" s="687"/>
      <c r="L291" s="779"/>
      <c r="M291" s="755"/>
    </row>
    <row r="292" spans="1:13" s="1108" customFormat="1" ht="15">
      <c r="A292" s="1195">
        <v>285</v>
      </c>
      <c r="B292" s="1200"/>
      <c r="C292" s="684">
        <v>1</v>
      </c>
      <c r="D292" s="716" t="s">
        <v>1032</v>
      </c>
      <c r="E292" s="1160" t="s">
        <v>400</v>
      </c>
      <c r="F292" s="721">
        <v>500</v>
      </c>
      <c r="G292" s="716">
        <v>0</v>
      </c>
      <c r="H292" s="716">
        <v>0</v>
      </c>
      <c r="I292" s="778"/>
      <c r="J292" s="687"/>
      <c r="K292" s="687"/>
      <c r="L292" s="779"/>
      <c r="M292" s="752"/>
    </row>
    <row r="293" spans="1:13" ht="15">
      <c r="A293" s="1195">
        <v>286</v>
      </c>
      <c r="B293" s="1200"/>
      <c r="C293" s="684"/>
      <c r="D293" s="688" t="s">
        <v>1168</v>
      </c>
      <c r="E293" s="1168"/>
      <c r="F293" s="1176"/>
      <c r="G293" s="721"/>
      <c r="H293" s="721"/>
      <c r="I293" s="778"/>
      <c r="J293" s="687">
        <v>500</v>
      </c>
      <c r="K293" s="687"/>
      <c r="L293" s="780">
        <f>SUM(I293:K293)</f>
        <v>500</v>
      </c>
      <c r="M293" s="757"/>
    </row>
    <row r="294" spans="1:13" s="1109" customFormat="1" ht="15">
      <c r="A294" s="1195">
        <v>287</v>
      </c>
      <c r="B294" s="1201"/>
      <c r="C294" s="711"/>
      <c r="D294" s="690" t="s">
        <v>1170</v>
      </c>
      <c r="E294" s="1160"/>
      <c r="F294" s="727"/>
      <c r="G294" s="727"/>
      <c r="H294" s="727"/>
      <c r="I294" s="781"/>
      <c r="J294" s="713"/>
      <c r="K294" s="713"/>
      <c r="L294" s="782">
        <f>SUM(I294:K294)</f>
        <v>0</v>
      </c>
      <c r="M294" s="760"/>
    </row>
    <row r="295" spans="1:13" s="1110" customFormat="1" ht="15">
      <c r="A295" s="1195">
        <v>288</v>
      </c>
      <c r="B295" s="739"/>
      <c r="C295" s="714"/>
      <c r="D295" s="691" t="s">
        <v>1169</v>
      </c>
      <c r="E295" s="738"/>
      <c r="F295" s="728"/>
      <c r="G295" s="728"/>
      <c r="H295" s="728"/>
      <c r="I295" s="786">
        <f>SUM(I293:I294)</f>
        <v>0</v>
      </c>
      <c r="J295" s="728">
        <f>SUM(J293:J294)</f>
        <v>500</v>
      </c>
      <c r="K295" s="728">
        <f>SUM(K293:K294)</f>
        <v>0</v>
      </c>
      <c r="L295" s="779">
        <f>SUM(I295:K295)</f>
        <v>500</v>
      </c>
      <c r="M295" s="759">
        <f>SUM(M293:M294)</f>
        <v>0</v>
      </c>
    </row>
    <row r="296" spans="1:13" s="1108" customFormat="1" ht="19.5" customHeight="1">
      <c r="A296" s="1212">
        <v>289</v>
      </c>
      <c r="B296" s="683">
        <v>2</v>
      </c>
      <c r="C296" s="694"/>
      <c r="D296" s="685" t="s">
        <v>1033</v>
      </c>
      <c r="E296" s="685"/>
      <c r="F296" s="685"/>
      <c r="G296" s="685"/>
      <c r="H296" s="685"/>
      <c r="I296" s="778"/>
      <c r="J296" s="687"/>
      <c r="K296" s="687"/>
      <c r="L296" s="779"/>
      <c r="M296" s="755"/>
    </row>
    <row r="297" spans="1:13" s="1108" customFormat="1" ht="15">
      <c r="A297" s="1195">
        <v>290</v>
      </c>
      <c r="B297" s="1200"/>
      <c r="C297" s="684">
        <v>1</v>
      </c>
      <c r="D297" s="716" t="s">
        <v>1034</v>
      </c>
      <c r="E297" s="1160" t="s">
        <v>400</v>
      </c>
      <c r="F297" s="721">
        <v>90</v>
      </c>
      <c r="G297" s="716">
        <v>0</v>
      </c>
      <c r="H297" s="716">
        <v>0</v>
      </c>
      <c r="I297" s="778"/>
      <c r="J297" s="687"/>
      <c r="K297" s="687"/>
      <c r="L297" s="779"/>
      <c r="M297" s="752"/>
    </row>
    <row r="298" spans="1:13" ht="15">
      <c r="A298" s="1195">
        <v>291</v>
      </c>
      <c r="B298" s="1200"/>
      <c r="C298" s="684"/>
      <c r="D298" s="688" t="s">
        <v>1168</v>
      </c>
      <c r="E298" s="1168"/>
      <c r="F298" s="1176"/>
      <c r="G298" s="721"/>
      <c r="H298" s="721"/>
      <c r="I298" s="778"/>
      <c r="J298" s="687">
        <v>90</v>
      </c>
      <c r="K298" s="687"/>
      <c r="L298" s="780">
        <f>SUM(I298:K298)</f>
        <v>90</v>
      </c>
      <c r="M298" s="757"/>
    </row>
    <row r="299" spans="1:13" s="1109" customFormat="1" ht="15">
      <c r="A299" s="1195">
        <v>292</v>
      </c>
      <c r="B299" s="1201"/>
      <c r="C299" s="711"/>
      <c r="D299" s="690" t="s">
        <v>1170</v>
      </c>
      <c r="E299" s="1160"/>
      <c r="F299" s="727"/>
      <c r="G299" s="727"/>
      <c r="H299" s="727"/>
      <c r="I299" s="781"/>
      <c r="J299" s="713"/>
      <c r="K299" s="713"/>
      <c r="L299" s="782">
        <f>SUM(I299:K299)</f>
        <v>0</v>
      </c>
      <c r="M299" s="760"/>
    </row>
    <row r="300" spans="1:13" s="1110" customFormat="1" ht="15">
      <c r="A300" s="1195">
        <v>293</v>
      </c>
      <c r="B300" s="739"/>
      <c r="C300" s="714"/>
      <c r="D300" s="691" t="s">
        <v>1169</v>
      </c>
      <c r="E300" s="738"/>
      <c r="F300" s="728"/>
      <c r="G300" s="728"/>
      <c r="H300" s="728"/>
      <c r="I300" s="786">
        <f>SUM(I298:I299)</f>
        <v>0</v>
      </c>
      <c r="J300" s="728">
        <f>SUM(J298:J299)</f>
        <v>90</v>
      </c>
      <c r="K300" s="728">
        <f>SUM(K298:K299)</f>
        <v>0</v>
      </c>
      <c r="L300" s="779">
        <f>SUM(I300:K300)</f>
        <v>90</v>
      </c>
      <c r="M300" s="759">
        <f>SUM(M298:M299)</f>
        <v>0</v>
      </c>
    </row>
    <row r="301" spans="1:13" s="1108" customFormat="1" ht="15">
      <c r="A301" s="1195">
        <v>294</v>
      </c>
      <c r="B301" s="1200"/>
      <c r="C301" s="684">
        <v>2</v>
      </c>
      <c r="D301" s="716" t="s">
        <v>100</v>
      </c>
      <c r="E301" s="1160" t="s">
        <v>400</v>
      </c>
      <c r="F301" s="721">
        <v>60</v>
      </c>
      <c r="G301" s="716">
        <v>0</v>
      </c>
      <c r="H301" s="716">
        <v>0</v>
      </c>
      <c r="I301" s="778"/>
      <c r="J301" s="687"/>
      <c r="K301" s="687"/>
      <c r="L301" s="779"/>
      <c r="M301" s="752"/>
    </row>
    <row r="302" spans="1:13" ht="15">
      <c r="A302" s="1195">
        <v>295</v>
      </c>
      <c r="B302" s="1200"/>
      <c r="C302" s="684"/>
      <c r="D302" s="688" t="s">
        <v>1168</v>
      </c>
      <c r="E302" s="1168"/>
      <c r="F302" s="1176"/>
      <c r="G302" s="721"/>
      <c r="H302" s="721"/>
      <c r="I302" s="778"/>
      <c r="J302" s="687">
        <v>60</v>
      </c>
      <c r="K302" s="687"/>
      <c r="L302" s="780">
        <f>SUM(I302:K302)</f>
        <v>60</v>
      </c>
      <c r="M302" s="757"/>
    </row>
    <row r="303" spans="1:13" s="1109" customFormat="1" ht="15">
      <c r="A303" s="1195">
        <v>296</v>
      </c>
      <c r="B303" s="1201"/>
      <c r="C303" s="711"/>
      <c r="D303" s="690" t="s">
        <v>1170</v>
      </c>
      <c r="E303" s="1160"/>
      <c r="F303" s="727"/>
      <c r="G303" s="727"/>
      <c r="H303" s="727"/>
      <c r="I303" s="781"/>
      <c r="J303" s="713"/>
      <c r="K303" s="713"/>
      <c r="L303" s="782">
        <f>SUM(I303:K303)</f>
        <v>0</v>
      </c>
      <c r="M303" s="760"/>
    </row>
    <row r="304" spans="1:13" s="1110" customFormat="1" ht="15">
      <c r="A304" s="1195">
        <v>297</v>
      </c>
      <c r="B304" s="739"/>
      <c r="C304" s="714"/>
      <c r="D304" s="691" t="s">
        <v>1169</v>
      </c>
      <c r="E304" s="738"/>
      <c r="F304" s="728"/>
      <c r="G304" s="728"/>
      <c r="H304" s="728"/>
      <c r="I304" s="786">
        <f>SUM(I302:I303)</f>
        <v>0</v>
      </c>
      <c r="J304" s="728">
        <f>SUM(J302:J303)</f>
        <v>60</v>
      </c>
      <c r="K304" s="728">
        <f>SUM(K302:K303)</f>
        <v>0</v>
      </c>
      <c r="L304" s="779">
        <f>SUM(I304:K304)</f>
        <v>60</v>
      </c>
      <c r="M304" s="759">
        <f>SUM(M302:M303)</f>
        <v>0</v>
      </c>
    </row>
    <row r="305" spans="1:13" s="1108" customFormat="1" ht="15">
      <c r="A305" s="1195">
        <v>298</v>
      </c>
      <c r="B305" s="1200"/>
      <c r="C305" s="684">
        <v>3</v>
      </c>
      <c r="D305" s="716" t="s">
        <v>1035</v>
      </c>
      <c r="E305" s="1160" t="s">
        <v>400</v>
      </c>
      <c r="F305" s="721">
        <v>24</v>
      </c>
      <c r="G305" s="716">
        <v>0</v>
      </c>
      <c r="H305" s="716">
        <v>0</v>
      </c>
      <c r="I305" s="778"/>
      <c r="J305" s="687"/>
      <c r="K305" s="687"/>
      <c r="L305" s="779"/>
      <c r="M305" s="752"/>
    </row>
    <row r="306" spans="1:13" ht="15">
      <c r="A306" s="1195">
        <v>299</v>
      </c>
      <c r="B306" s="1200"/>
      <c r="C306" s="684"/>
      <c r="D306" s="688" t="s">
        <v>1168</v>
      </c>
      <c r="E306" s="1168"/>
      <c r="F306" s="1176"/>
      <c r="G306" s="721"/>
      <c r="H306" s="721"/>
      <c r="I306" s="778"/>
      <c r="J306" s="687">
        <v>24</v>
      </c>
      <c r="K306" s="687"/>
      <c r="L306" s="780">
        <f>SUM(I306:K306)</f>
        <v>24</v>
      </c>
      <c r="M306" s="757"/>
    </row>
    <row r="307" spans="1:13" s="1109" customFormat="1" ht="15">
      <c r="A307" s="1195">
        <v>300</v>
      </c>
      <c r="B307" s="1201"/>
      <c r="C307" s="711"/>
      <c r="D307" s="690" t="s">
        <v>1170</v>
      </c>
      <c r="E307" s="1160"/>
      <c r="F307" s="727"/>
      <c r="G307" s="727"/>
      <c r="H307" s="727"/>
      <c r="I307" s="781"/>
      <c r="J307" s="713"/>
      <c r="K307" s="713"/>
      <c r="L307" s="782">
        <f>SUM(I307:K307)</f>
        <v>0</v>
      </c>
      <c r="M307" s="760"/>
    </row>
    <row r="308" spans="1:13" s="1110" customFormat="1" ht="15">
      <c r="A308" s="1195">
        <v>301</v>
      </c>
      <c r="B308" s="739"/>
      <c r="C308" s="714"/>
      <c r="D308" s="691" t="s">
        <v>1169</v>
      </c>
      <c r="E308" s="1160"/>
      <c r="F308" s="721"/>
      <c r="G308" s="728"/>
      <c r="H308" s="728"/>
      <c r="I308" s="786">
        <f>SUM(I306:I307)</f>
        <v>0</v>
      </c>
      <c r="J308" s="728">
        <f>SUM(J306:J307)</f>
        <v>24</v>
      </c>
      <c r="K308" s="728">
        <f>SUM(K306:K307)</f>
        <v>0</v>
      </c>
      <c r="L308" s="779">
        <f>SUM(I308:K308)</f>
        <v>24</v>
      </c>
      <c r="M308" s="759">
        <f>SUM(M306:M307)</f>
        <v>0</v>
      </c>
    </row>
    <row r="309" spans="1:13" s="1108" customFormat="1" ht="15">
      <c r="A309" s="1195">
        <v>302</v>
      </c>
      <c r="B309" s="1200"/>
      <c r="C309" s="684">
        <v>4</v>
      </c>
      <c r="D309" s="716" t="s">
        <v>1036</v>
      </c>
      <c r="E309" s="1152" t="s">
        <v>400</v>
      </c>
      <c r="F309" s="716">
        <v>16</v>
      </c>
      <c r="G309" s="716">
        <v>0</v>
      </c>
      <c r="H309" s="716">
        <v>0</v>
      </c>
      <c r="I309" s="778"/>
      <c r="J309" s="687"/>
      <c r="K309" s="687"/>
      <c r="L309" s="779"/>
      <c r="M309" s="752"/>
    </row>
    <row r="310" spans="1:13" ht="15">
      <c r="A310" s="1195">
        <v>303</v>
      </c>
      <c r="B310" s="1200"/>
      <c r="C310" s="684"/>
      <c r="D310" s="688" t="s">
        <v>1168</v>
      </c>
      <c r="E310" s="1168"/>
      <c r="F310" s="1176"/>
      <c r="G310" s="721"/>
      <c r="H310" s="721"/>
      <c r="I310" s="778"/>
      <c r="J310" s="687">
        <v>16</v>
      </c>
      <c r="K310" s="687"/>
      <c r="L310" s="780">
        <f>SUM(I310:K310)</f>
        <v>16</v>
      </c>
      <c r="M310" s="757"/>
    </row>
    <row r="311" spans="1:13" s="1109" customFormat="1" ht="15">
      <c r="A311" s="1195">
        <v>304</v>
      </c>
      <c r="B311" s="1201"/>
      <c r="C311" s="711"/>
      <c r="D311" s="690" t="s">
        <v>1170</v>
      </c>
      <c r="E311" s="1160"/>
      <c r="F311" s="727"/>
      <c r="G311" s="727"/>
      <c r="H311" s="727"/>
      <c r="I311" s="781"/>
      <c r="J311" s="713"/>
      <c r="K311" s="713"/>
      <c r="L311" s="782">
        <f>SUM(I311:K311)</f>
        <v>0</v>
      </c>
      <c r="M311" s="760"/>
    </row>
    <row r="312" spans="1:13" s="1110" customFormat="1" ht="15">
      <c r="A312" s="1195">
        <v>305</v>
      </c>
      <c r="B312" s="739"/>
      <c r="C312" s="714"/>
      <c r="D312" s="691" t="s">
        <v>1169</v>
      </c>
      <c r="E312" s="738"/>
      <c r="F312" s="728"/>
      <c r="G312" s="728"/>
      <c r="H312" s="728"/>
      <c r="I312" s="786">
        <f>SUM(I310:I311)</f>
        <v>0</v>
      </c>
      <c r="J312" s="728">
        <f>SUM(J310:J311)</f>
        <v>16</v>
      </c>
      <c r="K312" s="728">
        <f>SUM(K310:K311)</f>
        <v>0</v>
      </c>
      <c r="L312" s="779">
        <f>SUM(I312:K312)</f>
        <v>16</v>
      </c>
      <c r="M312" s="759">
        <f>SUM(M310:M311)</f>
        <v>0</v>
      </c>
    </row>
    <row r="313" spans="1:13" s="1108" customFormat="1" ht="15">
      <c r="A313" s="1195">
        <v>306</v>
      </c>
      <c r="B313" s="1200"/>
      <c r="C313" s="684">
        <v>5</v>
      </c>
      <c r="D313" s="716" t="s">
        <v>1037</v>
      </c>
      <c r="E313" s="1160" t="s">
        <v>400</v>
      </c>
      <c r="F313" s="721">
        <v>8</v>
      </c>
      <c r="G313" s="716">
        <v>0</v>
      </c>
      <c r="H313" s="716">
        <v>0</v>
      </c>
      <c r="I313" s="778"/>
      <c r="J313" s="687"/>
      <c r="K313" s="687"/>
      <c r="L313" s="779"/>
      <c r="M313" s="752"/>
    </row>
    <row r="314" spans="1:13" ht="15">
      <c r="A314" s="1195">
        <v>307</v>
      </c>
      <c r="B314" s="1200"/>
      <c r="C314" s="684"/>
      <c r="D314" s="688" t="s">
        <v>1168</v>
      </c>
      <c r="E314" s="1168"/>
      <c r="F314" s="1176"/>
      <c r="G314" s="721"/>
      <c r="H314" s="721"/>
      <c r="I314" s="778"/>
      <c r="J314" s="687">
        <v>8</v>
      </c>
      <c r="K314" s="687"/>
      <c r="L314" s="780">
        <f>SUM(I314:K314)</f>
        <v>8</v>
      </c>
      <c r="M314" s="757"/>
    </row>
    <row r="315" spans="1:13" s="1109" customFormat="1" ht="15">
      <c r="A315" s="1195">
        <v>308</v>
      </c>
      <c r="B315" s="1201"/>
      <c r="C315" s="711"/>
      <c r="D315" s="690" t="s">
        <v>1170</v>
      </c>
      <c r="E315" s="1160"/>
      <c r="F315" s="727"/>
      <c r="G315" s="727"/>
      <c r="H315" s="727"/>
      <c r="I315" s="781"/>
      <c r="J315" s="713"/>
      <c r="K315" s="713"/>
      <c r="L315" s="782">
        <f>SUM(I315:K315)</f>
        <v>0</v>
      </c>
      <c r="M315" s="760"/>
    </row>
    <row r="316" spans="1:13" s="1110" customFormat="1" ht="15">
      <c r="A316" s="1195">
        <v>309</v>
      </c>
      <c r="B316" s="739"/>
      <c r="C316" s="714"/>
      <c r="D316" s="691" t="s">
        <v>1169</v>
      </c>
      <c r="E316" s="1160"/>
      <c r="F316" s="721"/>
      <c r="G316" s="728"/>
      <c r="H316" s="728"/>
      <c r="I316" s="786">
        <f>SUM(I314:I315)</f>
        <v>0</v>
      </c>
      <c r="J316" s="728">
        <f>SUM(J314:J315)</f>
        <v>8</v>
      </c>
      <c r="K316" s="728">
        <f>SUM(K314:K315)</f>
        <v>0</v>
      </c>
      <c r="L316" s="779">
        <f>SUM(I316:K316)</f>
        <v>8</v>
      </c>
      <c r="M316" s="759">
        <f>SUM(M314:M315)</f>
        <v>0</v>
      </c>
    </row>
    <row r="317" spans="1:13" s="1108" customFormat="1" ht="15">
      <c r="A317" s="1195">
        <v>310</v>
      </c>
      <c r="B317" s="1200"/>
      <c r="C317" s="684">
        <v>6</v>
      </c>
      <c r="D317" s="716" t="s">
        <v>1038</v>
      </c>
      <c r="E317" s="1152" t="s">
        <v>400</v>
      </c>
      <c r="F317" s="716">
        <v>8</v>
      </c>
      <c r="G317" s="716">
        <v>0</v>
      </c>
      <c r="H317" s="716">
        <v>0</v>
      </c>
      <c r="I317" s="778"/>
      <c r="J317" s="687"/>
      <c r="K317" s="687"/>
      <c r="L317" s="779"/>
      <c r="M317" s="752"/>
    </row>
    <row r="318" spans="1:13" ht="15">
      <c r="A318" s="1195">
        <v>311</v>
      </c>
      <c r="B318" s="1200"/>
      <c r="C318" s="684"/>
      <c r="D318" s="688" t="s">
        <v>1168</v>
      </c>
      <c r="E318" s="1168"/>
      <c r="F318" s="1176"/>
      <c r="G318" s="721"/>
      <c r="H318" s="721"/>
      <c r="I318" s="778"/>
      <c r="J318" s="687">
        <v>8</v>
      </c>
      <c r="K318" s="687"/>
      <c r="L318" s="780">
        <f>SUM(I318:K318)</f>
        <v>8</v>
      </c>
      <c r="M318" s="757"/>
    </row>
    <row r="319" spans="1:13" s="1109" customFormat="1" ht="15">
      <c r="A319" s="1195">
        <v>312</v>
      </c>
      <c r="B319" s="1201"/>
      <c r="C319" s="711"/>
      <c r="D319" s="690" t="s">
        <v>1170</v>
      </c>
      <c r="E319" s="1160"/>
      <c r="F319" s="727"/>
      <c r="G319" s="727"/>
      <c r="H319" s="727"/>
      <c r="I319" s="781"/>
      <c r="J319" s="713"/>
      <c r="K319" s="713"/>
      <c r="L319" s="782">
        <f>SUM(I319:K319)</f>
        <v>0</v>
      </c>
      <c r="M319" s="760"/>
    </row>
    <row r="320" spans="1:13" s="1110" customFormat="1" ht="15">
      <c r="A320" s="1195">
        <v>313</v>
      </c>
      <c r="B320" s="739"/>
      <c r="C320" s="714"/>
      <c r="D320" s="691" t="s">
        <v>1169</v>
      </c>
      <c r="E320" s="738"/>
      <c r="F320" s="728"/>
      <c r="G320" s="728"/>
      <c r="H320" s="728"/>
      <c r="I320" s="786">
        <f>SUM(I318:I319)</f>
        <v>0</v>
      </c>
      <c r="J320" s="728">
        <f>SUM(J318:J319)</f>
        <v>8</v>
      </c>
      <c r="K320" s="728">
        <f>SUM(K318:K319)</f>
        <v>0</v>
      </c>
      <c r="L320" s="779">
        <f>SUM(I320:K320)</f>
        <v>8</v>
      </c>
      <c r="M320" s="759">
        <f>SUM(M318:M319)</f>
        <v>0</v>
      </c>
    </row>
    <row r="321" spans="1:13" s="1108" customFormat="1" ht="15">
      <c r="A321" s="1195">
        <v>314</v>
      </c>
      <c r="B321" s="1200"/>
      <c r="C321" s="684">
        <v>7</v>
      </c>
      <c r="D321" s="716" t="s">
        <v>1039</v>
      </c>
      <c r="E321" s="1160" t="s">
        <v>400</v>
      </c>
      <c r="F321" s="721">
        <v>29</v>
      </c>
      <c r="G321" s="716">
        <v>0</v>
      </c>
      <c r="H321" s="716">
        <v>0</v>
      </c>
      <c r="I321" s="778"/>
      <c r="J321" s="687"/>
      <c r="K321" s="687"/>
      <c r="L321" s="779"/>
      <c r="M321" s="752"/>
    </row>
    <row r="322" spans="1:13" ht="15">
      <c r="A322" s="1195">
        <v>315</v>
      </c>
      <c r="B322" s="1200"/>
      <c r="C322" s="684"/>
      <c r="D322" s="688" t="s">
        <v>1168</v>
      </c>
      <c r="E322" s="1168"/>
      <c r="F322" s="1176"/>
      <c r="G322" s="721"/>
      <c r="H322" s="721"/>
      <c r="I322" s="778"/>
      <c r="J322" s="687">
        <v>29</v>
      </c>
      <c r="K322" s="687"/>
      <c r="L322" s="780">
        <f>SUM(I322:K322)</f>
        <v>29</v>
      </c>
      <c r="M322" s="757"/>
    </row>
    <row r="323" spans="1:13" s="1109" customFormat="1" ht="15">
      <c r="A323" s="1195">
        <v>316</v>
      </c>
      <c r="B323" s="1201"/>
      <c r="C323" s="711"/>
      <c r="D323" s="690" t="s">
        <v>1170</v>
      </c>
      <c r="E323" s="1160"/>
      <c r="F323" s="727"/>
      <c r="G323" s="727"/>
      <c r="H323" s="727"/>
      <c r="I323" s="781"/>
      <c r="J323" s="713"/>
      <c r="K323" s="713"/>
      <c r="L323" s="782">
        <f aca="true" t="shared" si="2" ref="L323:L392">SUM(I323:K323)</f>
        <v>0</v>
      </c>
      <c r="M323" s="760"/>
    </row>
    <row r="324" spans="1:13" s="1110" customFormat="1" ht="15">
      <c r="A324" s="1195">
        <v>317</v>
      </c>
      <c r="B324" s="739"/>
      <c r="C324" s="714"/>
      <c r="D324" s="691" t="s">
        <v>1169</v>
      </c>
      <c r="E324" s="738"/>
      <c r="F324" s="728"/>
      <c r="G324" s="728"/>
      <c r="H324" s="728"/>
      <c r="I324" s="786">
        <f>SUM(I322:I323)</f>
        <v>0</v>
      </c>
      <c r="J324" s="728">
        <f>SUM(J322:J323)</f>
        <v>29</v>
      </c>
      <c r="K324" s="728">
        <f>SUM(K322:K323)</f>
        <v>0</v>
      </c>
      <c r="L324" s="779">
        <f t="shared" si="2"/>
        <v>29</v>
      </c>
      <c r="M324" s="759">
        <f>SUM(M322:M323)</f>
        <v>0</v>
      </c>
    </row>
    <row r="325" spans="1:13" s="1108" customFormat="1" ht="15">
      <c r="A325" s="1195">
        <v>318</v>
      </c>
      <c r="B325" s="1200"/>
      <c r="C325" s="684">
        <v>8</v>
      </c>
      <c r="D325" s="716" t="s">
        <v>1040</v>
      </c>
      <c r="E325" s="1160" t="s">
        <v>400</v>
      </c>
      <c r="F325" s="721">
        <v>48</v>
      </c>
      <c r="G325" s="716">
        <v>0</v>
      </c>
      <c r="H325" s="716">
        <v>0</v>
      </c>
      <c r="I325" s="778"/>
      <c r="J325" s="687"/>
      <c r="K325" s="687"/>
      <c r="L325" s="779"/>
      <c r="M325" s="752"/>
    </row>
    <row r="326" spans="1:13" ht="15">
      <c r="A326" s="1195">
        <v>319</v>
      </c>
      <c r="B326" s="1200"/>
      <c r="C326" s="684"/>
      <c r="D326" s="688" t="s">
        <v>1168</v>
      </c>
      <c r="E326" s="1160"/>
      <c r="F326" s="727"/>
      <c r="G326" s="721"/>
      <c r="H326" s="721"/>
      <c r="I326" s="778"/>
      <c r="J326" s="687">
        <v>48</v>
      </c>
      <c r="K326" s="687"/>
      <c r="L326" s="780">
        <f t="shared" si="2"/>
        <v>48</v>
      </c>
      <c r="M326" s="757"/>
    </row>
    <row r="327" spans="1:13" s="1109" customFormat="1" ht="15">
      <c r="A327" s="1195">
        <v>320</v>
      </c>
      <c r="B327" s="1201"/>
      <c r="C327" s="711"/>
      <c r="D327" s="690" t="s">
        <v>1170</v>
      </c>
      <c r="E327" s="738"/>
      <c r="F327" s="728"/>
      <c r="G327" s="727"/>
      <c r="H327" s="727"/>
      <c r="I327" s="781"/>
      <c r="J327" s="713"/>
      <c r="K327" s="713"/>
      <c r="L327" s="782">
        <f t="shared" si="2"/>
        <v>0</v>
      </c>
      <c r="M327" s="760"/>
    </row>
    <row r="328" spans="1:13" s="1110" customFormat="1" ht="15">
      <c r="A328" s="1195">
        <v>321</v>
      </c>
      <c r="B328" s="739"/>
      <c r="C328" s="714"/>
      <c r="D328" s="691" t="s">
        <v>1169</v>
      </c>
      <c r="E328" s="1152"/>
      <c r="F328" s="716"/>
      <c r="G328" s="728"/>
      <c r="H328" s="728"/>
      <c r="I328" s="786">
        <f>SUM(I326:I327)</f>
        <v>0</v>
      </c>
      <c r="J328" s="728">
        <f>SUM(J326:J327)</f>
        <v>48</v>
      </c>
      <c r="K328" s="728">
        <f>SUM(K326:K327)</f>
        <v>0</v>
      </c>
      <c r="L328" s="779">
        <f t="shared" si="2"/>
        <v>48</v>
      </c>
      <c r="M328" s="759">
        <f>SUM(M326:M327)</f>
        <v>0</v>
      </c>
    </row>
    <row r="329" spans="1:13" s="1108" customFormat="1" ht="15">
      <c r="A329" s="1195">
        <v>322</v>
      </c>
      <c r="B329" s="1200"/>
      <c r="C329" s="684">
        <v>9</v>
      </c>
      <c r="D329" s="716" t="s">
        <v>1041</v>
      </c>
      <c r="E329" s="1160" t="s">
        <v>400</v>
      </c>
      <c r="F329" s="721">
        <v>92</v>
      </c>
      <c r="G329" s="716">
        <v>0</v>
      </c>
      <c r="H329" s="716">
        <v>0</v>
      </c>
      <c r="I329" s="778"/>
      <c r="J329" s="687"/>
      <c r="K329" s="687"/>
      <c r="L329" s="779"/>
      <c r="M329" s="752"/>
    </row>
    <row r="330" spans="1:13" ht="15">
      <c r="A330" s="1195">
        <v>323</v>
      </c>
      <c r="B330" s="1200"/>
      <c r="C330" s="684"/>
      <c r="D330" s="688" t="s">
        <v>1168</v>
      </c>
      <c r="E330" s="1160"/>
      <c r="F330" s="727"/>
      <c r="G330" s="721"/>
      <c r="H330" s="721"/>
      <c r="I330" s="778"/>
      <c r="J330" s="687">
        <v>92</v>
      </c>
      <c r="K330" s="687"/>
      <c r="L330" s="780">
        <f t="shared" si="2"/>
        <v>92</v>
      </c>
      <c r="M330" s="757"/>
    </row>
    <row r="331" spans="1:13" s="1109" customFormat="1" ht="15">
      <c r="A331" s="1195">
        <v>324</v>
      </c>
      <c r="B331" s="1201"/>
      <c r="C331" s="711"/>
      <c r="D331" s="690" t="s">
        <v>1170</v>
      </c>
      <c r="E331" s="738"/>
      <c r="F331" s="728"/>
      <c r="G331" s="727"/>
      <c r="H331" s="727"/>
      <c r="I331" s="781"/>
      <c r="J331" s="713"/>
      <c r="K331" s="713"/>
      <c r="L331" s="782">
        <f t="shared" si="2"/>
        <v>0</v>
      </c>
      <c r="M331" s="760"/>
    </row>
    <row r="332" spans="1:13" s="1110" customFormat="1" ht="15">
      <c r="A332" s="1195">
        <v>325</v>
      </c>
      <c r="B332" s="739"/>
      <c r="C332" s="714"/>
      <c r="D332" s="691" t="s">
        <v>1169</v>
      </c>
      <c r="E332" s="1152"/>
      <c r="F332" s="716"/>
      <c r="G332" s="728"/>
      <c r="H332" s="728"/>
      <c r="I332" s="786">
        <f>SUM(I330:I331)</f>
        <v>0</v>
      </c>
      <c r="J332" s="728">
        <f>SUM(J330:J331)</f>
        <v>92</v>
      </c>
      <c r="K332" s="728">
        <f>SUM(K330:K331)</f>
        <v>0</v>
      </c>
      <c r="L332" s="779">
        <f t="shared" si="2"/>
        <v>92</v>
      </c>
      <c r="M332" s="759">
        <f>SUM(M330:M331)</f>
        <v>0</v>
      </c>
    </row>
    <row r="333" spans="1:13" s="1108" customFormat="1" ht="15">
      <c r="A333" s="1195">
        <v>326</v>
      </c>
      <c r="B333" s="1200"/>
      <c r="C333" s="684">
        <v>10</v>
      </c>
      <c r="D333" s="716" t="s">
        <v>1042</v>
      </c>
      <c r="E333" s="1160" t="s">
        <v>400</v>
      </c>
      <c r="F333" s="721">
        <v>85</v>
      </c>
      <c r="G333" s="716">
        <v>0</v>
      </c>
      <c r="H333" s="716">
        <v>0</v>
      </c>
      <c r="I333" s="778"/>
      <c r="J333" s="687"/>
      <c r="K333" s="687"/>
      <c r="L333" s="779"/>
      <c r="M333" s="752"/>
    </row>
    <row r="334" spans="1:13" ht="15">
      <c r="A334" s="1195">
        <v>327</v>
      </c>
      <c r="B334" s="1200"/>
      <c r="C334" s="684"/>
      <c r="D334" s="688" t="s">
        <v>1168</v>
      </c>
      <c r="E334" s="1160"/>
      <c r="F334" s="727"/>
      <c r="G334" s="721"/>
      <c r="H334" s="721"/>
      <c r="I334" s="778"/>
      <c r="J334" s="687">
        <v>85</v>
      </c>
      <c r="K334" s="687"/>
      <c r="L334" s="780">
        <f t="shared" si="2"/>
        <v>85</v>
      </c>
      <c r="M334" s="757"/>
    </row>
    <row r="335" spans="1:13" s="1109" customFormat="1" ht="15">
      <c r="A335" s="1195">
        <v>328</v>
      </c>
      <c r="B335" s="1201"/>
      <c r="C335" s="711"/>
      <c r="D335" s="690" t="s">
        <v>1170</v>
      </c>
      <c r="E335" s="738"/>
      <c r="F335" s="728"/>
      <c r="G335" s="727"/>
      <c r="H335" s="727"/>
      <c r="I335" s="781"/>
      <c r="J335" s="713"/>
      <c r="K335" s="713"/>
      <c r="L335" s="782">
        <f t="shared" si="2"/>
        <v>0</v>
      </c>
      <c r="M335" s="760"/>
    </row>
    <row r="336" spans="1:13" s="1110" customFormat="1" ht="15">
      <c r="A336" s="1195">
        <v>329</v>
      </c>
      <c r="B336" s="739"/>
      <c r="C336" s="714"/>
      <c r="D336" s="691" t="s">
        <v>1169</v>
      </c>
      <c r="E336" s="1160"/>
      <c r="F336" s="721"/>
      <c r="G336" s="728"/>
      <c r="H336" s="728"/>
      <c r="I336" s="786">
        <f>SUM(I334:I335)</f>
        <v>0</v>
      </c>
      <c r="J336" s="728">
        <f>SUM(J334:J335)</f>
        <v>85</v>
      </c>
      <c r="K336" s="728">
        <f>SUM(K334:K335)</f>
        <v>0</v>
      </c>
      <c r="L336" s="779">
        <f t="shared" si="2"/>
        <v>85</v>
      </c>
      <c r="M336" s="759">
        <f>SUM(M334:M335)</f>
        <v>0</v>
      </c>
    </row>
    <row r="337" spans="1:13" ht="15">
      <c r="A337" s="1195">
        <v>330</v>
      </c>
      <c r="B337" s="1200"/>
      <c r="C337" s="684">
        <v>11</v>
      </c>
      <c r="D337" s="688" t="s">
        <v>290</v>
      </c>
      <c r="E337" s="1160" t="s">
        <v>400</v>
      </c>
      <c r="F337" s="721">
        <v>300</v>
      </c>
      <c r="G337" s="721">
        <v>0</v>
      </c>
      <c r="H337" s="721">
        <v>0</v>
      </c>
      <c r="I337" s="778"/>
      <c r="J337" s="687"/>
      <c r="K337" s="687"/>
      <c r="L337" s="779"/>
      <c r="M337" s="757"/>
    </row>
    <row r="338" spans="1:13" s="1109" customFormat="1" ht="15">
      <c r="A338" s="1195">
        <v>331</v>
      </c>
      <c r="B338" s="1201"/>
      <c r="C338" s="711"/>
      <c r="D338" s="690" t="s">
        <v>1170</v>
      </c>
      <c r="E338" s="1186"/>
      <c r="F338" s="1186"/>
      <c r="G338" s="727"/>
      <c r="H338" s="727"/>
      <c r="I338" s="781"/>
      <c r="J338" s="713">
        <v>300</v>
      </c>
      <c r="K338" s="713"/>
      <c r="L338" s="782">
        <f>SUM(I338:K338)</f>
        <v>300</v>
      </c>
      <c r="M338" s="760"/>
    </row>
    <row r="339" spans="1:13" s="1110" customFormat="1" ht="15">
      <c r="A339" s="1195">
        <v>332</v>
      </c>
      <c r="B339" s="739"/>
      <c r="C339" s="714"/>
      <c r="D339" s="691" t="s">
        <v>1169</v>
      </c>
      <c r="E339" s="1153"/>
      <c r="F339" s="728"/>
      <c r="G339" s="728"/>
      <c r="H339" s="728"/>
      <c r="I339" s="786">
        <f>SUM(I338)</f>
        <v>0</v>
      </c>
      <c r="J339" s="728">
        <f>SUM(J338)</f>
        <v>300</v>
      </c>
      <c r="K339" s="728">
        <f>SUM(K338)</f>
        <v>0</v>
      </c>
      <c r="L339" s="1101">
        <f>SUM(L338)</f>
        <v>300</v>
      </c>
      <c r="M339" s="1102">
        <f>SUM(M338)</f>
        <v>0</v>
      </c>
    </row>
    <row r="340" spans="1:13" ht="19.5" customHeight="1">
      <c r="A340" s="1212">
        <v>333</v>
      </c>
      <c r="B340" s="683">
        <v>2</v>
      </c>
      <c r="C340" s="694"/>
      <c r="D340" s="685" t="s">
        <v>1043</v>
      </c>
      <c r="E340" s="1160"/>
      <c r="F340" s="686"/>
      <c r="G340" s="692"/>
      <c r="H340" s="692"/>
      <c r="I340" s="795"/>
      <c r="J340" s="689"/>
      <c r="K340" s="689"/>
      <c r="L340" s="779"/>
      <c r="M340" s="769"/>
    </row>
    <row r="341" spans="1:13" s="1108" customFormat="1" ht="15">
      <c r="A341" s="1195">
        <v>334</v>
      </c>
      <c r="B341" s="1200"/>
      <c r="C341" s="684">
        <v>1</v>
      </c>
      <c r="D341" s="716" t="s">
        <v>1044</v>
      </c>
      <c r="E341" s="1160" t="s">
        <v>400</v>
      </c>
      <c r="F341" s="721">
        <v>120</v>
      </c>
      <c r="G341" s="716">
        <v>0</v>
      </c>
      <c r="H341" s="716">
        <v>0</v>
      </c>
      <c r="I341" s="778"/>
      <c r="J341" s="687"/>
      <c r="K341" s="687"/>
      <c r="L341" s="779"/>
      <c r="M341" s="752"/>
    </row>
    <row r="342" spans="1:13" ht="15">
      <c r="A342" s="1195">
        <v>335</v>
      </c>
      <c r="B342" s="1200"/>
      <c r="C342" s="684"/>
      <c r="D342" s="688" t="s">
        <v>1168</v>
      </c>
      <c r="E342" s="1168"/>
      <c r="F342" s="1176"/>
      <c r="G342" s="721"/>
      <c r="H342" s="721"/>
      <c r="I342" s="778"/>
      <c r="J342" s="687">
        <v>120</v>
      </c>
      <c r="K342" s="687"/>
      <c r="L342" s="780">
        <f t="shared" si="2"/>
        <v>120</v>
      </c>
      <c r="M342" s="757"/>
    </row>
    <row r="343" spans="1:13" s="1109" customFormat="1" ht="15">
      <c r="A343" s="1195">
        <v>336</v>
      </c>
      <c r="B343" s="1201"/>
      <c r="C343" s="711"/>
      <c r="D343" s="690" t="s">
        <v>1170</v>
      </c>
      <c r="E343" s="1160"/>
      <c r="F343" s="727"/>
      <c r="G343" s="727"/>
      <c r="H343" s="727"/>
      <c r="I343" s="781"/>
      <c r="J343" s="713"/>
      <c r="K343" s="713"/>
      <c r="L343" s="782">
        <f t="shared" si="2"/>
        <v>0</v>
      </c>
      <c r="M343" s="760"/>
    </row>
    <row r="344" spans="1:13" s="1110" customFormat="1" ht="15">
      <c r="A344" s="1195">
        <v>337</v>
      </c>
      <c r="B344" s="739"/>
      <c r="C344" s="714"/>
      <c r="D344" s="691" t="s">
        <v>1169</v>
      </c>
      <c r="E344" s="738"/>
      <c r="F344" s="728"/>
      <c r="G344" s="728"/>
      <c r="H344" s="728"/>
      <c r="I344" s="786">
        <f>SUM(I342:I343)</f>
        <v>0</v>
      </c>
      <c r="J344" s="728">
        <f>SUM(J342:J343)</f>
        <v>120</v>
      </c>
      <c r="K344" s="728">
        <f>SUM(K342:K343)</f>
        <v>0</v>
      </c>
      <c r="L344" s="779">
        <f t="shared" si="2"/>
        <v>120</v>
      </c>
      <c r="M344" s="759">
        <f>SUM(M342:M343)</f>
        <v>0</v>
      </c>
    </row>
    <row r="345" spans="1:13" ht="15">
      <c r="A345" s="1195">
        <v>338</v>
      </c>
      <c r="B345" s="1200"/>
      <c r="C345" s="684">
        <v>2</v>
      </c>
      <c r="D345" s="688" t="s">
        <v>291</v>
      </c>
      <c r="E345" s="1160" t="s">
        <v>400</v>
      </c>
      <c r="F345" s="721">
        <v>300</v>
      </c>
      <c r="G345" s="721">
        <v>0</v>
      </c>
      <c r="H345" s="721">
        <v>0</v>
      </c>
      <c r="I345" s="778"/>
      <c r="J345" s="687"/>
      <c r="K345" s="687"/>
      <c r="L345" s="779"/>
      <c r="M345" s="757"/>
    </row>
    <row r="346" spans="1:13" s="1109" customFormat="1" ht="15">
      <c r="A346" s="1195">
        <v>339</v>
      </c>
      <c r="B346" s="1201"/>
      <c r="C346" s="711"/>
      <c r="D346" s="690" t="s">
        <v>1170</v>
      </c>
      <c r="E346" s="1186"/>
      <c r="F346" s="727"/>
      <c r="G346" s="727"/>
      <c r="H346" s="727"/>
      <c r="I346" s="781"/>
      <c r="J346" s="713">
        <v>300</v>
      </c>
      <c r="K346" s="713"/>
      <c r="L346" s="782">
        <f>SUM(I346:K346)</f>
        <v>300</v>
      </c>
      <c r="M346" s="760"/>
    </row>
    <row r="347" spans="1:13" s="1110" customFormat="1" ht="15">
      <c r="A347" s="1195">
        <v>340</v>
      </c>
      <c r="B347" s="739"/>
      <c r="C347" s="714"/>
      <c r="D347" s="691" t="s">
        <v>1169</v>
      </c>
      <c r="E347" s="1153"/>
      <c r="F347" s="728"/>
      <c r="G347" s="728"/>
      <c r="H347" s="728"/>
      <c r="I347" s="786">
        <f>SUM(I346)</f>
        <v>0</v>
      </c>
      <c r="J347" s="728">
        <f>SUM(J346)</f>
        <v>300</v>
      </c>
      <c r="K347" s="728">
        <f>SUM(K346)</f>
        <v>0</v>
      </c>
      <c r="L347" s="1101">
        <f>SUM(L346)</f>
        <v>300</v>
      </c>
      <c r="M347" s="1102">
        <f>SUM(M346)</f>
        <v>0</v>
      </c>
    </row>
    <row r="348" spans="1:13" ht="19.5" customHeight="1">
      <c r="A348" s="1212">
        <v>341</v>
      </c>
      <c r="B348" s="683">
        <v>3</v>
      </c>
      <c r="C348" s="694"/>
      <c r="D348" s="685" t="s">
        <v>1187</v>
      </c>
      <c r="E348" s="1160"/>
      <c r="F348" s="686"/>
      <c r="G348" s="692"/>
      <c r="H348" s="692"/>
      <c r="I348" s="795"/>
      <c r="J348" s="689"/>
      <c r="K348" s="689"/>
      <c r="L348" s="779"/>
      <c r="M348" s="769"/>
    </row>
    <row r="349" spans="1:13" s="1108" customFormat="1" ht="15">
      <c r="A349" s="1195">
        <v>342</v>
      </c>
      <c r="B349" s="1200"/>
      <c r="C349" s="684">
        <v>1</v>
      </c>
      <c r="D349" s="716" t="s">
        <v>1045</v>
      </c>
      <c r="E349" s="1160" t="s">
        <v>400</v>
      </c>
      <c r="F349" s="721">
        <v>500</v>
      </c>
      <c r="G349" s="716">
        <v>0</v>
      </c>
      <c r="H349" s="716">
        <v>0</v>
      </c>
      <c r="I349" s="778"/>
      <c r="J349" s="687"/>
      <c r="K349" s="687"/>
      <c r="L349" s="779"/>
      <c r="M349" s="752"/>
    </row>
    <row r="350" spans="1:13" ht="15">
      <c r="A350" s="1195">
        <v>343</v>
      </c>
      <c r="B350" s="1200"/>
      <c r="C350" s="684"/>
      <c r="D350" s="688" t="s">
        <v>1168</v>
      </c>
      <c r="E350" s="1160"/>
      <c r="F350" s="727"/>
      <c r="G350" s="721"/>
      <c r="H350" s="721"/>
      <c r="I350" s="778"/>
      <c r="J350" s="687">
        <v>500</v>
      </c>
      <c r="K350" s="687"/>
      <c r="L350" s="780">
        <f t="shared" si="2"/>
        <v>500</v>
      </c>
      <c r="M350" s="757"/>
    </row>
    <row r="351" spans="1:13" s="1109" customFormat="1" ht="15">
      <c r="A351" s="1195">
        <v>344</v>
      </c>
      <c r="B351" s="1201"/>
      <c r="C351" s="711"/>
      <c r="D351" s="690" t="s">
        <v>1170</v>
      </c>
      <c r="E351" s="738"/>
      <c r="F351" s="728"/>
      <c r="G351" s="727"/>
      <c r="H351" s="727"/>
      <c r="I351" s="781"/>
      <c r="J351" s="713"/>
      <c r="K351" s="713"/>
      <c r="L351" s="782">
        <f t="shared" si="2"/>
        <v>0</v>
      </c>
      <c r="M351" s="760"/>
    </row>
    <row r="352" spans="1:13" s="1110" customFormat="1" ht="15">
      <c r="A352" s="1195">
        <v>345</v>
      </c>
      <c r="B352" s="739"/>
      <c r="C352" s="714"/>
      <c r="D352" s="691" t="s">
        <v>1169</v>
      </c>
      <c r="E352" s="1152"/>
      <c r="F352" s="716"/>
      <c r="G352" s="728"/>
      <c r="H352" s="728"/>
      <c r="I352" s="786">
        <f>SUM(I350:I351)</f>
        <v>0</v>
      </c>
      <c r="J352" s="728">
        <f>SUM(J350:J351)</f>
        <v>500</v>
      </c>
      <c r="K352" s="728">
        <f>SUM(K350:K351)</f>
        <v>0</v>
      </c>
      <c r="L352" s="779">
        <f t="shared" si="2"/>
        <v>500</v>
      </c>
      <c r="M352" s="759">
        <f>SUM(M350:M351)</f>
        <v>0</v>
      </c>
    </row>
    <row r="353" spans="1:13" s="1108" customFormat="1" ht="15">
      <c r="A353" s="1195">
        <v>346</v>
      </c>
      <c r="B353" s="1200"/>
      <c r="C353" s="684">
        <v>2</v>
      </c>
      <c r="D353" s="716" t="s">
        <v>101</v>
      </c>
      <c r="E353" s="1160" t="s">
        <v>400</v>
      </c>
      <c r="F353" s="721">
        <v>315</v>
      </c>
      <c r="G353" s="716">
        <v>0</v>
      </c>
      <c r="H353" s="716">
        <v>0</v>
      </c>
      <c r="I353" s="778"/>
      <c r="J353" s="687"/>
      <c r="K353" s="687"/>
      <c r="L353" s="779"/>
      <c r="M353" s="752"/>
    </row>
    <row r="354" spans="1:13" ht="15">
      <c r="A354" s="1195">
        <v>347</v>
      </c>
      <c r="B354" s="1200"/>
      <c r="C354" s="684"/>
      <c r="D354" s="688" t="s">
        <v>1168</v>
      </c>
      <c r="E354" s="1160"/>
      <c r="F354" s="727"/>
      <c r="G354" s="721"/>
      <c r="H354" s="721"/>
      <c r="I354" s="778"/>
      <c r="J354" s="687">
        <v>315</v>
      </c>
      <c r="K354" s="687"/>
      <c r="L354" s="780">
        <f t="shared" si="2"/>
        <v>315</v>
      </c>
      <c r="M354" s="757"/>
    </row>
    <row r="355" spans="1:13" s="1109" customFormat="1" ht="15">
      <c r="A355" s="1195">
        <v>348</v>
      </c>
      <c r="B355" s="1201"/>
      <c r="C355" s="711"/>
      <c r="D355" s="690" t="s">
        <v>1170</v>
      </c>
      <c r="E355" s="738"/>
      <c r="F355" s="728"/>
      <c r="G355" s="727"/>
      <c r="H355" s="727"/>
      <c r="I355" s="781"/>
      <c r="J355" s="713"/>
      <c r="K355" s="713"/>
      <c r="L355" s="782">
        <f t="shared" si="2"/>
        <v>0</v>
      </c>
      <c r="M355" s="760"/>
    </row>
    <row r="356" spans="1:13" s="1110" customFormat="1" ht="15">
      <c r="A356" s="1195">
        <v>349</v>
      </c>
      <c r="B356" s="739"/>
      <c r="C356" s="714"/>
      <c r="D356" s="691" t="s">
        <v>1169</v>
      </c>
      <c r="E356" s="1152"/>
      <c r="F356" s="716"/>
      <c r="G356" s="728"/>
      <c r="H356" s="728"/>
      <c r="I356" s="786">
        <f>SUM(I354:I355)</f>
        <v>0</v>
      </c>
      <c r="J356" s="728">
        <f>SUM(J354:J355)</f>
        <v>315</v>
      </c>
      <c r="K356" s="728">
        <f>SUM(K354:K355)</f>
        <v>0</v>
      </c>
      <c r="L356" s="779">
        <f t="shared" si="2"/>
        <v>315</v>
      </c>
      <c r="M356" s="759">
        <f>SUM(M354:M355)</f>
        <v>0</v>
      </c>
    </row>
    <row r="357" spans="1:13" s="1108" customFormat="1" ht="15">
      <c r="A357" s="1195">
        <v>350</v>
      </c>
      <c r="B357" s="1200"/>
      <c r="C357" s="684">
        <v>3</v>
      </c>
      <c r="D357" s="716" t="s">
        <v>102</v>
      </c>
      <c r="E357" s="1160" t="s">
        <v>400</v>
      </c>
      <c r="F357" s="721">
        <v>100</v>
      </c>
      <c r="G357" s="716">
        <v>0</v>
      </c>
      <c r="H357" s="716">
        <v>0</v>
      </c>
      <c r="I357" s="778"/>
      <c r="J357" s="687"/>
      <c r="K357" s="687"/>
      <c r="L357" s="779"/>
      <c r="M357" s="752"/>
    </row>
    <row r="358" spans="1:13" ht="15">
      <c r="A358" s="1195">
        <v>351</v>
      </c>
      <c r="B358" s="1200"/>
      <c r="C358" s="684"/>
      <c r="D358" s="688" t="s">
        <v>1168</v>
      </c>
      <c r="E358" s="1160"/>
      <c r="F358" s="727"/>
      <c r="G358" s="721"/>
      <c r="H358" s="721"/>
      <c r="I358" s="778"/>
      <c r="J358" s="687">
        <v>100</v>
      </c>
      <c r="K358" s="687"/>
      <c r="L358" s="780">
        <f t="shared" si="2"/>
        <v>100</v>
      </c>
      <c r="M358" s="757"/>
    </row>
    <row r="359" spans="1:13" s="1109" customFormat="1" ht="15">
      <c r="A359" s="1195">
        <v>352</v>
      </c>
      <c r="B359" s="1201"/>
      <c r="C359" s="711"/>
      <c r="D359" s="690" t="s">
        <v>1170</v>
      </c>
      <c r="E359" s="738"/>
      <c r="F359" s="728"/>
      <c r="G359" s="727"/>
      <c r="H359" s="727"/>
      <c r="I359" s="781"/>
      <c r="J359" s="713"/>
      <c r="K359" s="713"/>
      <c r="L359" s="782">
        <f t="shared" si="2"/>
        <v>0</v>
      </c>
      <c r="M359" s="760"/>
    </row>
    <row r="360" spans="1:13" s="1110" customFormat="1" ht="15">
      <c r="A360" s="1195">
        <v>353</v>
      </c>
      <c r="B360" s="739"/>
      <c r="C360" s="714"/>
      <c r="D360" s="691" t="s">
        <v>1169</v>
      </c>
      <c r="E360" s="1152"/>
      <c r="F360" s="716"/>
      <c r="G360" s="728"/>
      <c r="H360" s="728"/>
      <c r="I360" s="786">
        <f>SUM(I358:I359)</f>
        <v>0</v>
      </c>
      <c r="J360" s="728">
        <f>SUM(J358:J359)</f>
        <v>100</v>
      </c>
      <c r="K360" s="728">
        <f>SUM(K358:K359)</f>
        <v>0</v>
      </c>
      <c r="L360" s="779">
        <f t="shared" si="2"/>
        <v>100</v>
      </c>
      <c r="M360" s="759">
        <f>SUM(M358:M359)</f>
        <v>0</v>
      </c>
    </row>
    <row r="361" spans="1:13" s="1108" customFormat="1" ht="15">
      <c r="A361" s="1195">
        <v>354</v>
      </c>
      <c r="B361" s="1200"/>
      <c r="C361" s="684">
        <v>4</v>
      </c>
      <c r="D361" s="716" t="s">
        <v>103</v>
      </c>
      <c r="E361" s="1160" t="s">
        <v>400</v>
      </c>
      <c r="F361" s="721">
        <v>150</v>
      </c>
      <c r="G361" s="716">
        <v>0</v>
      </c>
      <c r="H361" s="716">
        <v>0</v>
      </c>
      <c r="I361" s="778"/>
      <c r="J361" s="687"/>
      <c r="K361" s="687"/>
      <c r="L361" s="779"/>
      <c r="M361" s="752"/>
    </row>
    <row r="362" spans="1:13" ht="15">
      <c r="A362" s="1195">
        <v>355</v>
      </c>
      <c r="B362" s="1200"/>
      <c r="C362" s="684"/>
      <c r="D362" s="688" t="s">
        <v>1168</v>
      </c>
      <c r="E362" s="1168"/>
      <c r="F362" s="1176"/>
      <c r="G362" s="721"/>
      <c r="H362" s="721"/>
      <c r="I362" s="778"/>
      <c r="J362" s="687">
        <v>150</v>
      </c>
      <c r="K362" s="687"/>
      <c r="L362" s="780">
        <f t="shared" si="2"/>
        <v>150</v>
      </c>
      <c r="M362" s="757"/>
    </row>
    <row r="363" spans="1:13" s="1109" customFormat="1" ht="15">
      <c r="A363" s="1195">
        <v>356</v>
      </c>
      <c r="B363" s="1201"/>
      <c r="C363" s="711"/>
      <c r="D363" s="690" t="s">
        <v>1170</v>
      </c>
      <c r="E363" s="1160"/>
      <c r="F363" s="727"/>
      <c r="G363" s="727"/>
      <c r="H363" s="727"/>
      <c r="I363" s="781"/>
      <c r="J363" s="713"/>
      <c r="K363" s="713"/>
      <c r="L363" s="782">
        <f t="shared" si="2"/>
        <v>0</v>
      </c>
      <c r="M363" s="760"/>
    </row>
    <row r="364" spans="1:13" s="1110" customFormat="1" ht="15">
      <c r="A364" s="1195">
        <v>357</v>
      </c>
      <c r="B364" s="739"/>
      <c r="C364" s="714"/>
      <c r="D364" s="691" t="s">
        <v>1169</v>
      </c>
      <c r="E364" s="738"/>
      <c r="F364" s="728"/>
      <c r="G364" s="728"/>
      <c r="H364" s="728"/>
      <c r="I364" s="786">
        <f>SUM(I362:I363)</f>
        <v>0</v>
      </c>
      <c r="J364" s="728">
        <f>SUM(J362:J363)</f>
        <v>150</v>
      </c>
      <c r="K364" s="728">
        <f>SUM(K362:K363)</f>
        <v>0</v>
      </c>
      <c r="L364" s="779">
        <f t="shared" si="2"/>
        <v>150</v>
      </c>
      <c r="M364" s="759">
        <f>SUM(M362:M363)</f>
        <v>0</v>
      </c>
    </row>
    <row r="365" spans="1:13" s="1108" customFormat="1" ht="15">
      <c r="A365" s="1195">
        <v>358</v>
      </c>
      <c r="B365" s="1200"/>
      <c r="C365" s="684">
        <v>5</v>
      </c>
      <c r="D365" s="716" t="s">
        <v>1046</v>
      </c>
      <c r="E365" s="1160" t="s">
        <v>400</v>
      </c>
      <c r="F365" s="721">
        <v>300</v>
      </c>
      <c r="G365" s="716">
        <v>0</v>
      </c>
      <c r="H365" s="716">
        <v>0</v>
      </c>
      <c r="I365" s="778"/>
      <c r="J365" s="687"/>
      <c r="K365" s="687"/>
      <c r="L365" s="779"/>
      <c r="M365" s="752"/>
    </row>
    <row r="366" spans="1:13" ht="15">
      <c r="A366" s="1195">
        <v>359</v>
      </c>
      <c r="B366" s="1200"/>
      <c r="C366" s="684"/>
      <c r="D366" s="688" t="s">
        <v>1168</v>
      </c>
      <c r="E366" s="1160"/>
      <c r="F366" s="727"/>
      <c r="G366" s="721"/>
      <c r="H366" s="721"/>
      <c r="I366" s="778"/>
      <c r="J366" s="687">
        <v>300</v>
      </c>
      <c r="K366" s="687"/>
      <c r="L366" s="780">
        <f t="shared" si="2"/>
        <v>300</v>
      </c>
      <c r="M366" s="757"/>
    </row>
    <row r="367" spans="1:13" s="1109" customFormat="1" ht="15">
      <c r="A367" s="1195">
        <v>360</v>
      </c>
      <c r="B367" s="1201"/>
      <c r="C367" s="711"/>
      <c r="D367" s="690" t="s">
        <v>1170</v>
      </c>
      <c r="E367" s="738"/>
      <c r="F367" s="728"/>
      <c r="G367" s="727"/>
      <c r="H367" s="727"/>
      <c r="I367" s="781"/>
      <c r="J367" s="713"/>
      <c r="K367" s="713"/>
      <c r="L367" s="782">
        <f t="shared" si="2"/>
        <v>0</v>
      </c>
      <c r="M367" s="760"/>
    </row>
    <row r="368" spans="1:13" s="1110" customFormat="1" ht="15">
      <c r="A368" s="1195">
        <v>361</v>
      </c>
      <c r="B368" s="739"/>
      <c r="C368" s="714"/>
      <c r="D368" s="691" t="s">
        <v>1169</v>
      </c>
      <c r="E368" s="1152"/>
      <c r="F368" s="716"/>
      <c r="G368" s="728"/>
      <c r="H368" s="728"/>
      <c r="I368" s="786">
        <f>SUM(I366:I367)</f>
        <v>0</v>
      </c>
      <c r="J368" s="728">
        <f>SUM(J366:J367)</f>
        <v>300</v>
      </c>
      <c r="K368" s="728">
        <f>SUM(K366:K367)</f>
        <v>0</v>
      </c>
      <c r="L368" s="779">
        <f t="shared" si="2"/>
        <v>300</v>
      </c>
      <c r="M368" s="759">
        <f>SUM(M366:M367)</f>
        <v>0</v>
      </c>
    </row>
    <row r="369" spans="1:13" s="1108" customFormat="1" ht="15">
      <c r="A369" s="1195">
        <v>362</v>
      </c>
      <c r="B369" s="1200"/>
      <c r="C369" s="684">
        <v>6</v>
      </c>
      <c r="D369" s="716" t="s">
        <v>1047</v>
      </c>
      <c r="E369" s="1160" t="s">
        <v>400</v>
      </c>
      <c r="F369" s="721">
        <v>400</v>
      </c>
      <c r="G369" s="716">
        <v>0</v>
      </c>
      <c r="H369" s="716">
        <v>0</v>
      </c>
      <c r="I369" s="778"/>
      <c r="J369" s="687"/>
      <c r="K369" s="687"/>
      <c r="L369" s="779"/>
      <c r="M369" s="752"/>
    </row>
    <row r="370" spans="1:13" ht="15">
      <c r="A370" s="1195">
        <v>363</v>
      </c>
      <c r="B370" s="1200"/>
      <c r="C370" s="684"/>
      <c r="D370" s="688" t="s">
        <v>1168</v>
      </c>
      <c r="E370" s="1160"/>
      <c r="F370" s="727"/>
      <c r="G370" s="721"/>
      <c r="H370" s="721"/>
      <c r="I370" s="778"/>
      <c r="J370" s="687">
        <v>400</v>
      </c>
      <c r="K370" s="687"/>
      <c r="L370" s="780">
        <f t="shared" si="2"/>
        <v>400</v>
      </c>
      <c r="M370" s="757"/>
    </row>
    <row r="371" spans="1:13" s="1109" customFormat="1" ht="15">
      <c r="A371" s="1195">
        <v>364</v>
      </c>
      <c r="B371" s="1201"/>
      <c r="C371" s="711"/>
      <c r="D371" s="690" t="s">
        <v>1170</v>
      </c>
      <c r="E371" s="738"/>
      <c r="F371" s="728"/>
      <c r="G371" s="727"/>
      <c r="H371" s="727"/>
      <c r="I371" s="781"/>
      <c r="J371" s="713"/>
      <c r="K371" s="713"/>
      <c r="L371" s="782">
        <f t="shared" si="2"/>
        <v>0</v>
      </c>
      <c r="M371" s="760"/>
    </row>
    <row r="372" spans="1:13" s="1110" customFormat="1" ht="15">
      <c r="A372" s="1195">
        <v>365</v>
      </c>
      <c r="B372" s="739"/>
      <c r="C372" s="714"/>
      <c r="D372" s="691" t="s">
        <v>1169</v>
      </c>
      <c r="E372" s="1160"/>
      <c r="F372" s="686"/>
      <c r="G372" s="728"/>
      <c r="H372" s="728"/>
      <c r="I372" s="786">
        <f>SUM(I370:I371)</f>
        <v>0</v>
      </c>
      <c r="J372" s="728">
        <f>SUM(J370:J371)</f>
        <v>400</v>
      </c>
      <c r="K372" s="728">
        <f>SUM(K370:K371)</f>
        <v>0</v>
      </c>
      <c r="L372" s="779">
        <f t="shared" si="2"/>
        <v>400</v>
      </c>
      <c r="M372" s="759">
        <f>SUM(M370:M371)</f>
        <v>0</v>
      </c>
    </row>
    <row r="373" spans="1:13" ht="19.5" customHeight="1">
      <c r="A373" s="1212">
        <v>366</v>
      </c>
      <c r="B373" s="683">
        <v>3</v>
      </c>
      <c r="C373" s="694"/>
      <c r="D373" s="685" t="s">
        <v>1048</v>
      </c>
      <c r="E373" s="1152"/>
      <c r="F373" s="716"/>
      <c r="G373" s="692"/>
      <c r="H373" s="692"/>
      <c r="I373" s="795"/>
      <c r="J373" s="689"/>
      <c r="K373" s="689"/>
      <c r="L373" s="779"/>
      <c r="M373" s="769"/>
    </row>
    <row r="374" spans="1:13" s="1108" customFormat="1" ht="15">
      <c r="A374" s="1195">
        <v>367</v>
      </c>
      <c r="B374" s="1200"/>
      <c r="C374" s="684">
        <v>1</v>
      </c>
      <c r="D374" s="716" t="s">
        <v>1045</v>
      </c>
      <c r="E374" s="1160" t="s">
        <v>400</v>
      </c>
      <c r="F374" s="721">
        <v>500</v>
      </c>
      <c r="G374" s="716">
        <v>0</v>
      </c>
      <c r="H374" s="716">
        <v>0</v>
      </c>
      <c r="I374" s="778"/>
      <c r="J374" s="687"/>
      <c r="K374" s="687"/>
      <c r="L374" s="779"/>
      <c r="M374" s="752"/>
    </row>
    <row r="375" spans="1:13" ht="15">
      <c r="A375" s="1195">
        <v>368</v>
      </c>
      <c r="B375" s="1200"/>
      <c r="C375" s="684"/>
      <c r="D375" s="688" t="s">
        <v>1168</v>
      </c>
      <c r="E375" s="1160"/>
      <c r="F375" s="727"/>
      <c r="G375" s="721"/>
      <c r="H375" s="721"/>
      <c r="I375" s="778"/>
      <c r="J375" s="687">
        <v>500</v>
      </c>
      <c r="K375" s="687"/>
      <c r="L375" s="780">
        <f t="shared" si="2"/>
        <v>500</v>
      </c>
      <c r="M375" s="757"/>
    </row>
    <row r="376" spans="1:13" s="1109" customFormat="1" ht="15">
      <c r="A376" s="1195">
        <v>369</v>
      </c>
      <c r="B376" s="1201"/>
      <c r="C376" s="711"/>
      <c r="D376" s="690" t="s">
        <v>1170</v>
      </c>
      <c r="E376" s="738"/>
      <c r="F376" s="728"/>
      <c r="G376" s="727"/>
      <c r="H376" s="727"/>
      <c r="I376" s="781"/>
      <c r="J376" s="713"/>
      <c r="K376" s="713"/>
      <c r="L376" s="782">
        <f t="shared" si="2"/>
        <v>0</v>
      </c>
      <c r="M376" s="760"/>
    </row>
    <row r="377" spans="1:13" s="1110" customFormat="1" ht="15">
      <c r="A377" s="1195">
        <v>370</v>
      </c>
      <c r="B377" s="739"/>
      <c r="C377" s="714"/>
      <c r="D377" s="691" t="s">
        <v>1169</v>
      </c>
      <c r="E377" s="1152"/>
      <c r="F377" s="716"/>
      <c r="G377" s="728"/>
      <c r="H377" s="728"/>
      <c r="I377" s="786">
        <f>SUM(I375:I376)</f>
        <v>0</v>
      </c>
      <c r="J377" s="728">
        <f>SUM(J375:J376)</f>
        <v>500</v>
      </c>
      <c r="K377" s="728">
        <f>SUM(K375:K376)</f>
        <v>0</v>
      </c>
      <c r="L377" s="779">
        <f t="shared" si="2"/>
        <v>500</v>
      </c>
      <c r="M377" s="759">
        <f>SUM(M375:M376)</f>
        <v>0</v>
      </c>
    </row>
    <row r="378" spans="1:13" s="1108" customFormat="1" ht="15">
      <c r="A378" s="1195">
        <v>371</v>
      </c>
      <c r="B378" s="1200"/>
      <c r="C378" s="684">
        <v>2</v>
      </c>
      <c r="D378" s="716" t="s">
        <v>1049</v>
      </c>
      <c r="E378" s="1160" t="s">
        <v>400</v>
      </c>
      <c r="F378" s="721">
        <v>105</v>
      </c>
      <c r="G378" s="716">
        <v>0</v>
      </c>
      <c r="H378" s="716">
        <v>0</v>
      </c>
      <c r="I378" s="778"/>
      <c r="J378" s="687"/>
      <c r="K378" s="687"/>
      <c r="L378" s="779"/>
      <c r="M378" s="752"/>
    </row>
    <row r="379" spans="1:13" ht="15">
      <c r="A379" s="1195">
        <v>372</v>
      </c>
      <c r="B379" s="1200"/>
      <c r="C379" s="684"/>
      <c r="D379" s="688" t="s">
        <v>1168</v>
      </c>
      <c r="E379" s="1168"/>
      <c r="F379" s="1176"/>
      <c r="G379" s="721"/>
      <c r="H379" s="721"/>
      <c r="I379" s="778"/>
      <c r="J379" s="687">
        <v>105</v>
      </c>
      <c r="K379" s="687"/>
      <c r="L379" s="780">
        <f t="shared" si="2"/>
        <v>105</v>
      </c>
      <c r="M379" s="757"/>
    </row>
    <row r="380" spans="1:13" s="1109" customFormat="1" ht="15">
      <c r="A380" s="1195">
        <v>373</v>
      </c>
      <c r="B380" s="1201"/>
      <c r="C380" s="711"/>
      <c r="D380" s="690" t="s">
        <v>1170</v>
      </c>
      <c r="E380" s="1160"/>
      <c r="F380" s="727"/>
      <c r="G380" s="727"/>
      <c r="H380" s="727"/>
      <c r="I380" s="781"/>
      <c r="J380" s="713"/>
      <c r="K380" s="713"/>
      <c r="L380" s="782">
        <f t="shared" si="2"/>
        <v>0</v>
      </c>
      <c r="M380" s="760"/>
    </row>
    <row r="381" spans="1:13" s="1110" customFormat="1" ht="15">
      <c r="A381" s="1195">
        <v>374</v>
      </c>
      <c r="B381" s="739"/>
      <c r="C381" s="714"/>
      <c r="D381" s="691" t="s">
        <v>1169</v>
      </c>
      <c r="E381" s="738"/>
      <c r="F381" s="728"/>
      <c r="G381" s="728"/>
      <c r="H381" s="728"/>
      <c r="I381" s="786">
        <f>SUM(I379:I380)</f>
        <v>0</v>
      </c>
      <c r="J381" s="728">
        <f>SUM(J379:J380)</f>
        <v>105</v>
      </c>
      <c r="K381" s="728">
        <f>SUM(K379:K380)</f>
        <v>0</v>
      </c>
      <c r="L381" s="779">
        <f t="shared" si="2"/>
        <v>105</v>
      </c>
      <c r="M381" s="759">
        <f>SUM(M379:M380)</f>
        <v>0</v>
      </c>
    </row>
    <row r="382" spans="1:13" s="1108" customFormat="1" ht="15">
      <c r="A382" s="1195">
        <v>375</v>
      </c>
      <c r="B382" s="1200"/>
      <c r="C382" s="684">
        <v>3</v>
      </c>
      <c r="D382" s="716" t="s">
        <v>102</v>
      </c>
      <c r="E382" s="1160" t="s">
        <v>400</v>
      </c>
      <c r="F382" s="721">
        <v>100</v>
      </c>
      <c r="G382" s="716">
        <v>0</v>
      </c>
      <c r="H382" s="716">
        <v>0</v>
      </c>
      <c r="I382" s="778"/>
      <c r="J382" s="687"/>
      <c r="K382" s="687"/>
      <c r="L382" s="779"/>
      <c r="M382" s="752"/>
    </row>
    <row r="383" spans="1:13" ht="15">
      <c r="A383" s="1195">
        <v>376</v>
      </c>
      <c r="B383" s="1200"/>
      <c r="C383" s="684"/>
      <c r="D383" s="688" t="s">
        <v>1168</v>
      </c>
      <c r="E383" s="1160"/>
      <c r="F383" s="727"/>
      <c r="G383" s="721"/>
      <c r="H383" s="721"/>
      <c r="I383" s="778"/>
      <c r="J383" s="687">
        <v>100</v>
      </c>
      <c r="K383" s="687"/>
      <c r="L383" s="780">
        <f t="shared" si="2"/>
        <v>100</v>
      </c>
      <c r="M383" s="757"/>
    </row>
    <row r="384" spans="1:13" s="1109" customFormat="1" ht="15">
      <c r="A384" s="1195">
        <v>377</v>
      </c>
      <c r="B384" s="1201"/>
      <c r="C384" s="711"/>
      <c r="D384" s="690" t="s">
        <v>1170</v>
      </c>
      <c r="E384" s="738"/>
      <c r="F384" s="728"/>
      <c r="G384" s="727"/>
      <c r="H384" s="727"/>
      <c r="I384" s="781"/>
      <c r="J384" s="713"/>
      <c r="K384" s="713"/>
      <c r="L384" s="782">
        <f t="shared" si="2"/>
        <v>0</v>
      </c>
      <c r="M384" s="760"/>
    </row>
    <row r="385" spans="1:13" s="1110" customFormat="1" ht="15">
      <c r="A385" s="1195">
        <v>378</v>
      </c>
      <c r="B385" s="739"/>
      <c r="C385" s="714"/>
      <c r="D385" s="691" t="s">
        <v>1169</v>
      </c>
      <c r="E385" s="1160"/>
      <c r="F385" s="686"/>
      <c r="G385" s="728"/>
      <c r="H385" s="728"/>
      <c r="I385" s="786">
        <f>SUM(I383:I384)</f>
        <v>0</v>
      </c>
      <c r="J385" s="728">
        <f>SUM(J383:J384)</f>
        <v>100</v>
      </c>
      <c r="K385" s="728">
        <f>SUM(K383:K384)</f>
        <v>0</v>
      </c>
      <c r="L385" s="779">
        <f t="shared" si="2"/>
        <v>100</v>
      </c>
      <c r="M385" s="759">
        <f>SUM(M383:M384)</f>
        <v>0</v>
      </c>
    </row>
    <row r="386" spans="1:13" ht="19.5" customHeight="1">
      <c r="A386" s="1212">
        <v>379</v>
      </c>
      <c r="B386" s="683">
        <v>4</v>
      </c>
      <c r="C386" s="694"/>
      <c r="D386" s="685" t="s">
        <v>1188</v>
      </c>
      <c r="E386" s="716"/>
      <c r="F386" s="716"/>
      <c r="G386" s="692"/>
      <c r="H386" s="692"/>
      <c r="I386" s="795"/>
      <c r="J386" s="689"/>
      <c r="K386" s="689"/>
      <c r="L386" s="779"/>
      <c r="M386" s="769"/>
    </row>
    <row r="387" spans="1:13" s="1108" customFormat="1" ht="15" customHeight="1">
      <c r="A387" s="1195">
        <v>380</v>
      </c>
      <c r="B387" s="1200"/>
      <c r="C387" s="684">
        <v>1</v>
      </c>
      <c r="D387" s="716" t="s">
        <v>1050</v>
      </c>
      <c r="E387" s="1160" t="s">
        <v>400</v>
      </c>
      <c r="F387" s="721">
        <v>750</v>
      </c>
      <c r="G387" s="716">
        <v>0</v>
      </c>
      <c r="H387" s="716">
        <v>0</v>
      </c>
      <c r="I387" s="778"/>
      <c r="J387" s="687"/>
      <c r="K387" s="687"/>
      <c r="L387" s="779"/>
      <c r="M387" s="752"/>
    </row>
    <row r="388" spans="1:13" ht="15">
      <c r="A388" s="1195">
        <v>381</v>
      </c>
      <c r="B388" s="1200"/>
      <c r="C388" s="684"/>
      <c r="D388" s="688" t="s">
        <v>1168</v>
      </c>
      <c r="E388" s="1160"/>
      <c r="F388" s="727"/>
      <c r="G388" s="721"/>
      <c r="H388" s="721"/>
      <c r="I388" s="778"/>
      <c r="J388" s="687">
        <v>750</v>
      </c>
      <c r="K388" s="687"/>
      <c r="L388" s="780">
        <f t="shared" si="2"/>
        <v>750</v>
      </c>
      <c r="M388" s="757"/>
    </row>
    <row r="389" spans="1:13" s="1109" customFormat="1" ht="15">
      <c r="A389" s="1195">
        <v>382</v>
      </c>
      <c r="B389" s="1201"/>
      <c r="C389" s="711"/>
      <c r="D389" s="690" t="s">
        <v>1170</v>
      </c>
      <c r="E389" s="738"/>
      <c r="F389" s="728"/>
      <c r="G389" s="727"/>
      <c r="H389" s="727"/>
      <c r="I389" s="781"/>
      <c r="J389" s="713"/>
      <c r="K389" s="713"/>
      <c r="L389" s="782">
        <f t="shared" si="2"/>
        <v>0</v>
      </c>
      <c r="M389" s="760"/>
    </row>
    <row r="390" spans="1:13" s="1110" customFormat="1" ht="15">
      <c r="A390" s="1195">
        <v>383</v>
      </c>
      <c r="B390" s="739"/>
      <c r="C390" s="714"/>
      <c r="D390" s="691" t="s">
        <v>1169</v>
      </c>
      <c r="E390" s="1152"/>
      <c r="F390" s="716"/>
      <c r="G390" s="728"/>
      <c r="H390" s="728"/>
      <c r="I390" s="786">
        <f>SUM(I388:I389)</f>
        <v>0</v>
      </c>
      <c r="J390" s="728">
        <f>SUM(J388:J389)</f>
        <v>750</v>
      </c>
      <c r="K390" s="728">
        <f>SUM(K388:K389)</f>
        <v>0</v>
      </c>
      <c r="L390" s="779">
        <f t="shared" si="2"/>
        <v>750</v>
      </c>
      <c r="M390" s="759">
        <f>SUM(M388:M389)</f>
        <v>0</v>
      </c>
    </row>
    <row r="391" spans="1:13" s="1108" customFormat="1" ht="15">
      <c r="A391" s="1195">
        <v>384</v>
      </c>
      <c r="B391" s="1200"/>
      <c r="C391" s="684">
        <v>2</v>
      </c>
      <c r="D391" s="716" t="s">
        <v>1051</v>
      </c>
      <c r="E391" s="1160" t="s">
        <v>400</v>
      </c>
      <c r="F391" s="721">
        <v>120</v>
      </c>
      <c r="G391" s="716">
        <v>0</v>
      </c>
      <c r="H391" s="716">
        <v>0</v>
      </c>
      <c r="I391" s="778"/>
      <c r="J391" s="687"/>
      <c r="K391" s="687"/>
      <c r="L391" s="779"/>
      <c r="M391" s="752"/>
    </row>
    <row r="392" spans="1:13" ht="15">
      <c r="A392" s="1195">
        <v>385</v>
      </c>
      <c r="B392" s="1200"/>
      <c r="C392" s="684"/>
      <c r="D392" s="688" t="s">
        <v>1168</v>
      </c>
      <c r="E392" s="1160"/>
      <c r="F392" s="727"/>
      <c r="G392" s="721"/>
      <c r="H392" s="721"/>
      <c r="I392" s="778"/>
      <c r="J392" s="687">
        <v>120</v>
      </c>
      <c r="K392" s="687"/>
      <c r="L392" s="780">
        <f t="shared" si="2"/>
        <v>120</v>
      </c>
      <c r="M392" s="757"/>
    </row>
    <row r="393" spans="1:13" s="1109" customFormat="1" ht="15">
      <c r="A393" s="1195">
        <v>386</v>
      </c>
      <c r="B393" s="1201"/>
      <c r="C393" s="711"/>
      <c r="D393" s="690" t="s">
        <v>1170</v>
      </c>
      <c r="E393" s="738"/>
      <c r="F393" s="728"/>
      <c r="G393" s="727"/>
      <c r="H393" s="727"/>
      <c r="I393" s="781"/>
      <c r="J393" s="713"/>
      <c r="K393" s="713"/>
      <c r="L393" s="782">
        <f aca="true" t="shared" si="3" ref="L393:L455">SUM(I393:K393)</f>
        <v>0</v>
      </c>
      <c r="M393" s="760"/>
    </row>
    <row r="394" spans="1:13" s="1110" customFormat="1" ht="15">
      <c r="A394" s="1195">
        <v>387</v>
      </c>
      <c r="B394" s="739"/>
      <c r="C394" s="714"/>
      <c r="D394" s="691" t="s">
        <v>1169</v>
      </c>
      <c r="E394" s="1152"/>
      <c r="F394" s="716"/>
      <c r="G394" s="728"/>
      <c r="H394" s="728"/>
      <c r="I394" s="786">
        <f>SUM(I392:I393)</f>
        <v>0</v>
      </c>
      <c r="J394" s="728">
        <f>SUM(J392:J393)</f>
        <v>120</v>
      </c>
      <c r="K394" s="728">
        <f>SUM(K392:K393)</f>
        <v>0</v>
      </c>
      <c r="L394" s="779">
        <f t="shared" si="3"/>
        <v>120</v>
      </c>
      <c r="M394" s="759">
        <f>SUM(M392:M393)</f>
        <v>0</v>
      </c>
    </row>
    <row r="395" spans="1:13" s="1108" customFormat="1" ht="15">
      <c r="A395" s="1195">
        <v>388</v>
      </c>
      <c r="B395" s="1200"/>
      <c r="C395" s="684">
        <v>3</v>
      </c>
      <c r="D395" s="716" t="s">
        <v>1052</v>
      </c>
      <c r="E395" s="1160" t="s">
        <v>400</v>
      </c>
      <c r="F395" s="721">
        <v>110</v>
      </c>
      <c r="G395" s="716">
        <v>0</v>
      </c>
      <c r="H395" s="716">
        <v>0</v>
      </c>
      <c r="I395" s="778"/>
      <c r="J395" s="687"/>
      <c r="K395" s="687"/>
      <c r="L395" s="779"/>
      <c r="M395" s="752"/>
    </row>
    <row r="396" spans="1:13" ht="15">
      <c r="A396" s="1195">
        <v>389</v>
      </c>
      <c r="B396" s="1200"/>
      <c r="C396" s="684"/>
      <c r="D396" s="688" t="s">
        <v>1168</v>
      </c>
      <c r="E396" s="1168"/>
      <c r="F396" s="1176"/>
      <c r="G396" s="721"/>
      <c r="H396" s="721"/>
      <c r="I396" s="778"/>
      <c r="J396" s="687">
        <v>110</v>
      </c>
      <c r="K396" s="687"/>
      <c r="L396" s="780">
        <f t="shared" si="3"/>
        <v>110</v>
      </c>
      <c r="M396" s="757"/>
    </row>
    <row r="397" spans="1:13" s="1109" customFormat="1" ht="15">
      <c r="A397" s="1195">
        <v>390</v>
      </c>
      <c r="B397" s="1201"/>
      <c r="C397" s="711"/>
      <c r="D397" s="690" t="s">
        <v>1170</v>
      </c>
      <c r="E397" s="1160"/>
      <c r="F397" s="727"/>
      <c r="G397" s="727"/>
      <c r="H397" s="727"/>
      <c r="I397" s="781"/>
      <c r="J397" s="713"/>
      <c r="K397" s="713"/>
      <c r="L397" s="782">
        <f t="shared" si="3"/>
        <v>0</v>
      </c>
      <c r="M397" s="760"/>
    </row>
    <row r="398" spans="1:13" s="1110" customFormat="1" ht="15">
      <c r="A398" s="1195">
        <v>391</v>
      </c>
      <c r="B398" s="739"/>
      <c r="C398" s="714"/>
      <c r="D398" s="691" t="s">
        <v>1169</v>
      </c>
      <c r="E398" s="738"/>
      <c r="F398" s="728"/>
      <c r="G398" s="728"/>
      <c r="H398" s="728"/>
      <c r="I398" s="786">
        <f>SUM(I396:I397)</f>
        <v>0</v>
      </c>
      <c r="J398" s="728">
        <f>SUM(J396:J397)</f>
        <v>110</v>
      </c>
      <c r="K398" s="728">
        <f>SUM(K396:K397)</f>
        <v>0</v>
      </c>
      <c r="L398" s="779">
        <f t="shared" si="3"/>
        <v>110</v>
      </c>
      <c r="M398" s="759">
        <f>SUM(M396:M397)</f>
        <v>0</v>
      </c>
    </row>
    <row r="399" spans="1:13" s="1108" customFormat="1" ht="15">
      <c r="A399" s="1195">
        <v>392</v>
      </c>
      <c r="B399" s="1200"/>
      <c r="C399" s="684">
        <v>4</v>
      </c>
      <c r="D399" s="716" t="s">
        <v>1053</v>
      </c>
      <c r="E399" s="1160" t="s">
        <v>400</v>
      </c>
      <c r="F399" s="721">
        <v>100</v>
      </c>
      <c r="G399" s="716">
        <v>0</v>
      </c>
      <c r="H399" s="716">
        <v>0</v>
      </c>
      <c r="I399" s="778"/>
      <c r="J399" s="687"/>
      <c r="K399" s="687"/>
      <c r="L399" s="779"/>
      <c r="M399" s="752"/>
    </row>
    <row r="400" spans="1:13" ht="15">
      <c r="A400" s="1195">
        <v>393</v>
      </c>
      <c r="B400" s="1200"/>
      <c r="C400" s="684"/>
      <c r="D400" s="688" t="s">
        <v>1168</v>
      </c>
      <c r="E400" s="1160"/>
      <c r="F400" s="727"/>
      <c r="G400" s="721"/>
      <c r="H400" s="721"/>
      <c r="I400" s="778"/>
      <c r="J400" s="687">
        <v>100</v>
      </c>
      <c r="K400" s="687"/>
      <c r="L400" s="780">
        <f t="shared" si="3"/>
        <v>100</v>
      </c>
      <c r="M400" s="757"/>
    </row>
    <row r="401" spans="1:13" s="1109" customFormat="1" ht="15">
      <c r="A401" s="1195">
        <v>394</v>
      </c>
      <c r="B401" s="1201"/>
      <c r="C401" s="711"/>
      <c r="D401" s="690" t="s">
        <v>1170</v>
      </c>
      <c r="E401" s="738"/>
      <c r="F401" s="728"/>
      <c r="G401" s="727"/>
      <c r="H401" s="727"/>
      <c r="I401" s="781"/>
      <c r="J401" s="713"/>
      <c r="K401" s="713"/>
      <c r="L401" s="782">
        <f t="shared" si="3"/>
        <v>0</v>
      </c>
      <c r="M401" s="760"/>
    </row>
    <row r="402" spans="1:13" s="1110" customFormat="1" ht="15">
      <c r="A402" s="1195">
        <v>395</v>
      </c>
      <c r="B402" s="739"/>
      <c r="C402" s="714"/>
      <c r="D402" s="691" t="s">
        <v>1169</v>
      </c>
      <c r="E402" s="1152"/>
      <c r="F402" s="716"/>
      <c r="G402" s="728"/>
      <c r="H402" s="728"/>
      <c r="I402" s="786">
        <f>SUM(I400:I401)</f>
        <v>0</v>
      </c>
      <c r="J402" s="728">
        <f>SUM(J400:J401)</f>
        <v>100</v>
      </c>
      <c r="K402" s="728">
        <f>SUM(K400:K401)</f>
        <v>0</v>
      </c>
      <c r="L402" s="779">
        <f t="shared" si="3"/>
        <v>100</v>
      </c>
      <c r="M402" s="759">
        <f>SUM(M400:M401)</f>
        <v>0</v>
      </c>
    </row>
    <row r="403" spans="1:13" s="1108" customFormat="1" ht="15">
      <c r="A403" s="1195">
        <v>396</v>
      </c>
      <c r="B403" s="1200"/>
      <c r="C403" s="684">
        <v>5</v>
      </c>
      <c r="D403" s="716" t="s">
        <v>1054</v>
      </c>
      <c r="E403" s="1160" t="s">
        <v>400</v>
      </c>
      <c r="F403" s="721">
        <v>70</v>
      </c>
      <c r="G403" s="716">
        <v>0</v>
      </c>
      <c r="H403" s="716">
        <v>0</v>
      </c>
      <c r="I403" s="778"/>
      <c r="J403" s="687"/>
      <c r="K403" s="687"/>
      <c r="L403" s="779"/>
      <c r="M403" s="752"/>
    </row>
    <row r="404" spans="1:13" ht="15">
      <c r="A404" s="1195">
        <v>397</v>
      </c>
      <c r="B404" s="1200"/>
      <c r="C404" s="684"/>
      <c r="D404" s="688" t="s">
        <v>1168</v>
      </c>
      <c r="E404" s="1160"/>
      <c r="F404" s="727"/>
      <c r="G404" s="721"/>
      <c r="H404" s="721"/>
      <c r="I404" s="778"/>
      <c r="J404" s="687">
        <v>70</v>
      </c>
      <c r="K404" s="687"/>
      <c r="L404" s="780">
        <f t="shared" si="3"/>
        <v>70</v>
      </c>
      <c r="M404" s="757"/>
    </row>
    <row r="405" spans="1:13" s="1109" customFormat="1" ht="15">
      <c r="A405" s="1195">
        <v>398</v>
      </c>
      <c r="B405" s="1201"/>
      <c r="C405" s="711"/>
      <c r="D405" s="690" t="s">
        <v>1170</v>
      </c>
      <c r="E405" s="738"/>
      <c r="F405" s="728"/>
      <c r="G405" s="727"/>
      <c r="H405" s="727"/>
      <c r="I405" s="781"/>
      <c r="J405" s="713"/>
      <c r="K405" s="713"/>
      <c r="L405" s="782">
        <f t="shared" si="3"/>
        <v>0</v>
      </c>
      <c r="M405" s="760"/>
    </row>
    <row r="406" spans="1:13" s="1110" customFormat="1" ht="15">
      <c r="A406" s="1195">
        <v>399</v>
      </c>
      <c r="B406" s="739"/>
      <c r="C406" s="714"/>
      <c r="D406" s="691" t="s">
        <v>1169</v>
      </c>
      <c r="E406" s="1152"/>
      <c r="F406" s="716"/>
      <c r="G406" s="728"/>
      <c r="H406" s="728"/>
      <c r="I406" s="786">
        <f>SUM(I404:I405)</f>
        <v>0</v>
      </c>
      <c r="J406" s="728">
        <f>SUM(J404:J405)</f>
        <v>70</v>
      </c>
      <c r="K406" s="728">
        <f>SUM(K404:K405)</f>
        <v>0</v>
      </c>
      <c r="L406" s="779">
        <f t="shared" si="3"/>
        <v>70</v>
      </c>
      <c r="M406" s="759">
        <f>SUM(M404:M405)</f>
        <v>0</v>
      </c>
    </row>
    <row r="407" spans="1:13" s="1108" customFormat="1" ht="15">
      <c r="A407" s="1195">
        <v>400</v>
      </c>
      <c r="B407" s="1200"/>
      <c r="C407" s="684">
        <v>6</v>
      </c>
      <c r="D407" s="716" t="s">
        <v>104</v>
      </c>
      <c r="E407" s="1160" t="s">
        <v>400</v>
      </c>
      <c r="F407" s="721">
        <v>1650</v>
      </c>
      <c r="G407" s="716">
        <v>0</v>
      </c>
      <c r="H407" s="716">
        <v>0</v>
      </c>
      <c r="I407" s="778"/>
      <c r="J407" s="687"/>
      <c r="K407" s="687"/>
      <c r="L407" s="779"/>
      <c r="M407" s="752"/>
    </row>
    <row r="408" spans="1:13" ht="15">
      <c r="A408" s="1195">
        <v>401</v>
      </c>
      <c r="B408" s="1200"/>
      <c r="C408" s="684"/>
      <c r="D408" s="688" t="s">
        <v>1168</v>
      </c>
      <c r="E408" s="1160"/>
      <c r="F408" s="727"/>
      <c r="G408" s="721"/>
      <c r="H408" s="721"/>
      <c r="I408" s="778"/>
      <c r="J408" s="687">
        <v>1650</v>
      </c>
      <c r="K408" s="687"/>
      <c r="L408" s="780">
        <f t="shared" si="3"/>
        <v>1650</v>
      </c>
      <c r="M408" s="757"/>
    </row>
    <row r="409" spans="1:13" s="1109" customFormat="1" ht="15">
      <c r="A409" s="1195">
        <v>402</v>
      </c>
      <c r="B409" s="1201"/>
      <c r="C409" s="711"/>
      <c r="D409" s="690" t="s">
        <v>1170</v>
      </c>
      <c r="E409" s="738"/>
      <c r="F409" s="728"/>
      <c r="G409" s="727"/>
      <c r="H409" s="727"/>
      <c r="I409" s="781"/>
      <c r="J409" s="713"/>
      <c r="K409" s="713"/>
      <c r="L409" s="782">
        <f t="shared" si="3"/>
        <v>0</v>
      </c>
      <c r="M409" s="760"/>
    </row>
    <row r="410" spans="1:13" s="1110" customFormat="1" ht="15">
      <c r="A410" s="1195">
        <v>403</v>
      </c>
      <c r="B410" s="739"/>
      <c r="C410" s="714"/>
      <c r="D410" s="691" t="s">
        <v>1169</v>
      </c>
      <c r="E410" s="1152"/>
      <c r="F410" s="716"/>
      <c r="G410" s="728"/>
      <c r="H410" s="728"/>
      <c r="I410" s="786">
        <f>SUM(I408:I409)</f>
        <v>0</v>
      </c>
      <c r="J410" s="728">
        <f>SUM(J408:J409)</f>
        <v>1650</v>
      </c>
      <c r="K410" s="728">
        <f>SUM(K408:K409)</f>
        <v>0</v>
      </c>
      <c r="L410" s="779">
        <f t="shared" si="3"/>
        <v>1650</v>
      </c>
      <c r="M410" s="759">
        <f>SUM(M408:M409)</f>
        <v>0</v>
      </c>
    </row>
    <row r="411" spans="1:13" s="1108" customFormat="1" ht="15">
      <c r="A411" s="1195">
        <v>404</v>
      </c>
      <c r="B411" s="1200"/>
      <c r="C411" s="684">
        <v>7</v>
      </c>
      <c r="D411" s="716" t="s">
        <v>105</v>
      </c>
      <c r="E411" s="1160" t="s">
        <v>400</v>
      </c>
      <c r="F411" s="721">
        <v>210</v>
      </c>
      <c r="G411" s="716">
        <v>0</v>
      </c>
      <c r="H411" s="716">
        <v>0</v>
      </c>
      <c r="I411" s="778"/>
      <c r="J411" s="687"/>
      <c r="K411" s="687"/>
      <c r="L411" s="779"/>
      <c r="M411" s="752"/>
    </row>
    <row r="412" spans="1:13" ht="15">
      <c r="A412" s="1195">
        <v>405</v>
      </c>
      <c r="B412" s="1200"/>
      <c r="C412" s="684"/>
      <c r="D412" s="688" t="s">
        <v>1168</v>
      </c>
      <c r="E412" s="1168"/>
      <c r="F412" s="1176"/>
      <c r="G412" s="721"/>
      <c r="H412" s="721"/>
      <c r="I412" s="778"/>
      <c r="J412" s="687">
        <v>210</v>
      </c>
      <c r="K412" s="687"/>
      <c r="L412" s="780">
        <f t="shared" si="3"/>
        <v>210</v>
      </c>
      <c r="M412" s="757"/>
    </row>
    <row r="413" spans="1:13" s="1109" customFormat="1" ht="15">
      <c r="A413" s="1195">
        <v>406</v>
      </c>
      <c r="B413" s="1201"/>
      <c r="C413" s="711"/>
      <c r="D413" s="690" t="s">
        <v>1170</v>
      </c>
      <c r="E413" s="1160"/>
      <c r="F413" s="727"/>
      <c r="G413" s="727"/>
      <c r="H413" s="727"/>
      <c r="I413" s="781"/>
      <c r="J413" s="713"/>
      <c r="K413" s="713"/>
      <c r="L413" s="782">
        <f t="shared" si="3"/>
        <v>0</v>
      </c>
      <c r="M413" s="760"/>
    </row>
    <row r="414" spans="1:13" s="1110" customFormat="1" ht="15">
      <c r="A414" s="1195">
        <v>407</v>
      </c>
      <c r="B414" s="739"/>
      <c r="C414" s="714"/>
      <c r="D414" s="691" t="s">
        <v>1169</v>
      </c>
      <c r="E414" s="738"/>
      <c r="F414" s="728"/>
      <c r="G414" s="728"/>
      <c r="H414" s="728"/>
      <c r="I414" s="786">
        <f>SUM(I412:I413)</f>
        <v>0</v>
      </c>
      <c r="J414" s="728">
        <f>SUM(J412:J413)</f>
        <v>210</v>
      </c>
      <c r="K414" s="728">
        <f>SUM(K412:K413)</f>
        <v>0</v>
      </c>
      <c r="L414" s="779">
        <f t="shared" si="3"/>
        <v>210</v>
      </c>
      <c r="M414" s="759">
        <f>SUM(M412:M413)</f>
        <v>0</v>
      </c>
    </row>
    <row r="415" spans="1:13" s="1108" customFormat="1" ht="15">
      <c r="A415" s="1195">
        <v>408</v>
      </c>
      <c r="B415" s="1200"/>
      <c r="C415" s="684">
        <v>8</v>
      </c>
      <c r="D415" s="716" t="s">
        <v>106</v>
      </c>
      <c r="E415" s="1160" t="s">
        <v>400</v>
      </c>
      <c r="F415" s="721">
        <v>492</v>
      </c>
      <c r="G415" s="716">
        <v>0</v>
      </c>
      <c r="H415" s="716">
        <v>0</v>
      </c>
      <c r="I415" s="778"/>
      <c r="J415" s="687"/>
      <c r="K415" s="687"/>
      <c r="L415" s="779"/>
      <c r="M415" s="752"/>
    </row>
    <row r="416" spans="1:13" ht="15">
      <c r="A416" s="1195">
        <v>409</v>
      </c>
      <c r="B416" s="1200"/>
      <c r="C416" s="684"/>
      <c r="D416" s="688" t="s">
        <v>1168</v>
      </c>
      <c r="E416" s="1160"/>
      <c r="F416" s="727"/>
      <c r="G416" s="721"/>
      <c r="H416" s="721"/>
      <c r="I416" s="778"/>
      <c r="J416" s="687">
        <v>492</v>
      </c>
      <c r="K416" s="687"/>
      <c r="L416" s="780">
        <f t="shared" si="3"/>
        <v>492</v>
      </c>
      <c r="M416" s="757"/>
    </row>
    <row r="417" spans="1:13" s="1109" customFormat="1" ht="15">
      <c r="A417" s="1195">
        <v>410</v>
      </c>
      <c r="B417" s="1201"/>
      <c r="C417" s="711"/>
      <c r="D417" s="690" t="s">
        <v>1170</v>
      </c>
      <c r="E417" s="738"/>
      <c r="F417" s="728"/>
      <c r="G417" s="727"/>
      <c r="H417" s="727"/>
      <c r="I417" s="781"/>
      <c r="J417" s="713"/>
      <c r="K417" s="713"/>
      <c r="L417" s="782">
        <f t="shared" si="3"/>
        <v>0</v>
      </c>
      <c r="M417" s="760"/>
    </row>
    <row r="418" spans="1:13" s="1110" customFormat="1" ht="15">
      <c r="A418" s="1195">
        <v>411</v>
      </c>
      <c r="B418" s="739"/>
      <c r="C418" s="714"/>
      <c r="D418" s="691" t="s">
        <v>1169</v>
      </c>
      <c r="E418" s="1152"/>
      <c r="F418" s="716"/>
      <c r="G418" s="728"/>
      <c r="H418" s="728"/>
      <c r="I418" s="786">
        <f>SUM(I416:I417)</f>
        <v>0</v>
      </c>
      <c r="J418" s="728">
        <f>SUM(J416:J417)</f>
        <v>492</v>
      </c>
      <c r="K418" s="728">
        <f>SUM(K416:K417)</f>
        <v>0</v>
      </c>
      <c r="L418" s="779">
        <f t="shared" si="3"/>
        <v>492</v>
      </c>
      <c r="M418" s="759">
        <f>SUM(M416:M417)</f>
        <v>0</v>
      </c>
    </row>
    <row r="419" spans="1:13" s="1108" customFormat="1" ht="15">
      <c r="A419" s="1195">
        <v>412</v>
      </c>
      <c r="B419" s="1200"/>
      <c r="C419" s="684">
        <v>9</v>
      </c>
      <c r="D419" s="716" t="s">
        <v>107</v>
      </c>
      <c r="E419" s="1160" t="s">
        <v>400</v>
      </c>
      <c r="F419" s="721">
        <v>1225</v>
      </c>
      <c r="G419" s="716">
        <v>0</v>
      </c>
      <c r="H419" s="716">
        <v>0</v>
      </c>
      <c r="I419" s="778"/>
      <c r="J419" s="687"/>
      <c r="K419" s="687"/>
      <c r="L419" s="779"/>
      <c r="M419" s="752"/>
    </row>
    <row r="420" spans="1:13" ht="15">
      <c r="A420" s="1195">
        <v>413</v>
      </c>
      <c r="B420" s="1200"/>
      <c r="C420" s="684"/>
      <c r="D420" s="688" t="s">
        <v>1168</v>
      </c>
      <c r="E420" s="1160"/>
      <c r="F420" s="727"/>
      <c r="G420" s="721"/>
      <c r="H420" s="721"/>
      <c r="I420" s="778"/>
      <c r="J420" s="687">
        <v>1225</v>
      </c>
      <c r="K420" s="687"/>
      <c r="L420" s="780">
        <f t="shared" si="3"/>
        <v>1225</v>
      </c>
      <c r="M420" s="757"/>
    </row>
    <row r="421" spans="1:13" s="1109" customFormat="1" ht="15">
      <c r="A421" s="1195">
        <v>414</v>
      </c>
      <c r="B421" s="1201"/>
      <c r="C421" s="711"/>
      <c r="D421" s="690" t="s">
        <v>1170</v>
      </c>
      <c r="E421" s="738"/>
      <c r="F421" s="728"/>
      <c r="G421" s="727"/>
      <c r="H421" s="727"/>
      <c r="I421" s="781"/>
      <c r="J421" s="713"/>
      <c r="K421" s="713"/>
      <c r="L421" s="782">
        <f t="shared" si="3"/>
        <v>0</v>
      </c>
      <c r="M421" s="760"/>
    </row>
    <row r="422" spans="1:13" s="1110" customFormat="1" ht="15">
      <c r="A422" s="1195">
        <v>415</v>
      </c>
      <c r="B422" s="739"/>
      <c r="C422" s="714"/>
      <c r="D422" s="691" t="s">
        <v>1169</v>
      </c>
      <c r="E422" s="1152"/>
      <c r="F422" s="716"/>
      <c r="G422" s="728"/>
      <c r="H422" s="728"/>
      <c r="I422" s="786">
        <f>SUM(I420:I421)</f>
        <v>0</v>
      </c>
      <c r="J422" s="728">
        <f>SUM(J420:J421)</f>
        <v>1225</v>
      </c>
      <c r="K422" s="728">
        <f>SUM(K420:K421)</f>
        <v>0</v>
      </c>
      <c r="L422" s="779">
        <f t="shared" si="3"/>
        <v>1225</v>
      </c>
      <c r="M422" s="759">
        <f>SUM(M420:M421)</f>
        <v>0</v>
      </c>
    </row>
    <row r="423" spans="1:13" s="1108" customFormat="1" ht="15">
      <c r="A423" s="1195">
        <v>416</v>
      </c>
      <c r="B423" s="1200"/>
      <c r="C423" s="684">
        <v>10</v>
      </c>
      <c r="D423" s="716" t="s">
        <v>108</v>
      </c>
      <c r="E423" s="1160" t="s">
        <v>400</v>
      </c>
      <c r="F423" s="721">
        <v>450</v>
      </c>
      <c r="G423" s="716">
        <v>0</v>
      </c>
      <c r="H423" s="716">
        <v>0</v>
      </c>
      <c r="I423" s="778"/>
      <c r="J423" s="687"/>
      <c r="K423" s="687"/>
      <c r="L423" s="779"/>
      <c r="M423" s="752"/>
    </row>
    <row r="424" spans="1:13" ht="15">
      <c r="A424" s="1195">
        <v>417</v>
      </c>
      <c r="B424" s="1200"/>
      <c r="C424" s="684"/>
      <c r="D424" s="688" t="s">
        <v>1168</v>
      </c>
      <c r="E424" s="1160"/>
      <c r="F424" s="727"/>
      <c r="G424" s="721"/>
      <c r="H424" s="721"/>
      <c r="I424" s="778"/>
      <c r="J424" s="687">
        <v>450</v>
      </c>
      <c r="K424" s="687"/>
      <c r="L424" s="780">
        <f t="shared" si="3"/>
        <v>450</v>
      </c>
      <c r="M424" s="757"/>
    </row>
    <row r="425" spans="1:13" s="1109" customFormat="1" ht="15">
      <c r="A425" s="1195">
        <v>418</v>
      </c>
      <c r="B425" s="1201"/>
      <c r="C425" s="711"/>
      <c r="D425" s="690" t="s">
        <v>1170</v>
      </c>
      <c r="E425" s="738"/>
      <c r="F425" s="728"/>
      <c r="G425" s="727"/>
      <c r="H425" s="727"/>
      <c r="I425" s="781"/>
      <c r="J425" s="713"/>
      <c r="K425" s="713"/>
      <c r="L425" s="782">
        <f t="shared" si="3"/>
        <v>0</v>
      </c>
      <c r="M425" s="760"/>
    </row>
    <row r="426" spans="1:13" s="1110" customFormat="1" ht="15">
      <c r="A426" s="1195">
        <v>419</v>
      </c>
      <c r="B426" s="739"/>
      <c r="C426" s="714"/>
      <c r="D426" s="691" t="s">
        <v>1169</v>
      </c>
      <c r="E426" s="1160"/>
      <c r="F426" s="686"/>
      <c r="G426" s="728"/>
      <c r="H426" s="728"/>
      <c r="I426" s="786">
        <f>SUM(I424:I425)</f>
        <v>0</v>
      </c>
      <c r="J426" s="728">
        <f>SUM(J424:J425)</f>
        <v>450</v>
      </c>
      <c r="K426" s="728">
        <f>SUM(K424:K425)</f>
        <v>0</v>
      </c>
      <c r="L426" s="779">
        <f t="shared" si="3"/>
        <v>450</v>
      </c>
      <c r="M426" s="759">
        <f>SUM(M424:M425)</f>
        <v>0</v>
      </c>
    </row>
    <row r="427" spans="1:13" ht="27.75" customHeight="1">
      <c r="A427" s="1212">
        <v>420</v>
      </c>
      <c r="B427" s="683">
        <v>5</v>
      </c>
      <c r="C427" s="694"/>
      <c r="D427" s="685" t="s">
        <v>1055</v>
      </c>
      <c r="E427" s="1152"/>
      <c r="F427" s="716"/>
      <c r="G427" s="692"/>
      <c r="H427" s="692"/>
      <c r="I427" s="795"/>
      <c r="J427" s="689"/>
      <c r="K427" s="689"/>
      <c r="L427" s="779"/>
      <c r="M427" s="769"/>
    </row>
    <row r="428" spans="1:13" s="1108" customFormat="1" ht="15">
      <c r="A428" s="1195">
        <v>421</v>
      </c>
      <c r="B428" s="1200"/>
      <c r="C428" s="684">
        <v>1</v>
      </c>
      <c r="D428" s="716" t="s">
        <v>1035</v>
      </c>
      <c r="E428" s="1160" t="s">
        <v>400</v>
      </c>
      <c r="F428" s="721">
        <v>50</v>
      </c>
      <c r="G428" s="716">
        <v>0</v>
      </c>
      <c r="H428" s="716">
        <v>0</v>
      </c>
      <c r="I428" s="778"/>
      <c r="J428" s="687"/>
      <c r="K428" s="687"/>
      <c r="L428" s="779"/>
      <c r="M428" s="752"/>
    </row>
    <row r="429" spans="1:13" ht="15">
      <c r="A429" s="1195">
        <v>422</v>
      </c>
      <c r="B429" s="1200"/>
      <c r="C429" s="684"/>
      <c r="D429" s="688" t="s">
        <v>1168</v>
      </c>
      <c r="E429" s="1168"/>
      <c r="F429" s="1176"/>
      <c r="G429" s="721"/>
      <c r="H429" s="721"/>
      <c r="I429" s="778"/>
      <c r="J429" s="687">
        <v>50</v>
      </c>
      <c r="K429" s="687"/>
      <c r="L429" s="780">
        <f t="shared" si="3"/>
        <v>50</v>
      </c>
      <c r="M429" s="757"/>
    </row>
    <row r="430" spans="1:13" s="1109" customFormat="1" ht="15">
      <c r="A430" s="1195">
        <v>423</v>
      </c>
      <c r="B430" s="1201"/>
      <c r="C430" s="711"/>
      <c r="D430" s="690" t="s">
        <v>1170</v>
      </c>
      <c r="E430" s="1160"/>
      <c r="F430" s="727"/>
      <c r="G430" s="727"/>
      <c r="H430" s="727"/>
      <c r="I430" s="781"/>
      <c r="J430" s="713"/>
      <c r="K430" s="713"/>
      <c r="L430" s="782">
        <f t="shared" si="3"/>
        <v>0</v>
      </c>
      <c r="M430" s="760"/>
    </row>
    <row r="431" spans="1:13" s="1110" customFormat="1" ht="15">
      <c r="A431" s="1195">
        <v>424</v>
      </c>
      <c r="B431" s="739"/>
      <c r="C431" s="714"/>
      <c r="D431" s="691" t="s">
        <v>1169</v>
      </c>
      <c r="E431" s="738"/>
      <c r="F431" s="728"/>
      <c r="G431" s="728"/>
      <c r="H431" s="728"/>
      <c r="I431" s="786">
        <f>SUM(I429:I430)</f>
        <v>0</v>
      </c>
      <c r="J431" s="728">
        <f>SUM(J429:J430)</f>
        <v>50</v>
      </c>
      <c r="K431" s="728">
        <f>SUM(K429:K430)</f>
        <v>0</v>
      </c>
      <c r="L431" s="779">
        <f t="shared" si="3"/>
        <v>50</v>
      </c>
      <c r="M431" s="759">
        <f>SUM(M429:M430)</f>
        <v>0</v>
      </c>
    </row>
    <row r="432" spans="1:13" s="1108" customFormat="1" ht="15">
      <c r="A432" s="1195">
        <v>425</v>
      </c>
      <c r="B432" s="1200"/>
      <c r="C432" s="684">
        <v>2</v>
      </c>
      <c r="D432" s="716" t="s">
        <v>1036</v>
      </c>
      <c r="E432" s="1160" t="s">
        <v>400</v>
      </c>
      <c r="F432" s="721">
        <v>20</v>
      </c>
      <c r="G432" s="716">
        <v>0</v>
      </c>
      <c r="H432" s="716">
        <v>0</v>
      </c>
      <c r="I432" s="778"/>
      <c r="J432" s="687"/>
      <c r="K432" s="687"/>
      <c r="L432" s="779"/>
      <c r="M432" s="752"/>
    </row>
    <row r="433" spans="1:13" ht="15">
      <c r="A433" s="1195">
        <v>426</v>
      </c>
      <c r="B433" s="1200"/>
      <c r="C433" s="684"/>
      <c r="D433" s="688" t="s">
        <v>1168</v>
      </c>
      <c r="E433" s="1160"/>
      <c r="F433" s="727"/>
      <c r="G433" s="721"/>
      <c r="H433" s="721"/>
      <c r="I433" s="778"/>
      <c r="J433" s="687">
        <v>20</v>
      </c>
      <c r="K433" s="687"/>
      <c r="L433" s="780">
        <f t="shared" si="3"/>
        <v>20</v>
      </c>
      <c r="M433" s="757"/>
    </row>
    <row r="434" spans="1:13" s="1109" customFormat="1" ht="15">
      <c r="A434" s="1195">
        <v>427</v>
      </c>
      <c r="B434" s="1201"/>
      <c r="C434" s="711"/>
      <c r="D434" s="690" t="s">
        <v>1170</v>
      </c>
      <c r="E434" s="738"/>
      <c r="F434" s="728"/>
      <c r="G434" s="727"/>
      <c r="H434" s="727"/>
      <c r="I434" s="781"/>
      <c r="J434" s="713"/>
      <c r="K434" s="713"/>
      <c r="L434" s="782">
        <f t="shared" si="3"/>
        <v>0</v>
      </c>
      <c r="M434" s="760"/>
    </row>
    <row r="435" spans="1:13" s="1110" customFormat="1" ht="15">
      <c r="A435" s="1195">
        <v>428</v>
      </c>
      <c r="B435" s="739"/>
      <c r="C435" s="714"/>
      <c r="D435" s="691" t="s">
        <v>1169</v>
      </c>
      <c r="E435" s="1152"/>
      <c r="F435" s="716"/>
      <c r="G435" s="728"/>
      <c r="H435" s="728"/>
      <c r="I435" s="786">
        <f>SUM(I433:I434)</f>
        <v>0</v>
      </c>
      <c r="J435" s="728">
        <f>SUM(J433:J434)</f>
        <v>20</v>
      </c>
      <c r="K435" s="728">
        <f>SUM(K433:K434)</f>
        <v>0</v>
      </c>
      <c r="L435" s="779">
        <f t="shared" si="3"/>
        <v>20</v>
      </c>
      <c r="M435" s="759">
        <f>SUM(M433:M434)</f>
        <v>0</v>
      </c>
    </row>
    <row r="436" spans="1:13" s="1108" customFormat="1" ht="15">
      <c r="A436" s="1195">
        <v>429</v>
      </c>
      <c r="B436" s="1200"/>
      <c r="C436" s="684">
        <v>3</v>
      </c>
      <c r="D436" s="716" t="s">
        <v>1056</v>
      </c>
      <c r="E436" s="1160" t="s">
        <v>400</v>
      </c>
      <c r="F436" s="721">
        <v>75</v>
      </c>
      <c r="G436" s="716">
        <v>0</v>
      </c>
      <c r="H436" s="716">
        <v>0</v>
      </c>
      <c r="I436" s="778"/>
      <c r="J436" s="687"/>
      <c r="K436" s="687"/>
      <c r="L436" s="779"/>
      <c r="M436" s="752"/>
    </row>
    <row r="437" spans="1:13" ht="15">
      <c r="A437" s="1195">
        <v>430</v>
      </c>
      <c r="B437" s="1200"/>
      <c r="C437" s="684"/>
      <c r="D437" s="688" t="s">
        <v>1168</v>
      </c>
      <c r="E437" s="1160"/>
      <c r="F437" s="727"/>
      <c r="G437" s="721"/>
      <c r="H437" s="721"/>
      <c r="I437" s="778"/>
      <c r="J437" s="687">
        <v>75</v>
      </c>
      <c r="K437" s="687"/>
      <c r="L437" s="780">
        <f t="shared" si="3"/>
        <v>75</v>
      </c>
      <c r="M437" s="757"/>
    </row>
    <row r="438" spans="1:13" s="1109" customFormat="1" ht="15">
      <c r="A438" s="1195">
        <v>431</v>
      </c>
      <c r="B438" s="1201"/>
      <c r="C438" s="711"/>
      <c r="D438" s="690" t="s">
        <v>1170</v>
      </c>
      <c r="E438" s="738"/>
      <c r="F438" s="728"/>
      <c r="G438" s="727"/>
      <c r="H438" s="727"/>
      <c r="I438" s="781"/>
      <c r="J438" s="713"/>
      <c r="K438" s="713"/>
      <c r="L438" s="779">
        <f t="shared" si="3"/>
        <v>0</v>
      </c>
      <c r="M438" s="760"/>
    </row>
    <row r="439" spans="1:13" s="1110" customFormat="1" ht="15">
      <c r="A439" s="1195">
        <v>432</v>
      </c>
      <c r="B439" s="739"/>
      <c r="C439" s="714"/>
      <c r="D439" s="691" t="s">
        <v>1169</v>
      </c>
      <c r="E439" s="1152"/>
      <c r="F439" s="716"/>
      <c r="G439" s="728"/>
      <c r="H439" s="728"/>
      <c r="I439" s="786">
        <f>SUM(I437:I438)</f>
        <v>0</v>
      </c>
      <c r="J439" s="728">
        <f>SUM(J437:J438)</f>
        <v>75</v>
      </c>
      <c r="K439" s="728">
        <f>SUM(K437:K438)</f>
        <v>0</v>
      </c>
      <c r="L439" s="779">
        <f t="shared" si="3"/>
        <v>75</v>
      </c>
      <c r="M439" s="759">
        <f>SUM(M437:M438)</f>
        <v>0</v>
      </c>
    </row>
    <row r="440" spans="1:13" s="1108" customFormat="1" ht="15">
      <c r="A440" s="1195">
        <v>433</v>
      </c>
      <c r="B440" s="1200"/>
      <c r="C440" s="684">
        <v>4</v>
      </c>
      <c r="D440" s="716" t="s">
        <v>1035</v>
      </c>
      <c r="E440" s="1160" t="s">
        <v>400</v>
      </c>
      <c r="F440" s="721">
        <v>50</v>
      </c>
      <c r="G440" s="716">
        <v>0</v>
      </c>
      <c r="H440" s="716">
        <v>0</v>
      </c>
      <c r="I440" s="778"/>
      <c r="J440" s="687"/>
      <c r="K440" s="687"/>
      <c r="L440" s="779"/>
      <c r="M440" s="752"/>
    </row>
    <row r="441" spans="1:13" ht="15">
      <c r="A441" s="1195">
        <v>434</v>
      </c>
      <c r="B441" s="1200"/>
      <c r="C441" s="684"/>
      <c r="D441" s="688" t="s">
        <v>1168</v>
      </c>
      <c r="E441" s="1160"/>
      <c r="F441" s="727"/>
      <c r="G441" s="721"/>
      <c r="H441" s="721"/>
      <c r="I441" s="778"/>
      <c r="J441" s="687">
        <v>50</v>
      </c>
      <c r="K441" s="687"/>
      <c r="L441" s="780">
        <f t="shared" si="3"/>
        <v>50</v>
      </c>
      <c r="M441" s="757"/>
    </row>
    <row r="442" spans="1:13" s="1109" customFormat="1" ht="15">
      <c r="A442" s="1195">
        <v>435</v>
      </c>
      <c r="B442" s="1201"/>
      <c r="C442" s="711"/>
      <c r="D442" s="690" t="s">
        <v>1170</v>
      </c>
      <c r="E442" s="738"/>
      <c r="F442" s="728"/>
      <c r="G442" s="727"/>
      <c r="H442" s="727"/>
      <c r="I442" s="781"/>
      <c r="J442" s="713"/>
      <c r="K442" s="713"/>
      <c r="L442" s="782">
        <f t="shared" si="3"/>
        <v>0</v>
      </c>
      <c r="M442" s="760"/>
    </row>
    <row r="443" spans="1:13" s="1110" customFormat="1" ht="15">
      <c r="A443" s="1195">
        <v>436</v>
      </c>
      <c r="B443" s="739"/>
      <c r="C443" s="714"/>
      <c r="D443" s="691" t="s">
        <v>1169</v>
      </c>
      <c r="E443" s="1152"/>
      <c r="F443" s="716"/>
      <c r="G443" s="728"/>
      <c r="H443" s="728"/>
      <c r="I443" s="786">
        <f>SUM(I441:I442)</f>
        <v>0</v>
      </c>
      <c r="J443" s="728">
        <f>SUM(J441:J442)</f>
        <v>50</v>
      </c>
      <c r="K443" s="728">
        <f>SUM(K441:K442)</f>
        <v>0</v>
      </c>
      <c r="L443" s="779">
        <f t="shared" si="3"/>
        <v>50</v>
      </c>
      <c r="M443" s="759">
        <f>SUM(M441:M442)</f>
        <v>0</v>
      </c>
    </row>
    <row r="444" spans="1:13" s="1108" customFormat="1" ht="15">
      <c r="A444" s="1195">
        <v>437</v>
      </c>
      <c r="B444" s="1200"/>
      <c r="C444" s="684">
        <v>5</v>
      </c>
      <c r="D444" s="716" t="s">
        <v>1036</v>
      </c>
      <c r="E444" s="1160" t="s">
        <v>400</v>
      </c>
      <c r="F444" s="721">
        <v>20</v>
      </c>
      <c r="G444" s="716">
        <v>0</v>
      </c>
      <c r="H444" s="716">
        <v>0</v>
      </c>
      <c r="I444" s="778"/>
      <c r="J444" s="687"/>
      <c r="K444" s="687"/>
      <c r="L444" s="779"/>
      <c r="M444" s="752"/>
    </row>
    <row r="445" spans="1:13" ht="15">
      <c r="A445" s="1195">
        <v>438</v>
      </c>
      <c r="B445" s="1200"/>
      <c r="C445" s="684"/>
      <c r="D445" s="688" t="s">
        <v>1168</v>
      </c>
      <c r="E445" s="1168"/>
      <c r="F445" s="1176"/>
      <c r="G445" s="721"/>
      <c r="H445" s="721"/>
      <c r="I445" s="778"/>
      <c r="J445" s="687">
        <v>20</v>
      </c>
      <c r="K445" s="687"/>
      <c r="L445" s="780">
        <f t="shared" si="3"/>
        <v>20</v>
      </c>
      <c r="M445" s="757"/>
    </row>
    <row r="446" spans="1:13" s="1109" customFormat="1" ht="15">
      <c r="A446" s="1195">
        <v>439</v>
      </c>
      <c r="B446" s="1201"/>
      <c r="C446" s="711"/>
      <c r="D446" s="690" t="s">
        <v>1170</v>
      </c>
      <c r="E446" s="1160"/>
      <c r="F446" s="727"/>
      <c r="G446" s="727"/>
      <c r="H446" s="727"/>
      <c r="I446" s="781"/>
      <c r="J446" s="713"/>
      <c r="K446" s="713"/>
      <c r="L446" s="782">
        <f t="shared" si="3"/>
        <v>0</v>
      </c>
      <c r="M446" s="760"/>
    </row>
    <row r="447" spans="1:13" s="1110" customFormat="1" ht="15">
      <c r="A447" s="1195">
        <v>440</v>
      </c>
      <c r="B447" s="739"/>
      <c r="C447" s="714"/>
      <c r="D447" s="691" t="s">
        <v>1169</v>
      </c>
      <c r="E447" s="738"/>
      <c r="F447" s="728"/>
      <c r="G447" s="728"/>
      <c r="H447" s="728"/>
      <c r="I447" s="786">
        <f>SUM(I445:I446)</f>
        <v>0</v>
      </c>
      <c r="J447" s="728">
        <f>SUM(J445:J446)</f>
        <v>20</v>
      </c>
      <c r="K447" s="728">
        <f>SUM(K445:K446)</f>
        <v>0</v>
      </c>
      <c r="L447" s="779">
        <f t="shared" si="3"/>
        <v>20</v>
      </c>
      <c r="M447" s="759">
        <f>SUM(M445:M446)</f>
        <v>0</v>
      </c>
    </row>
    <row r="448" spans="1:13" s="1108" customFormat="1" ht="15">
      <c r="A448" s="1195">
        <v>441</v>
      </c>
      <c r="B448" s="1200"/>
      <c r="C448" s="684">
        <v>6</v>
      </c>
      <c r="D448" s="716" t="s">
        <v>1057</v>
      </c>
      <c r="E448" s="1160" t="s">
        <v>400</v>
      </c>
      <c r="F448" s="721">
        <v>75</v>
      </c>
      <c r="G448" s="716">
        <v>0</v>
      </c>
      <c r="H448" s="716">
        <v>0</v>
      </c>
      <c r="I448" s="778"/>
      <c r="J448" s="687"/>
      <c r="K448" s="687"/>
      <c r="L448" s="779"/>
      <c r="M448" s="752"/>
    </row>
    <row r="449" spans="1:13" ht="15">
      <c r="A449" s="1195">
        <v>442</v>
      </c>
      <c r="B449" s="1200"/>
      <c r="C449" s="684"/>
      <c r="D449" s="688" t="s">
        <v>1168</v>
      </c>
      <c r="E449" s="1160"/>
      <c r="F449" s="727"/>
      <c r="G449" s="721"/>
      <c r="H449" s="721"/>
      <c r="I449" s="778"/>
      <c r="J449" s="687">
        <v>75</v>
      </c>
      <c r="K449" s="687"/>
      <c r="L449" s="780">
        <f t="shared" si="3"/>
        <v>75</v>
      </c>
      <c r="M449" s="757"/>
    </row>
    <row r="450" spans="1:13" s="1109" customFormat="1" ht="15">
      <c r="A450" s="1195">
        <v>443</v>
      </c>
      <c r="B450" s="1201"/>
      <c r="C450" s="711"/>
      <c r="D450" s="690" t="s">
        <v>1170</v>
      </c>
      <c r="E450" s="738"/>
      <c r="F450" s="728"/>
      <c r="G450" s="727"/>
      <c r="H450" s="727"/>
      <c r="I450" s="781"/>
      <c r="J450" s="713"/>
      <c r="K450" s="713"/>
      <c r="L450" s="782">
        <f t="shared" si="3"/>
        <v>0</v>
      </c>
      <c r="M450" s="760"/>
    </row>
    <row r="451" spans="1:13" s="1110" customFormat="1" ht="15">
      <c r="A451" s="1195">
        <v>444</v>
      </c>
      <c r="B451" s="739"/>
      <c r="C451" s="714"/>
      <c r="D451" s="691" t="s">
        <v>1169</v>
      </c>
      <c r="E451" s="1152"/>
      <c r="F451" s="716"/>
      <c r="G451" s="728"/>
      <c r="H451" s="728"/>
      <c r="I451" s="786">
        <f>SUM(I449:I450)</f>
        <v>0</v>
      </c>
      <c r="J451" s="728">
        <f>SUM(J449:J450)</f>
        <v>75</v>
      </c>
      <c r="K451" s="728">
        <f>SUM(K449:K450)</f>
        <v>0</v>
      </c>
      <c r="L451" s="779">
        <f t="shared" si="3"/>
        <v>75</v>
      </c>
      <c r="M451" s="759">
        <f>SUM(M449:M450)</f>
        <v>0</v>
      </c>
    </row>
    <row r="452" spans="1:13" s="1108" customFormat="1" ht="15">
      <c r="A452" s="1195">
        <v>445</v>
      </c>
      <c r="B452" s="1200"/>
      <c r="C452" s="684">
        <v>7</v>
      </c>
      <c r="D452" s="716" t="s">
        <v>109</v>
      </c>
      <c r="E452" s="1160" t="s">
        <v>400</v>
      </c>
      <c r="F452" s="721">
        <v>60</v>
      </c>
      <c r="G452" s="716">
        <v>0</v>
      </c>
      <c r="H452" s="716">
        <v>0</v>
      </c>
      <c r="I452" s="778"/>
      <c r="J452" s="687"/>
      <c r="K452" s="687"/>
      <c r="L452" s="779"/>
      <c r="M452" s="752"/>
    </row>
    <row r="453" spans="1:13" ht="15">
      <c r="A453" s="1195">
        <v>446</v>
      </c>
      <c r="B453" s="1200"/>
      <c r="C453" s="684"/>
      <c r="D453" s="688" t="s">
        <v>1168</v>
      </c>
      <c r="E453" s="1160"/>
      <c r="F453" s="727"/>
      <c r="G453" s="721"/>
      <c r="H453" s="721"/>
      <c r="I453" s="778"/>
      <c r="J453" s="687">
        <v>60</v>
      </c>
      <c r="K453" s="687"/>
      <c r="L453" s="780">
        <f t="shared" si="3"/>
        <v>60</v>
      </c>
      <c r="M453" s="757"/>
    </row>
    <row r="454" spans="1:13" s="1109" customFormat="1" ht="15">
      <c r="A454" s="1195">
        <v>447</v>
      </c>
      <c r="B454" s="1201"/>
      <c r="C454" s="711"/>
      <c r="D454" s="690" t="s">
        <v>1170</v>
      </c>
      <c r="E454" s="738"/>
      <c r="F454" s="728"/>
      <c r="G454" s="727"/>
      <c r="H454" s="727"/>
      <c r="I454" s="781"/>
      <c r="J454" s="713"/>
      <c r="K454" s="713"/>
      <c r="L454" s="782">
        <f t="shared" si="3"/>
        <v>0</v>
      </c>
      <c r="M454" s="760"/>
    </row>
    <row r="455" spans="1:13" s="1110" customFormat="1" ht="15">
      <c r="A455" s="1195">
        <v>448</v>
      </c>
      <c r="B455" s="739"/>
      <c r="C455" s="714"/>
      <c r="D455" s="691" t="s">
        <v>1169</v>
      </c>
      <c r="E455" s="1160"/>
      <c r="F455" s="686"/>
      <c r="G455" s="728"/>
      <c r="H455" s="728"/>
      <c r="I455" s="786">
        <f>SUM(I453:I454)</f>
        <v>0</v>
      </c>
      <c r="J455" s="728">
        <f>SUM(J453:J454)</f>
        <v>60</v>
      </c>
      <c r="K455" s="728">
        <f>SUM(K453:K454)</f>
        <v>0</v>
      </c>
      <c r="L455" s="779">
        <f t="shared" si="3"/>
        <v>60</v>
      </c>
      <c r="M455" s="759">
        <f>SUM(M453:M454)</f>
        <v>0</v>
      </c>
    </row>
    <row r="456" spans="1:13" ht="25.5" customHeight="1">
      <c r="A456" s="1212">
        <v>449</v>
      </c>
      <c r="B456" s="683">
        <v>5</v>
      </c>
      <c r="C456" s="694"/>
      <c r="D456" s="685" t="s">
        <v>1058</v>
      </c>
      <c r="E456" s="1152"/>
      <c r="F456" s="716"/>
      <c r="G456" s="692"/>
      <c r="H456" s="692"/>
      <c r="I456" s="795"/>
      <c r="J456" s="689"/>
      <c r="K456" s="689"/>
      <c r="L456" s="779"/>
      <c r="M456" s="769"/>
    </row>
    <row r="457" spans="1:13" s="1108" customFormat="1" ht="15">
      <c r="A457" s="1195">
        <v>450</v>
      </c>
      <c r="B457" s="1200"/>
      <c r="C457" s="684">
        <v>1</v>
      </c>
      <c r="D457" s="716" t="s">
        <v>1059</v>
      </c>
      <c r="E457" s="1160" t="s">
        <v>400</v>
      </c>
      <c r="F457" s="721">
        <v>1500</v>
      </c>
      <c r="G457" s="716">
        <v>0</v>
      </c>
      <c r="H457" s="716">
        <v>0</v>
      </c>
      <c r="I457" s="778"/>
      <c r="J457" s="687"/>
      <c r="K457" s="687"/>
      <c r="L457" s="779"/>
      <c r="M457" s="752"/>
    </row>
    <row r="458" spans="1:13" ht="15">
      <c r="A458" s="1195">
        <v>451</v>
      </c>
      <c r="B458" s="1200"/>
      <c r="C458" s="684"/>
      <c r="D458" s="688" t="s">
        <v>1168</v>
      </c>
      <c r="E458" s="1168"/>
      <c r="F458" s="1176"/>
      <c r="G458" s="721"/>
      <c r="H458" s="721"/>
      <c r="I458" s="778"/>
      <c r="J458" s="687">
        <v>1500</v>
      </c>
      <c r="K458" s="687"/>
      <c r="L458" s="780">
        <f aca="true" t="shared" si="4" ref="L458:L523">SUM(I458:K458)</f>
        <v>1500</v>
      </c>
      <c r="M458" s="757"/>
    </row>
    <row r="459" spans="1:13" s="1109" customFormat="1" ht="15">
      <c r="A459" s="1195">
        <v>452</v>
      </c>
      <c r="B459" s="1201"/>
      <c r="C459" s="711"/>
      <c r="D459" s="690" t="s">
        <v>1170</v>
      </c>
      <c r="E459" s="1160"/>
      <c r="F459" s="727"/>
      <c r="G459" s="727"/>
      <c r="H459" s="727"/>
      <c r="I459" s="781"/>
      <c r="J459" s="713"/>
      <c r="K459" s="713"/>
      <c r="L459" s="782">
        <f t="shared" si="4"/>
        <v>0</v>
      </c>
      <c r="M459" s="760"/>
    </row>
    <row r="460" spans="1:13" s="1110" customFormat="1" ht="15">
      <c r="A460" s="1195">
        <v>453</v>
      </c>
      <c r="B460" s="739"/>
      <c r="C460" s="714"/>
      <c r="D460" s="691" t="s">
        <v>1169</v>
      </c>
      <c r="E460" s="738"/>
      <c r="F460" s="728"/>
      <c r="G460" s="728"/>
      <c r="H460" s="728"/>
      <c r="I460" s="786">
        <f>SUM(I458:I459)</f>
        <v>0</v>
      </c>
      <c r="J460" s="728">
        <f>SUM(J458:J459)</f>
        <v>1500</v>
      </c>
      <c r="K460" s="728">
        <f>SUM(K458:K459)</f>
        <v>0</v>
      </c>
      <c r="L460" s="779">
        <f t="shared" si="4"/>
        <v>1500</v>
      </c>
      <c r="M460" s="759">
        <f>SUM(M458:M459)</f>
        <v>0</v>
      </c>
    </row>
    <row r="461" spans="1:13" ht="25.5" customHeight="1">
      <c r="A461" s="1212">
        <v>454</v>
      </c>
      <c r="B461" s="683">
        <v>6</v>
      </c>
      <c r="C461" s="694"/>
      <c r="D461" s="685" t="s">
        <v>1190</v>
      </c>
      <c r="E461" s="1160"/>
      <c r="F461" s="686"/>
      <c r="G461" s="692"/>
      <c r="H461" s="692"/>
      <c r="I461" s="795"/>
      <c r="J461" s="689"/>
      <c r="K461" s="689"/>
      <c r="L461" s="779"/>
      <c r="M461" s="769"/>
    </row>
    <row r="462" spans="1:13" ht="15">
      <c r="A462" s="1195">
        <v>455</v>
      </c>
      <c r="B462" s="1200"/>
      <c r="C462" s="684">
        <v>1</v>
      </c>
      <c r="D462" s="688" t="s">
        <v>1049</v>
      </c>
      <c r="E462" s="1160" t="s">
        <v>400</v>
      </c>
      <c r="F462" s="721">
        <v>74</v>
      </c>
      <c r="G462" s="721">
        <v>0</v>
      </c>
      <c r="H462" s="721">
        <v>0</v>
      </c>
      <c r="I462" s="778"/>
      <c r="J462" s="687"/>
      <c r="K462" s="687"/>
      <c r="L462" s="779"/>
      <c r="M462" s="757"/>
    </row>
    <row r="463" spans="1:13" ht="15">
      <c r="A463" s="1195">
        <v>456</v>
      </c>
      <c r="B463" s="1200"/>
      <c r="C463" s="684"/>
      <c r="D463" s="688" t="s">
        <v>1168</v>
      </c>
      <c r="E463" s="1160"/>
      <c r="F463" s="727"/>
      <c r="G463" s="721"/>
      <c r="H463" s="721"/>
      <c r="I463" s="778"/>
      <c r="J463" s="687">
        <v>74</v>
      </c>
      <c r="K463" s="687"/>
      <c r="L463" s="780">
        <f t="shared" si="4"/>
        <v>74</v>
      </c>
      <c r="M463" s="757"/>
    </row>
    <row r="464" spans="1:13" s="1109" customFormat="1" ht="15">
      <c r="A464" s="1195">
        <v>457</v>
      </c>
      <c r="B464" s="1201"/>
      <c r="C464" s="711"/>
      <c r="D464" s="690" t="s">
        <v>1170</v>
      </c>
      <c r="E464" s="738"/>
      <c r="F464" s="728"/>
      <c r="G464" s="727"/>
      <c r="H464" s="727"/>
      <c r="I464" s="781"/>
      <c r="J464" s="713"/>
      <c r="K464" s="713"/>
      <c r="L464" s="782">
        <f t="shared" si="4"/>
        <v>0</v>
      </c>
      <c r="M464" s="760"/>
    </row>
    <row r="465" spans="1:13" s="1110" customFormat="1" ht="15">
      <c r="A465" s="1195">
        <v>458</v>
      </c>
      <c r="B465" s="739"/>
      <c r="C465" s="714"/>
      <c r="D465" s="691" t="s">
        <v>1169</v>
      </c>
      <c r="E465" s="1160"/>
      <c r="F465" s="721"/>
      <c r="G465" s="728"/>
      <c r="H465" s="728"/>
      <c r="I465" s="786">
        <f>SUM(I463:I464)</f>
        <v>0</v>
      </c>
      <c r="J465" s="728">
        <f>SUM(J463:J464)</f>
        <v>74</v>
      </c>
      <c r="K465" s="728">
        <f>SUM(K463:K464)</f>
        <v>0</v>
      </c>
      <c r="L465" s="779">
        <f t="shared" si="4"/>
        <v>74</v>
      </c>
      <c r="M465" s="759">
        <f>SUM(M463:M464)</f>
        <v>0</v>
      </c>
    </row>
    <row r="466" spans="1:13" ht="15">
      <c r="A466" s="1195">
        <v>459</v>
      </c>
      <c r="B466" s="1200"/>
      <c r="C466" s="684">
        <v>2</v>
      </c>
      <c r="D466" s="688" t="s">
        <v>1060</v>
      </c>
      <c r="E466" s="1160" t="s">
        <v>400</v>
      </c>
      <c r="F466" s="721">
        <v>29</v>
      </c>
      <c r="G466" s="721">
        <v>0</v>
      </c>
      <c r="H466" s="721">
        <v>0</v>
      </c>
      <c r="I466" s="778"/>
      <c r="J466" s="687"/>
      <c r="K466" s="687"/>
      <c r="L466" s="779"/>
      <c r="M466" s="757"/>
    </row>
    <row r="467" spans="1:13" ht="15">
      <c r="A467" s="1195">
        <v>460</v>
      </c>
      <c r="B467" s="1200"/>
      <c r="C467" s="684"/>
      <c r="D467" s="688" t="s">
        <v>1168</v>
      </c>
      <c r="E467" s="1160"/>
      <c r="F467" s="727"/>
      <c r="G467" s="721"/>
      <c r="H467" s="721"/>
      <c r="I467" s="778"/>
      <c r="J467" s="687">
        <v>29</v>
      </c>
      <c r="K467" s="687"/>
      <c r="L467" s="780">
        <f t="shared" si="4"/>
        <v>29</v>
      </c>
      <c r="M467" s="757"/>
    </row>
    <row r="468" spans="1:13" s="1109" customFormat="1" ht="15">
      <c r="A468" s="1195">
        <v>461</v>
      </c>
      <c r="B468" s="1201"/>
      <c r="C468" s="711"/>
      <c r="D468" s="690" t="s">
        <v>1170</v>
      </c>
      <c r="E468" s="738"/>
      <c r="F468" s="728"/>
      <c r="G468" s="727"/>
      <c r="H468" s="727"/>
      <c r="I468" s="781"/>
      <c r="J468" s="713"/>
      <c r="K468" s="713"/>
      <c r="L468" s="782">
        <f t="shared" si="4"/>
        <v>0</v>
      </c>
      <c r="M468" s="760"/>
    </row>
    <row r="469" spans="1:13" s="1110" customFormat="1" ht="15">
      <c r="A469" s="1195">
        <v>462</v>
      </c>
      <c r="B469" s="739"/>
      <c r="C469" s="714"/>
      <c r="D469" s="691" t="s">
        <v>1169</v>
      </c>
      <c r="E469" s="1160"/>
      <c r="F469" s="721"/>
      <c r="G469" s="728"/>
      <c r="H469" s="728"/>
      <c r="I469" s="786">
        <f>SUM(I467:I468)</f>
        <v>0</v>
      </c>
      <c r="J469" s="728">
        <f>SUM(J467:J468)</f>
        <v>29</v>
      </c>
      <c r="K469" s="728">
        <f>SUM(K467:K468)</f>
        <v>0</v>
      </c>
      <c r="L469" s="779">
        <f t="shared" si="4"/>
        <v>29</v>
      </c>
      <c r="M469" s="759">
        <f>SUM(M467:M468)</f>
        <v>0</v>
      </c>
    </row>
    <row r="470" spans="1:13" ht="15">
      <c r="A470" s="1195">
        <v>463</v>
      </c>
      <c r="B470" s="1200"/>
      <c r="C470" s="684">
        <v>3</v>
      </c>
      <c r="D470" s="688" t="s">
        <v>110</v>
      </c>
      <c r="E470" s="1160" t="s">
        <v>400</v>
      </c>
      <c r="F470" s="721">
        <v>75</v>
      </c>
      <c r="G470" s="721">
        <v>0</v>
      </c>
      <c r="H470" s="721">
        <v>0</v>
      </c>
      <c r="I470" s="778"/>
      <c r="J470" s="687"/>
      <c r="K470" s="687"/>
      <c r="L470" s="779"/>
      <c r="M470" s="757"/>
    </row>
    <row r="471" spans="1:13" ht="15">
      <c r="A471" s="1195">
        <v>464</v>
      </c>
      <c r="B471" s="1200"/>
      <c r="C471" s="684"/>
      <c r="D471" s="688" t="s">
        <v>1168</v>
      </c>
      <c r="E471" s="1168"/>
      <c r="F471" s="1176"/>
      <c r="G471" s="721"/>
      <c r="H471" s="721"/>
      <c r="I471" s="778"/>
      <c r="J471" s="687">
        <v>75</v>
      </c>
      <c r="K471" s="687"/>
      <c r="L471" s="780">
        <f t="shared" si="4"/>
        <v>75</v>
      </c>
      <c r="M471" s="757"/>
    </row>
    <row r="472" spans="1:13" s="1109" customFormat="1" ht="15">
      <c r="A472" s="1195">
        <v>465</v>
      </c>
      <c r="B472" s="1201"/>
      <c r="C472" s="711"/>
      <c r="D472" s="690" t="s">
        <v>1170</v>
      </c>
      <c r="E472" s="1160"/>
      <c r="F472" s="727"/>
      <c r="G472" s="727"/>
      <c r="H472" s="727"/>
      <c r="I472" s="781"/>
      <c r="J472" s="713"/>
      <c r="K472" s="713"/>
      <c r="L472" s="782">
        <f t="shared" si="4"/>
        <v>0</v>
      </c>
      <c r="M472" s="760"/>
    </row>
    <row r="473" spans="1:13" s="1110" customFormat="1" ht="15">
      <c r="A473" s="1195">
        <v>466</v>
      </c>
      <c r="B473" s="739"/>
      <c r="C473" s="714"/>
      <c r="D473" s="691" t="s">
        <v>1169</v>
      </c>
      <c r="E473" s="738"/>
      <c r="F473" s="728"/>
      <c r="G473" s="728"/>
      <c r="H473" s="728"/>
      <c r="I473" s="786"/>
      <c r="J473" s="728">
        <f>SUM(J471:J472)</f>
        <v>75</v>
      </c>
      <c r="K473" s="728">
        <f>SUM(K471:K472)</f>
        <v>0</v>
      </c>
      <c r="L473" s="779">
        <f t="shared" si="4"/>
        <v>75</v>
      </c>
      <c r="M473" s="759">
        <f>SUM(M471:M472)</f>
        <v>0</v>
      </c>
    </row>
    <row r="474" spans="1:13" ht="15">
      <c r="A474" s="1195">
        <v>467</v>
      </c>
      <c r="B474" s="1200"/>
      <c r="C474" s="684">
        <v>4</v>
      </c>
      <c r="D474" s="688" t="s">
        <v>288</v>
      </c>
      <c r="E474" s="1160" t="s">
        <v>400</v>
      </c>
      <c r="F474" s="721">
        <v>140</v>
      </c>
      <c r="G474" s="721">
        <v>0</v>
      </c>
      <c r="H474" s="721">
        <v>0</v>
      </c>
      <c r="I474" s="778"/>
      <c r="J474" s="687"/>
      <c r="K474" s="687"/>
      <c r="L474" s="779"/>
      <c r="M474" s="757"/>
    </row>
    <row r="475" spans="1:13" s="1109" customFormat="1" ht="15">
      <c r="A475" s="1195">
        <v>468</v>
      </c>
      <c r="B475" s="1201"/>
      <c r="C475" s="711"/>
      <c r="D475" s="690" t="s">
        <v>1170</v>
      </c>
      <c r="E475" s="1160"/>
      <c r="F475" s="727"/>
      <c r="G475" s="727"/>
      <c r="H475" s="727"/>
      <c r="I475" s="781"/>
      <c r="J475" s="713">
        <v>140</v>
      </c>
      <c r="K475" s="713"/>
      <c r="L475" s="782">
        <f>SUM(I475:K475)</f>
        <v>140</v>
      </c>
      <c r="M475" s="760"/>
    </row>
    <row r="476" spans="1:13" s="1110" customFormat="1" ht="15">
      <c r="A476" s="1195">
        <v>469</v>
      </c>
      <c r="B476" s="739"/>
      <c r="C476" s="714"/>
      <c r="D476" s="691" t="s">
        <v>1169</v>
      </c>
      <c r="E476" s="1153"/>
      <c r="F476" s="728"/>
      <c r="G476" s="728"/>
      <c r="H476" s="728"/>
      <c r="I476" s="786">
        <f>SUM(I475)</f>
        <v>0</v>
      </c>
      <c r="J476" s="728">
        <f>SUM(J475)</f>
        <v>140</v>
      </c>
      <c r="K476" s="728">
        <f>SUM(K475)</f>
        <v>0</v>
      </c>
      <c r="L476" s="1101">
        <f>SUM(I476:K476)</f>
        <v>140</v>
      </c>
      <c r="M476" s="1102">
        <f>SUM(M475)</f>
        <v>0</v>
      </c>
    </row>
    <row r="477" spans="1:13" ht="25.5" customHeight="1">
      <c r="A477" s="1212">
        <v>470</v>
      </c>
      <c r="B477" s="683">
        <v>6</v>
      </c>
      <c r="C477" s="694"/>
      <c r="D477" s="685" t="s">
        <v>1061</v>
      </c>
      <c r="E477" s="1160"/>
      <c r="F477" s="686"/>
      <c r="G477" s="692"/>
      <c r="H477" s="692"/>
      <c r="I477" s="795"/>
      <c r="J477" s="689"/>
      <c r="K477" s="689"/>
      <c r="L477" s="779"/>
      <c r="M477" s="769"/>
    </row>
    <row r="478" spans="1:13" s="1108" customFormat="1" ht="15">
      <c r="A478" s="1195">
        <v>471</v>
      </c>
      <c r="B478" s="1200"/>
      <c r="C478" s="684">
        <v>1</v>
      </c>
      <c r="D478" s="716" t="s">
        <v>1062</v>
      </c>
      <c r="E478" s="1160" t="s">
        <v>400</v>
      </c>
      <c r="F478" s="721">
        <v>178</v>
      </c>
      <c r="G478" s="716">
        <v>0</v>
      </c>
      <c r="H478" s="716">
        <v>0</v>
      </c>
      <c r="I478" s="778"/>
      <c r="J478" s="687"/>
      <c r="K478" s="687"/>
      <c r="L478" s="779"/>
      <c r="M478" s="752"/>
    </row>
    <row r="479" spans="1:13" ht="15">
      <c r="A479" s="1195">
        <v>472</v>
      </c>
      <c r="B479" s="1200"/>
      <c r="C479" s="684"/>
      <c r="D479" s="688" t="s">
        <v>1168</v>
      </c>
      <c r="E479" s="1160"/>
      <c r="F479" s="727"/>
      <c r="G479" s="721"/>
      <c r="H479" s="721"/>
      <c r="I479" s="778"/>
      <c r="J479" s="687">
        <v>178</v>
      </c>
      <c r="K479" s="687"/>
      <c r="L479" s="780">
        <f t="shared" si="4"/>
        <v>178</v>
      </c>
      <c r="M479" s="757"/>
    </row>
    <row r="480" spans="1:13" s="1109" customFormat="1" ht="15">
      <c r="A480" s="1195">
        <v>473</v>
      </c>
      <c r="B480" s="1201"/>
      <c r="C480" s="711"/>
      <c r="D480" s="690" t="s">
        <v>1170</v>
      </c>
      <c r="E480" s="738"/>
      <c r="F480" s="728"/>
      <c r="G480" s="727"/>
      <c r="H480" s="727"/>
      <c r="I480" s="781"/>
      <c r="J480" s="713"/>
      <c r="K480" s="713"/>
      <c r="L480" s="782">
        <f t="shared" si="4"/>
        <v>0</v>
      </c>
      <c r="M480" s="760"/>
    </row>
    <row r="481" spans="1:13" s="1110" customFormat="1" ht="15">
      <c r="A481" s="1195">
        <v>474</v>
      </c>
      <c r="B481" s="739"/>
      <c r="C481" s="714"/>
      <c r="D481" s="691" t="s">
        <v>1169</v>
      </c>
      <c r="E481" s="1152"/>
      <c r="F481" s="716"/>
      <c r="G481" s="728"/>
      <c r="H481" s="728"/>
      <c r="I481" s="786">
        <f>SUM(I479:I480)</f>
        <v>0</v>
      </c>
      <c r="J481" s="728">
        <f>SUM(J479:J480)</f>
        <v>178</v>
      </c>
      <c r="K481" s="728">
        <f>SUM(K479:K480)</f>
        <v>0</v>
      </c>
      <c r="L481" s="779">
        <f t="shared" si="4"/>
        <v>178</v>
      </c>
      <c r="M481" s="759">
        <f>SUM(M479:M480)</f>
        <v>0</v>
      </c>
    </row>
    <row r="482" spans="1:13" s="1108" customFormat="1" ht="15">
      <c r="A482" s="1195">
        <v>475</v>
      </c>
      <c r="B482" s="1200"/>
      <c r="C482" s="684">
        <v>2</v>
      </c>
      <c r="D482" s="716" t="s">
        <v>111</v>
      </c>
      <c r="E482" s="1160" t="s">
        <v>400</v>
      </c>
      <c r="F482" s="721">
        <v>15</v>
      </c>
      <c r="G482" s="716">
        <v>0</v>
      </c>
      <c r="H482" s="716">
        <v>0</v>
      </c>
      <c r="I482" s="778"/>
      <c r="J482" s="687"/>
      <c r="K482" s="687"/>
      <c r="L482" s="779"/>
      <c r="M482" s="752"/>
    </row>
    <row r="483" spans="1:13" ht="15">
      <c r="A483" s="1195">
        <v>476</v>
      </c>
      <c r="B483" s="1200"/>
      <c r="C483" s="684"/>
      <c r="D483" s="688" t="s">
        <v>1168</v>
      </c>
      <c r="E483" s="1160"/>
      <c r="F483" s="727"/>
      <c r="G483" s="721"/>
      <c r="H483" s="721"/>
      <c r="I483" s="778"/>
      <c r="J483" s="687">
        <v>15</v>
      </c>
      <c r="K483" s="687"/>
      <c r="L483" s="780">
        <f t="shared" si="4"/>
        <v>15</v>
      </c>
      <c r="M483" s="757"/>
    </row>
    <row r="484" spans="1:13" s="1109" customFormat="1" ht="15">
      <c r="A484" s="1195">
        <v>477</v>
      </c>
      <c r="B484" s="1201"/>
      <c r="C484" s="711"/>
      <c r="D484" s="690" t="s">
        <v>1170</v>
      </c>
      <c r="E484" s="738"/>
      <c r="F484" s="728"/>
      <c r="G484" s="727"/>
      <c r="H484" s="727"/>
      <c r="I484" s="781"/>
      <c r="J484" s="713"/>
      <c r="K484" s="713"/>
      <c r="L484" s="782">
        <f t="shared" si="4"/>
        <v>0</v>
      </c>
      <c r="M484" s="760"/>
    </row>
    <row r="485" spans="1:13" s="1110" customFormat="1" ht="15">
      <c r="A485" s="1195">
        <v>478</v>
      </c>
      <c r="B485" s="739"/>
      <c r="C485" s="714"/>
      <c r="D485" s="691" t="s">
        <v>1169</v>
      </c>
      <c r="E485" s="1152"/>
      <c r="F485" s="716"/>
      <c r="G485" s="728"/>
      <c r="H485" s="728"/>
      <c r="I485" s="786">
        <f>SUM(I483:I484)</f>
        <v>0</v>
      </c>
      <c r="J485" s="728">
        <f>SUM(J483:J484)</f>
        <v>15</v>
      </c>
      <c r="K485" s="728">
        <f>SUM(K483:K484)</f>
        <v>0</v>
      </c>
      <c r="L485" s="779">
        <f t="shared" si="4"/>
        <v>15</v>
      </c>
      <c r="M485" s="759">
        <f>SUM(M483:M484)</f>
        <v>0</v>
      </c>
    </row>
    <row r="486" spans="1:13" s="1108" customFormat="1" ht="15">
      <c r="A486" s="1195">
        <v>479</v>
      </c>
      <c r="B486" s="1200"/>
      <c r="C486" s="684">
        <v>3</v>
      </c>
      <c r="D486" s="716" t="s">
        <v>112</v>
      </c>
      <c r="E486" s="1160" t="s">
        <v>400</v>
      </c>
      <c r="F486" s="721">
        <v>60</v>
      </c>
      <c r="G486" s="716">
        <v>0</v>
      </c>
      <c r="H486" s="716">
        <v>0</v>
      </c>
      <c r="I486" s="778"/>
      <c r="J486" s="687"/>
      <c r="K486" s="687"/>
      <c r="L486" s="779"/>
      <c r="M486" s="752"/>
    </row>
    <row r="487" spans="1:13" ht="15">
      <c r="A487" s="1195">
        <v>480</v>
      </c>
      <c r="B487" s="1200"/>
      <c r="C487" s="684"/>
      <c r="D487" s="688" t="s">
        <v>1168</v>
      </c>
      <c r="E487" s="1168"/>
      <c r="F487" s="1176"/>
      <c r="G487" s="721"/>
      <c r="H487" s="721"/>
      <c r="I487" s="778"/>
      <c r="J487" s="687">
        <v>60</v>
      </c>
      <c r="K487" s="687"/>
      <c r="L487" s="780">
        <f t="shared" si="4"/>
        <v>60</v>
      </c>
      <c r="M487" s="757"/>
    </row>
    <row r="488" spans="1:13" s="1109" customFormat="1" ht="15">
      <c r="A488" s="1195">
        <v>481</v>
      </c>
      <c r="B488" s="1201"/>
      <c r="C488" s="711"/>
      <c r="D488" s="690" t="s">
        <v>1170</v>
      </c>
      <c r="E488" s="1160"/>
      <c r="F488" s="727"/>
      <c r="G488" s="727"/>
      <c r="H488" s="727"/>
      <c r="I488" s="781"/>
      <c r="J488" s="713"/>
      <c r="K488" s="713"/>
      <c r="L488" s="782">
        <f t="shared" si="4"/>
        <v>0</v>
      </c>
      <c r="M488" s="760"/>
    </row>
    <row r="489" spans="1:13" s="1110" customFormat="1" ht="15">
      <c r="A489" s="1195">
        <v>482</v>
      </c>
      <c r="B489" s="739"/>
      <c r="C489" s="714"/>
      <c r="D489" s="691" t="s">
        <v>1169</v>
      </c>
      <c r="E489" s="738"/>
      <c r="F489" s="728"/>
      <c r="G489" s="728"/>
      <c r="H489" s="728"/>
      <c r="I489" s="786">
        <f>SUM(I487:I488)</f>
        <v>0</v>
      </c>
      <c r="J489" s="728">
        <f>SUM(J487:J488)</f>
        <v>60</v>
      </c>
      <c r="K489" s="728">
        <f>SUM(K487:K488)</f>
        <v>0</v>
      </c>
      <c r="L489" s="779">
        <f t="shared" si="4"/>
        <v>60</v>
      </c>
      <c r="M489" s="759">
        <f>SUM(M487:M488)</f>
        <v>0</v>
      </c>
    </row>
    <row r="490" spans="1:13" ht="25.5" customHeight="1">
      <c r="A490" s="1212">
        <v>483</v>
      </c>
      <c r="B490" s="683">
        <v>7</v>
      </c>
      <c r="C490" s="694"/>
      <c r="D490" s="685" t="s">
        <v>96</v>
      </c>
      <c r="E490" s="1160"/>
      <c r="F490" s="686"/>
      <c r="G490" s="692"/>
      <c r="H490" s="692"/>
      <c r="I490" s="795"/>
      <c r="J490" s="689"/>
      <c r="K490" s="689"/>
      <c r="L490" s="779"/>
      <c r="M490" s="769"/>
    </row>
    <row r="491" spans="1:13" s="1108" customFormat="1" ht="18" customHeight="1">
      <c r="A491" s="1195">
        <v>484</v>
      </c>
      <c r="B491" s="1200"/>
      <c r="C491" s="684">
        <v>1</v>
      </c>
      <c r="D491" s="716" t="s">
        <v>1063</v>
      </c>
      <c r="E491" s="1160" t="s">
        <v>400</v>
      </c>
      <c r="F491" s="721">
        <v>80</v>
      </c>
      <c r="G491" s="716">
        <v>0</v>
      </c>
      <c r="H491" s="716">
        <v>0</v>
      </c>
      <c r="I491" s="778"/>
      <c r="J491" s="687"/>
      <c r="K491" s="687"/>
      <c r="L491" s="779"/>
      <c r="M491" s="752"/>
    </row>
    <row r="492" spans="1:13" ht="15">
      <c r="A492" s="1195">
        <v>485</v>
      </c>
      <c r="B492" s="1200"/>
      <c r="C492" s="684"/>
      <c r="D492" s="688" t="s">
        <v>1168</v>
      </c>
      <c r="E492" s="1160"/>
      <c r="F492" s="727"/>
      <c r="G492" s="721"/>
      <c r="H492" s="721"/>
      <c r="I492" s="778"/>
      <c r="J492" s="687">
        <v>80</v>
      </c>
      <c r="K492" s="687"/>
      <c r="L492" s="780">
        <f t="shared" si="4"/>
        <v>80</v>
      </c>
      <c r="M492" s="757"/>
    </row>
    <row r="493" spans="1:13" s="1109" customFormat="1" ht="15">
      <c r="A493" s="1195">
        <v>486</v>
      </c>
      <c r="B493" s="1201"/>
      <c r="C493" s="711"/>
      <c r="D493" s="690" t="s">
        <v>1170</v>
      </c>
      <c r="E493" s="738"/>
      <c r="F493" s="728"/>
      <c r="G493" s="727"/>
      <c r="H493" s="727"/>
      <c r="I493" s="781"/>
      <c r="J493" s="713"/>
      <c r="K493" s="713"/>
      <c r="L493" s="782">
        <f t="shared" si="4"/>
        <v>0</v>
      </c>
      <c r="M493" s="760"/>
    </row>
    <row r="494" spans="1:13" s="1110" customFormat="1" ht="15">
      <c r="A494" s="1195">
        <v>487</v>
      </c>
      <c r="B494" s="739"/>
      <c r="C494" s="714"/>
      <c r="D494" s="691" t="s">
        <v>1169</v>
      </c>
      <c r="E494" s="1152"/>
      <c r="F494" s="716"/>
      <c r="G494" s="728"/>
      <c r="H494" s="728"/>
      <c r="I494" s="786">
        <f>SUM(I492:I493)</f>
        <v>0</v>
      </c>
      <c r="J494" s="728">
        <f>SUM(J492:J493)</f>
        <v>80</v>
      </c>
      <c r="K494" s="728">
        <f>SUM(K492:K493)</f>
        <v>0</v>
      </c>
      <c r="L494" s="779">
        <f t="shared" si="4"/>
        <v>80</v>
      </c>
      <c r="M494" s="759">
        <f>SUM(M492:M493)</f>
        <v>0</v>
      </c>
    </row>
    <row r="495" spans="1:13" s="1108" customFormat="1" ht="18" customHeight="1">
      <c r="A495" s="1195">
        <v>488</v>
      </c>
      <c r="B495" s="1200"/>
      <c r="C495" s="684">
        <v>2</v>
      </c>
      <c r="D495" s="716" t="s">
        <v>113</v>
      </c>
      <c r="E495" s="1160" t="s">
        <v>400</v>
      </c>
      <c r="F495" s="721">
        <v>97</v>
      </c>
      <c r="G495" s="716">
        <v>0</v>
      </c>
      <c r="H495" s="716">
        <v>0</v>
      </c>
      <c r="I495" s="778"/>
      <c r="J495" s="687"/>
      <c r="K495" s="687"/>
      <c r="L495" s="779"/>
      <c r="M495" s="752"/>
    </row>
    <row r="496" spans="1:13" ht="15">
      <c r="A496" s="1195">
        <v>489</v>
      </c>
      <c r="B496" s="1200"/>
      <c r="C496" s="684"/>
      <c r="D496" s="688" t="s">
        <v>1168</v>
      </c>
      <c r="E496" s="1160"/>
      <c r="F496" s="727"/>
      <c r="G496" s="721"/>
      <c r="H496" s="721"/>
      <c r="I496" s="778"/>
      <c r="J496" s="687">
        <v>97</v>
      </c>
      <c r="K496" s="687"/>
      <c r="L496" s="780">
        <f t="shared" si="4"/>
        <v>97</v>
      </c>
      <c r="M496" s="757"/>
    </row>
    <row r="497" spans="1:13" s="1109" customFormat="1" ht="15">
      <c r="A497" s="1195">
        <v>490</v>
      </c>
      <c r="B497" s="1201"/>
      <c r="C497" s="711"/>
      <c r="D497" s="690" t="s">
        <v>1170</v>
      </c>
      <c r="E497" s="738"/>
      <c r="F497" s="728"/>
      <c r="G497" s="727"/>
      <c r="H497" s="727"/>
      <c r="I497" s="781"/>
      <c r="J497" s="713"/>
      <c r="K497" s="713"/>
      <c r="L497" s="782">
        <f t="shared" si="4"/>
        <v>0</v>
      </c>
      <c r="M497" s="760"/>
    </row>
    <row r="498" spans="1:13" s="1110" customFormat="1" ht="15">
      <c r="A498" s="1195">
        <v>491</v>
      </c>
      <c r="B498" s="739"/>
      <c r="C498" s="714"/>
      <c r="D498" s="691" t="s">
        <v>1169</v>
      </c>
      <c r="E498" s="1152"/>
      <c r="F498" s="716"/>
      <c r="G498" s="728"/>
      <c r="H498" s="728"/>
      <c r="I498" s="786">
        <f>SUM(I496:I497)</f>
        <v>0</v>
      </c>
      <c r="J498" s="728">
        <f>SUM(J496:J497)</f>
        <v>97</v>
      </c>
      <c r="K498" s="728">
        <f>SUM(K496:K497)</f>
        <v>0</v>
      </c>
      <c r="L498" s="779">
        <f t="shared" si="4"/>
        <v>97</v>
      </c>
      <c r="M498" s="759">
        <f>SUM(M496:M497)</f>
        <v>0</v>
      </c>
    </row>
    <row r="499" spans="1:13" s="1108" customFormat="1" ht="18" customHeight="1">
      <c r="A499" s="1195">
        <v>492</v>
      </c>
      <c r="B499" s="1200"/>
      <c r="C499" s="684">
        <v>3</v>
      </c>
      <c r="D499" s="716" t="s">
        <v>114</v>
      </c>
      <c r="E499" s="1160" t="s">
        <v>400</v>
      </c>
      <c r="F499" s="721">
        <v>50</v>
      </c>
      <c r="G499" s="716">
        <v>0</v>
      </c>
      <c r="H499" s="716">
        <v>0</v>
      </c>
      <c r="I499" s="778"/>
      <c r="J499" s="687"/>
      <c r="K499" s="687"/>
      <c r="L499" s="779"/>
      <c r="M499" s="752"/>
    </row>
    <row r="500" spans="1:13" ht="15">
      <c r="A500" s="1195">
        <v>493</v>
      </c>
      <c r="B500" s="1200"/>
      <c r="C500" s="684"/>
      <c r="D500" s="688" t="s">
        <v>1168</v>
      </c>
      <c r="E500" s="1168"/>
      <c r="F500" s="1176"/>
      <c r="G500" s="721"/>
      <c r="H500" s="721"/>
      <c r="I500" s="778"/>
      <c r="J500" s="687">
        <v>50</v>
      </c>
      <c r="K500" s="687"/>
      <c r="L500" s="780">
        <f t="shared" si="4"/>
        <v>50</v>
      </c>
      <c r="M500" s="757"/>
    </row>
    <row r="501" spans="1:13" s="1109" customFormat="1" ht="15">
      <c r="A501" s="1195">
        <v>494</v>
      </c>
      <c r="B501" s="1201"/>
      <c r="C501" s="711"/>
      <c r="D501" s="690" t="s">
        <v>1170</v>
      </c>
      <c r="E501" s="1160"/>
      <c r="F501" s="727"/>
      <c r="G501" s="727"/>
      <c r="H501" s="727"/>
      <c r="I501" s="781"/>
      <c r="J501" s="713"/>
      <c r="K501" s="713"/>
      <c r="L501" s="782">
        <f t="shared" si="4"/>
        <v>0</v>
      </c>
      <c r="M501" s="760"/>
    </row>
    <row r="502" spans="1:13" s="1110" customFormat="1" ht="15">
      <c r="A502" s="1195">
        <v>495</v>
      </c>
      <c r="B502" s="739"/>
      <c r="C502" s="714"/>
      <c r="D502" s="691" t="s">
        <v>1169</v>
      </c>
      <c r="E502" s="738"/>
      <c r="F502" s="728"/>
      <c r="G502" s="728"/>
      <c r="H502" s="728"/>
      <c r="I502" s="786">
        <f>SUM(I500:I501)</f>
        <v>0</v>
      </c>
      <c r="J502" s="728">
        <f>SUM(J500:J501)</f>
        <v>50</v>
      </c>
      <c r="K502" s="728">
        <f>SUM(K500:K501)</f>
        <v>0</v>
      </c>
      <c r="L502" s="779">
        <f t="shared" si="4"/>
        <v>50</v>
      </c>
      <c r="M502" s="759">
        <f>SUM(M500:M501)</f>
        <v>0</v>
      </c>
    </row>
    <row r="503" spans="1:13" s="1108" customFormat="1" ht="15">
      <c r="A503" s="1195">
        <v>496</v>
      </c>
      <c r="B503" s="1200"/>
      <c r="C503" s="684">
        <v>4</v>
      </c>
      <c r="D503" s="716" t="s">
        <v>115</v>
      </c>
      <c r="E503" s="1160" t="s">
        <v>400</v>
      </c>
      <c r="F503" s="721">
        <v>600</v>
      </c>
      <c r="G503" s="716">
        <v>0</v>
      </c>
      <c r="H503" s="716">
        <v>0</v>
      </c>
      <c r="I503" s="778"/>
      <c r="J503" s="687"/>
      <c r="K503" s="687"/>
      <c r="L503" s="779"/>
      <c r="M503" s="752"/>
    </row>
    <row r="504" spans="1:13" ht="15">
      <c r="A504" s="1195">
        <v>497</v>
      </c>
      <c r="B504" s="1200"/>
      <c r="C504" s="684"/>
      <c r="D504" s="688" t="s">
        <v>1168</v>
      </c>
      <c r="E504" s="1160"/>
      <c r="F504" s="727"/>
      <c r="G504" s="721"/>
      <c r="H504" s="721"/>
      <c r="I504" s="778"/>
      <c r="J504" s="687">
        <v>600</v>
      </c>
      <c r="K504" s="687"/>
      <c r="L504" s="780">
        <f t="shared" si="4"/>
        <v>600</v>
      </c>
      <c r="M504" s="757"/>
    </row>
    <row r="505" spans="1:13" s="1109" customFormat="1" ht="15">
      <c r="A505" s="1195">
        <v>498</v>
      </c>
      <c r="B505" s="1201"/>
      <c r="C505" s="711"/>
      <c r="D505" s="690" t="s">
        <v>1170</v>
      </c>
      <c r="E505" s="738"/>
      <c r="F505" s="728"/>
      <c r="G505" s="727"/>
      <c r="H505" s="727"/>
      <c r="I505" s="781"/>
      <c r="J505" s="713"/>
      <c r="K505" s="713"/>
      <c r="L505" s="782">
        <f t="shared" si="4"/>
        <v>0</v>
      </c>
      <c r="M505" s="760"/>
    </row>
    <row r="506" spans="1:13" s="1110" customFormat="1" ht="15">
      <c r="A506" s="1195">
        <v>499</v>
      </c>
      <c r="B506" s="739"/>
      <c r="C506" s="714"/>
      <c r="D506" s="691" t="s">
        <v>1169</v>
      </c>
      <c r="E506" s="1152"/>
      <c r="F506" s="716"/>
      <c r="G506" s="728"/>
      <c r="H506" s="728"/>
      <c r="I506" s="786">
        <f>SUM(I504:I505)</f>
        <v>0</v>
      </c>
      <c r="J506" s="728">
        <f>SUM(J504:J505)</f>
        <v>600</v>
      </c>
      <c r="K506" s="728">
        <f>SUM(K504:K505)</f>
        <v>0</v>
      </c>
      <c r="L506" s="779">
        <f t="shared" si="4"/>
        <v>600</v>
      </c>
      <c r="M506" s="759">
        <f>SUM(M504:M505)</f>
        <v>0</v>
      </c>
    </row>
    <row r="507" spans="1:13" s="1108" customFormat="1" ht="15">
      <c r="A507" s="1195">
        <v>500</v>
      </c>
      <c r="B507" s="1200"/>
      <c r="C507" s="684">
        <v>5</v>
      </c>
      <c r="D507" s="716" t="s">
        <v>116</v>
      </c>
      <c r="E507" s="1160" t="s">
        <v>400</v>
      </c>
      <c r="F507" s="721">
        <v>283</v>
      </c>
      <c r="G507" s="716">
        <v>0</v>
      </c>
      <c r="H507" s="716">
        <v>0</v>
      </c>
      <c r="I507" s="778"/>
      <c r="J507" s="687"/>
      <c r="K507" s="687"/>
      <c r="L507" s="779"/>
      <c r="M507" s="752"/>
    </row>
    <row r="508" spans="1:13" ht="15">
      <c r="A508" s="1195">
        <v>501</v>
      </c>
      <c r="B508" s="1200"/>
      <c r="C508" s="684"/>
      <c r="D508" s="688" t="s">
        <v>1168</v>
      </c>
      <c r="E508" s="1168"/>
      <c r="F508" s="1176"/>
      <c r="G508" s="721"/>
      <c r="H508" s="721"/>
      <c r="I508" s="778"/>
      <c r="J508" s="687">
        <v>283</v>
      </c>
      <c r="K508" s="687"/>
      <c r="L508" s="780">
        <f t="shared" si="4"/>
        <v>283</v>
      </c>
      <c r="M508" s="757"/>
    </row>
    <row r="509" spans="1:13" s="1109" customFormat="1" ht="15">
      <c r="A509" s="1195">
        <v>502</v>
      </c>
      <c r="B509" s="1201"/>
      <c r="C509" s="711"/>
      <c r="D509" s="690" t="s">
        <v>1170</v>
      </c>
      <c r="E509" s="1160"/>
      <c r="F509" s="727"/>
      <c r="G509" s="727"/>
      <c r="H509" s="727"/>
      <c r="I509" s="781"/>
      <c r="J509" s="713"/>
      <c r="K509" s="713"/>
      <c r="L509" s="782">
        <f t="shared" si="4"/>
        <v>0</v>
      </c>
      <c r="M509" s="760"/>
    </row>
    <row r="510" spans="1:13" s="1110" customFormat="1" ht="15">
      <c r="A510" s="1195">
        <v>503</v>
      </c>
      <c r="B510" s="739"/>
      <c r="C510" s="714"/>
      <c r="D510" s="691" t="s">
        <v>1169</v>
      </c>
      <c r="E510" s="738"/>
      <c r="F510" s="728"/>
      <c r="G510" s="728"/>
      <c r="H510" s="728"/>
      <c r="I510" s="786">
        <f>SUM(I508:I509)</f>
        <v>0</v>
      </c>
      <c r="J510" s="728">
        <f>SUM(J508:J509)</f>
        <v>283</v>
      </c>
      <c r="K510" s="728">
        <f>SUM(K508:K509)</f>
        <v>0</v>
      </c>
      <c r="L510" s="779">
        <f t="shared" si="4"/>
        <v>283</v>
      </c>
      <c r="M510" s="759">
        <f>SUM(M508:M509)</f>
        <v>0</v>
      </c>
    </row>
    <row r="511" spans="1:13" ht="25.5" customHeight="1">
      <c r="A511" s="1212">
        <v>504</v>
      </c>
      <c r="B511" s="683">
        <v>8</v>
      </c>
      <c r="C511" s="694"/>
      <c r="D511" s="685" t="s">
        <v>117</v>
      </c>
      <c r="E511" s="1160"/>
      <c r="F511" s="686"/>
      <c r="G511" s="686"/>
      <c r="H511" s="686"/>
      <c r="I511" s="795"/>
      <c r="J511" s="689"/>
      <c r="K511" s="689"/>
      <c r="L511" s="779"/>
      <c r="M511" s="769"/>
    </row>
    <row r="512" spans="1:13" ht="15">
      <c r="A512" s="1195">
        <v>505</v>
      </c>
      <c r="B512" s="1200"/>
      <c r="C512" s="684"/>
      <c r="D512" s="685" t="s">
        <v>1064</v>
      </c>
      <c r="E512" s="738"/>
      <c r="F512" s="685"/>
      <c r="G512" s="685"/>
      <c r="H512" s="685"/>
      <c r="I512" s="778"/>
      <c r="J512" s="687"/>
      <c r="K512" s="687"/>
      <c r="L512" s="779"/>
      <c r="M512" s="755"/>
    </row>
    <row r="513" spans="1:13" s="1108" customFormat="1" ht="15">
      <c r="A513" s="1195">
        <v>506</v>
      </c>
      <c r="B513" s="1200"/>
      <c r="C513" s="684">
        <v>1</v>
      </c>
      <c r="D513" s="716" t="s">
        <v>1065</v>
      </c>
      <c r="E513" s="1160" t="s">
        <v>400</v>
      </c>
      <c r="F513" s="721">
        <v>120</v>
      </c>
      <c r="G513" s="716">
        <v>0</v>
      </c>
      <c r="H513" s="716">
        <v>0</v>
      </c>
      <c r="I513" s="778"/>
      <c r="J513" s="687"/>
      <c r="K513" s="687"/>
      <c r="L513" s="779"/>
      <c r="M513" s="752"/>
    </row>
    <row r="514" spans="1:13" ht="15">
      <c r="A514" s="1195">
        <v>507</v>
      </c>
      <c r="B514" s="1200"/>
      <c r="C514" s="684"/>
      <c r="D514" s="688" t="s">
        <v>1168</v>
      </c>
      <c r="E514" s="1160"/>
      <c r="F514" s="727"/>
      <c r="G514" s="721"/>
      <c r="H514" s="721"/>
      <c r="I514" s="778"/>
      <c r="J514" s="687">
        <v>120</v>
      </c>
      <c r="K514" s="687"/>
      <c r="L514" s="780">
        <f t="shared" si="4"/>
        <v>120</v>
      </c>
      <c r="M514" s="757"/>
    </row>
    <row r="515" spans="1:13" s="1109" customFormat="1" ht="15">
      <c r="A515" s="1195">
        <v>508</v>
      </c>
      <c r="B515" s="1201"/>
      <c r="C515" s="711"/>
      <c r="D515" s="690" t="s">
        <v>1170</v>
      </c>
      <c r="E515" s="738"/>
      <c r="F515" s="728"/>
      <c r="G515" s="727"/>
      <c r="H515" s="727"/>
      <c r="I515" s="781"/>
      <c r="J515" s="713"/>
      <c r="K515" s="713"/>
      <c r="L515" s="782">
        <f t="shared" si="4"/>
        <v>0</v>
      </c>
      <c r="M515" s="760"/>
    </row>
    <row r="516" spans="1:13" s="1110" customFormat="1" ht="15">
      <c r="A516" s="1195">
        <v>509</v>
      </c>
      <c r="B516" s="739"/>
      <c r="C516" s="714"/>
      <c r="D516" s="691" t="s">
        <v>1169</v>
      </c>
      <c r="E516" s="1160"/>
      <c r="F516" s="689"/>
      <c r="G516" s="728"/>
      <c r="H516" s="728"/>
      <c r="I516" s="786">
        <f>SUM(I514:I515)</f>
        <v>0</v>
      </c>
      <c r="J516" s="728">
        <f>SUM(J514:J515)</f>
        <v>120</v>
      </c>
      <c r="K516" s="728">
        <f>SUM(K514:K515)</f>
        <v>0</v>
      </c>
      <c r="L516" s="779">
        <f t="shared" si="4"/>
        <v>120</v>
      </c>
      <c r="M516" s="759">
        <f>SUM(M514:M515)</f>
        <v>0</v>
      </c>
    </row>
    <row r="517" spans="1:13" ht="15">
      <c r="A517" s="1195">
        <v>510</v>
      </c>
      <c r="B517" s="1200"/>
      <c r="C517" s="684"/>
      <c r="D517" s="685" t="s">
        <v>1066</v>
      </c>
      <c r="E517" s="1152"/>
      <c r="F517" s="716"/>
      <c r="G517" s="686"/>
      <c r="H517" s="686"/>
      <c r="I517" s="795"/>
      <c r="J517" s="689"/>
      <c r="K517" s="689"/>
      <c r="L517" s="779"/>
      <c r="M517" s="769"/>
    </row>
    <row r="518" spans="1:13" s="1108" customFormat="1" ht="15">
      <c r="A518" s="1195">
        <v>511</v>
      </c>
      <c r="B518" s="1200"/>
      <c r="C518" s="684">
        <v>1</v>
      </c>
      <c r="D518" s="716" t="s">
        <v>1067</v>
      </c>
      <c r="E518" s="1160" t="s">
        <v>400</v>
      </c>
      <c r="F518" s="721">
        <v>150</v>
      </c>
      <c r="G518" s="716">
        <v>0</v>
      </c>
      <c r="H518" s="716">
        <v>0</v>
      </c>
      <c r="I518" s="778"/>
      <c r="J518" s="687"/>
      <c r="K518" s="687"/>
      <c r="L518" s="779"/>
      <c r="M518" s="752"/>
    </row>
    <row r="519" spans="1:13" ht="15">
      <c r="A519" s="1195">
        <v>512</v>
      </c>
      <c r="B519" s="1200"/>
      <c r="C519" s="684"/>
      <c r="D519" s="688" t="s">
        <v>1168</v>
      </c>
      <c r="E519" s="1160"/>
      <c r="F519" s="727"/>
      <c r="G519" s="721"/>
      <c r="H519" s="721"/>
      <c r="I519" s="778"/>
      <c r="J519" s="687">
        <v>150</v>
      </c>
      <c r="K519" s="687"/>
      <c r="L519" s="780">
        <f t="shared" si="4"/>
        <v>150</v>
      </c>
      <c r="M519" s="757"/>
    </row>
    <row r="520" spans="1:13" s="1109" customFormat="1" ht="15">
      <c r="A520" s="1195">
        <v>513</v>
      </c>
      <c r="B520" s="1201"/>
      <c r="C520" s="711"/>
      <c r="D520" s="690" t="s">
        <v>1170</v>
      </c>
      <c r="E520" s="738"/>
      <c r="F520" s="728"/>
      <c r="G520" s="727"/>
      <c r="H520" s="727"/>
      <c r="I520" s="781"/>
      <c r="J520" s="713"/>
      <c r="K520" s="713"/>
      <c r="L520" s="782">
        <f t="shared" si="4"/>
        <v>0</v>
      </c>
      <c r="M520" s="760"/>
    </row>
    <row r="521" spans="1:13" s="1110" customFormat="1" ht="15">
      <c r="A521" s="1195">
        <v>514</v>
      </c>
      <c r="B521" s="739"/>
      <c r="C521" s="714"/>
      <c r="D521" s="691" t="s">
        <v>1169</v>
      </c>
      <c r="E521" s="1152"/>
      <c r="F521" s="716"/>
      <c r="G521" s="728"/>
      <c r="H521" s="728"/>
      <c r="I521" s="786">
        <f>SUM(I519:I520)</f>
        <v>0</v>
      </c>
      <c r="J521" s="728">
        <f>SUM(J519:J520)</f>
        <v>150</v>
      </c>
      <c r="K521" s="728">
        <f>SUM(K519:K520)</f>
        <v>0</v>
      </c>
      <c r="L521" s="779">
        <f t="shared" si="4"/>
        <v>150</v>
      </c>
      <c r="M521" s="759">
        <f>SUM(M519:M520)</f>
        <v>0</v>
      </c>
    </row>
    <row r="522" spans="1:13" s="1108" customFormat="1" ht="15">
      <c r="A522" s="1195">
        <v>515</v>
      </c>
      <c r="B522" s="1200"/>
      <c r="C522" s="684">
        <v>2</v>
      </c>
      <c r="D522" s="716" t="s">
        <v>1068</v>
      </c>
      <c r="E522" s="1160" t="s">
        <v>400</v>
      </c>
      <c r="F522" s="721">
        <v>130</v>
      </c>
      <c r="G522" s="716">
        <v>0</v>
      </c>
      <c r="H522" s="716">
        <v>0</v>
      </c>
      <c r="I522" s="778"/>
      <c r="J522" s="687"/>
      <c r="K522" s="687"/>
      <c r="L522" s="779"/>
      <c r="M522" s="752"/>
    </row>
    <row r="523" spans="1:13" ht="15">
      <c r="A523" s="1195">
        <v>516</v>
      </c>
      <c r="B523" s="1200"/>
      <c r="C523" s="684"/>
      <c r="D523" s="688" t="s">
        <v>1168</v>
      </c>
      <c r="E523" s="1168"/>
      <c r="F523" s="1176"/>
      <c r="G523" s="721"/>
      <c r="H523" s="721"/>
      <c r="I523" s="778"/>
      <c r="J523" s="687">
        <v>130</v>
      </c>
      <c r="K523" s="687"/>
      <c r="L523" s="780">
        <f t="shared" si="4"/>
        <v>130</v>
      </c>
      <c r="M523" s="757"/>
    </row>
    <row r="524" spans="1:13" s="1109" customFormat="1" ht="15">
      <c r="A524" s="1195">
        <v>517</v>
      </c>
      <c r="B524" s="1201"/>
      <c r="C524" s="711"/>
      <c r="D524" s="690" t="s">
        <v>1170</v>
      </c>
      <c r="E524" s="1160"/>
      <c r="F524" s="727"/>
      <c r="G524" s="727"/>
      <c r="H524" s="727"/>
      <c r="I524" s="781"/>
      <c r="J524" s="713"/>
      <c r="K524" s="713"/>
      <c r="L524" s="782">
        <f aca="true" t="shared" si="5" ref="L524:L590">SUM(I524:K524)</f>
        <v>0</v>
      </c>
      <c r="M524" s="760"/>
    </row>
    <row r="525" spans="1:13" s="1110" customFormat="1" ht="15">
      <c r="A525" s="1195">
        <v>518</v>
      </c>
      <c r="B525" s="739"/>
      <c r="C525" s="714"/>
      <c r="D525" s="691" t="s">
        <v>1169</v>
      </c>
      <c r="E525" s="738"/>
      <c r="F525" s="728"/>
      <c r="G525" s="728"/>
      <c r="H525" s="728"/>
      <c r="I525" s="786">
        <f>SUM(I523:I524)</f>
        <v>0</v>
      </c>
      <c r="J525" s="728">
        <f>SUM(J523:J524)</f>
        <v>130</v>
      </c>
      <c r="K525" s="728">
        <f>SUM(K523:K524)</f>
        <v>0</v>
      </c>
      <c r="L525" s="779">
        <f t="shared" si="5"/>
        <v>130</v>
      </c>
      <c r="M525" s="759">
        <f>SUM(M523:M524)</f>
        <v>0</v>
      </c>
    </row>
    <row r="526" spans="1:13" ht="15">
      <c r="A526" s="1195">
        <v>519</v>
      </c>
      <c r="B526" s="1200"/>
      <c r="C526" s="684">
        <v>3</v>
      </c>
      <c r="D526" s="688" t="s">
        <v>292</v>
      </c>
      <c r="E526" s="1160" t="s">
        <v>400</v>
      </c>
      <c r="F526" s="727">
        <v>70</v>
      </c>
      <c r="G526" s="721">
        <v>0</v>
      </c>
      <c r="H526" s="721">
        <v>0</v>
      </c>
      <c r="I526" s="778"/>
      <c r="J526" s="687"/>
      <c r="K526" s="687"/>
      <c r="L526" s="779"/>
      <c r="M526" s="757"/>
    </row>
    <row r="527" spans="1:13" s="1109" customFormat="1" ht="15">
      <c r="A527" s="1195">
        <v>520</v>
      </c>
      <c r="B527" s="1201"/>
      <c r="C527" s="711"/>
      <c r="D527" s="690" t="s">
        <v>1170</v>
      </c>
      <c r="E527" s="1153"/>
      <c r="F527" s="728"/>
      <c r="G527" s="727"/>
      <c r="H527" s="727"/>
      <c r="I527" s="781"/>
      <c r="J527" s="713">
        <v>70</v>
      </c>
      <c r="K527" s="713"/>
      <c r="L527" s="782">
        <f>SUM(I527:K527)</f>
        <v>70</v>
      </c>
      <c r="M527" s="760"/>
    </row>
    <row r="528" spans="1:13" s="1110" customFormat="1" ht="15">
      <c r="A528" s="1195">
        <v>521</v>
      </c>
      <c r="B528" s="739"/>
      <c r="C528" s="714"/>
      <c r="D528" s="691" t="s">
        <v>1169</v>
      </c>
      <c r="E528" s="1160"/>
      <c r="F528" s="689"/>
      <c r="G528" s="728"/>
      <c r="H528" s="728"/>
      <c r="I528" s="786">
        <f>SUM(I527)</f>
        <v>0</v>
      </c>
      <c r="J528" s="728">
        <f>SUM(J527)</f>
        <v>70</v>
      </c>
      <c r="K528" s="728">
        <f>SUM(K527)</f>
        <v>0</v>
      </c>
      <c r="L528" s="1101">
        <f>SUM(L527)</f>
        <v>70</v>
      </c>
      <c r="M528" s="1102">
        <f>SUM(M527)</f>
        <v>0</v>
      </c>
    </row>
    <row r="529" spans="1:13" ht="15">
      <c r="A529" s="1195">
        <v>522</v>
      </c>
      <c r="B529" s="1200"/>
      <c r="C529" s="684"/>
      <c r="D529" s="685" t="s">
        <v>1069</v>
      </c>
      <c r="E529" s="1152"/>
      <c r="F529" s="716"/>
      <c r="G529" s="686"/>
      <c r="H529" s="686"/>
      <c r="I529" s="795"/>
      <c r="J529" s="689"/>
      <c r="K529" s="689"/>
      <c r="L529" s="779"/>
      <c r="M529" s="769"/>
    </row>
    <row r="530" spans="1:13" s="1108" customFormat="1" ht="15">
      <c r="A530" s="1195">
        <v>523</v>
      </c>
      <c r="B530" s="1200"/>
      <c r="C530" s="684">
        <v>1</v>
      </c>
      <c r="D530" s="716" t="s">
        <v>66</v>
      </c>
      <c r="E530" s="1160" t="s">
        <v>400</v>
      </c>
      <c r="F530" s="721">
        <v>150</v>
      </c>
      <c r="G530" s="716">
        <v>0</v>
      </c>
      <c r="H530" s="716">
        <v>0</v>
      </c>
      <c r="I530" s="778"/>
      <c r="J530" s="687"/>
      <c r="K530" s="687"/>
      <c r="L530" s="779"/>
      <c r="M530" s="752"/>
    </row>
    <row r="531" spans="1:13" ht="15">
      <c r="A531" s="1195">
        <v>524</v>
      </c>
      <c r="B531" s="1200"/>
      <c r="C531" s="684"/>
      <c r="D531" s="688" t="s">
        <v>1168</v>
      </c>
      <c r="E531" s="1160"/>
      <c r="F531" s="727"/>
      <c r="G531" s="721"/>
      <c r="H531" s="721"/>
      <c r="I531" s="778"/>
      <c r="J531" s="687">
        <v>150</v>
      </c>
      <c r="K531" s="687"/>
      <c r="L531" s="780">
        <f t="shared" si="5"/>
        <v>150</v>
      </c>
      <c r="M531" s="757"/>
    </row>
    <row r="532" spans="1:13" s="1109" customFormat="1" ht="15">
      <c r="A532" s="1195">
        <v>525</v>
      </c>
      <c r="B532" s="1201"/>
      <c r="C532" s="711"/>
      <c r="D532" s="690" t="s">
        <v>1170</v>
      </c>
      <c r="E532" s="738"/>
      <c r="F532" s="728"/>
      <c r="G532" s="727"/>
      <c r="H532" s="727"/>
      <c r="I532" s="781"/>
      <c r="J532" s="713"/>
      <c r="K532" s="713"/>
      <c r="L532" s="782">
        <f t="shared" si="5"/>
        <v>0</v>
      </c>
      <c r="M532" s="760"/>
    </row>
    <row r="533" spans="1:13" s="1110" customFormat="1" ht="15">
      <c r="A533" s="1195">
        <v>526</v>
      </c>
      <c r="B533" s="739"/>
      <c r="C533" s="714"/>
      <c r="D533" s="691" t="s">
        <v>1169</v>
      </c>
      <c r="E533" s="1152"/>
      <c r="F533" s="716"/>
      <c r="G533" s="728"/>
      <c r="H533" s="728"/>
      <c r="I533" s="786">
        <f>SUM(I531:I532)</f>
        <v>0</v>
      </c>
      <c r="J533" s="728">
        <f>SUM(J531:J532)</f>
        <v>150</v>
      </c>
      <c r="K533" s="728">
        <f>SUM(K531:K532)</f>
        <v>0</v>
      </c>
      <c r="L533" s="779">
        <f t="shared" si="5"/>
        <v>150</v>
      </c>
      <c r="M533" s="759">
        <f>SUM(M531:M532)</f>
        <v>0</v>
      </c>
    </row>
    <row r="534" spans="1:13" s="1108" customFormat="1" ht="15">
      <c r="A534" s="1195">
        <v>527</v>
      </c>
      <c r="B534" s="1200"/>
      <c r="C534" s="684">
        <v>2</v>
      </c>
      <c r="D534" s="716" t="s">
        <v>67</v>
      </c>
      <c r="E534" s="1160" t="s">
        <v>400</v>
      </c>
      <c r="F534" s="721">
        <v>150</v>
      </c>
      <c r="G534" s="716">
        <v>0</v>
      </c>
      <c r="H534" s="716">
        <v>0</v>
      </c>
      <c r="I534" s="778"/>
      <c r="J534" s="687"/>
      <c r="K534" s="687"/>
      <c r="L534" s="779"/>
      <c r="M534" s="752"/>
    </row>
    <row r="535" spans="1:13" ht="15">
      <c r="A535" s="1195">
        <v>528</v>
      </c>
      <c r="B535" s="1200"/>
      <c r="C535" s="684"/>
      <c r="D535" s="688" t="s">
        <v>1168</v>
      </c>
      <c r="E535" s="1160"/>
      <c r="F535" s="727"/>
      <c r="G535" s="721"/>
      <c r="H535" s="721"/>
      <c r="I535" s="778"/>
      <c r="J535" s="687">
        <v>150</v>
      </c>
      <c r="K535" s="687"/>
      <c r="L535" s="780">
        <f t="shared" si="5"/>
        <v>150</v>
      </c>
      <c r="M535" s="757"/>
    </row>
    <row r="536" spans="1:13" s="1109" customFormat="1" ht="15">
      <c r="A536" s="1195">
        <v>529</v>
      </c>
      <c r="B536" s="1201"/>
      <c r="C536" s="711"/>
      <c r="D536" s="690" t="s">
        <v>1170</v>
      </c>
      <c r="E536" s="738"/>
      <c r="F536" s="728"/>
      <c r="G536" s="727"/>
      <c r="H536" s="727"/>
      <c r="I536" s="781"/>
      <c r="J536" s="713"/>
      <c r="K536" s="713"/>
      <c r="L536" s="782">
        <f t="shared" si="5"/>
        <v>0</v>
      </c>
      <c r="M536" s="760"/>
    </row>
    <row r="537" spans="1:13" s="1110" customFormat="1" ht="15">
      <c r="A537" s="1195">
        <v>530</v>
      </c>
      <c r="B537" s="739"/>
      <c r="C537" s="714"/>
      <c r="D537" s="691" t="s">
        <v>1169</v>
      </c>
      <c r="E537" s="1152"/>
      <c r="F537" s="716"/>
      <c r="G537" s="728"/>
      <c r="H537" s="728"/>
      <c r="I537" s="786">
        <f>SUM(I535:I536)</f>
        <v>0</v>
      </c>
      <c r="J537" s="728">
        <f>SUM(J535:J536)</f>
        <v>150</v>
      </c>
      <c r="K537" s="728">
        <f>SUM(K535:K536)</f>
        <v>0</v>
      </c>
      <c r="L537" s="779">
        <f t="shared" si="5"/>
        <v>150</v>
      </c>
      <c r="M537" s="759">
        <f>SUM(M535:M536)</f>
        <v>0</v>
      </c>
    </row>
    <row r="538" spans="1:13" s="1108" customFormat="1" ht="15">
      <c r="A538" s="1195">
        <v>531</v>
      </c>
      <c r="B538" s="1200"/>
      <c r="C538" s="684">
        <v>3</v>
      </c>
      <c r="D538" s="716" t="s">
        <v>1067</v>
      </c>
      <c r="E538" s="1160" t="s">
        <v>400</v>
      </c>
      <c r="F538" s="721">
        <v>150</v>
      </c>
      <c r="G538" s="716">
        <v>0</v>
      </c>
      <c r="H538" s="716">
        <v>0</v>
      </c>
      <c r="I538" s="778"/>
      <c r="J538" s="687"/>
      <c r="K538" s="687"/>
      <c r="L538" s="779"/>
      <c r="M538" s="752"/>
    </row>
    <row r="539" spans="1:13" ht="15">
      <c r="A539" s="1195">
        <v>532</v>
      </c>
      <c r="B539" s="1200"/>
      <c r="C539" s="684"/>
      <c r="D539" s="688" t="s">
        <v>1168</v>
      </c>
      <c r="E539" s="1168"/>
      <c r="F539" s="1176"/>
      <c r="G539" s="721"/>
      <c r="H539" s="721"/>
      <c r="I539" s="778"/>
      <c r="J539" s="687">
        <v>150</v>
      </c>
      <c r="K539" s="687"/>
      <c r="L539" s="780">
        <f t="shared" si="5"/>
        <v>150</v>
      </c>
      <c r="M539" s="757"/>
    </row>
    <row r="540" spans="1:13" s="1109" customFormat="1" ht="15">
      <c r="A540" s="1195">
        <v>533</v>
      </c>
      <c r="B540" s="1201"/>
      <c r="C540" s="711"/>
      <c r="D540" s="690" t="s">
        <v>1170</v>
      </c>
      <c r="E540" s="1160"/>
      <c r="F540" s="727"/>
      <c r="G540" s="727"/>
      <c r="H540" s="727"/>
      <c r="I540" s="781"/>
      <c r="J540" s="713"/>
      <c r="K540" s="713"/>
      <c r="L540" s="782">
        <f t="shared" si="5"/>
        <v>0</v>
      </c>
      <c r="M540" s="760"/>
    </row>
    <row r="541" spans="1:13" s="1110" customFormat="1" ht="15">
      <c r="A541" s="1195">
        <v>534</v>
      </c>
      <c r="B541" s="739"/>
      <c r="C541" s="714"/>
      <c r="D541" s="691" t="s">
        <v>1169</v>
      </c>
      <c r="E541" s="738"/>
      <c r="F541" s="728"/>
      <c r="G541" s="728"/>
      <c r="H541" s="728"/>
      <c r="I541" s="786">
        <f>SUM(I539:I540)</f>
        <v>0</v>
      </c>
      <c r="J541" s="728">
        <f>SUM(J539:J540)</f>
        <v>150</v>
      </c>
      <c r="K541" s="728">
        <f>SUM(K539:K540)</f>
        <v>0</v>
      </c>
      <c r="L541" s="779">
        <f t="shared" si="5"/>
        <v>150</v>
      </c>
      <c r="M541" s="759">
        <f>SUM(M539:M540)</f>
        <v>0</v>
      </c>
    </row>
    <row r="542" spans="1:13" s="1108" customFormat="1" ht="15">
      <c r="A542" s="1195">
        <v>535</v>
      </c>
      <c r="B542" s="1200"/>
      <c r="C542" s="684">
        <v>4</v>
      </c>
      <c r="D542" s="716" t="s">
        <v>68</v>
      </c>
      <c r="E542" s="1160" t="s">
        <v>400</v>
      </c>
      <c r="F542" s="721">
        <v>100</v>
      </c>
      <c r="G542" s="716">
        <v>0</v>
      </c>
      <c r="H542" s="716">
        <v>0</v>
      </c>
      <c r="I542" s="778"/>
      <c r="J542" s="687"/>
      <c r="K542" s="687"/>
      <c r="L542" s="779"/>
      <c r="M542" s="752"/>
    </row>
    <row r="543" spans="1:13" ht="15">
      <c r="A543" s="1195">
        <v>536</v>
      </c>
      <c r="B543" s="1200"/>
      <c r="C543" s="684"/>
      <c r="D543" s="688" t="s">
        <v>1168</v>
      </c>
      <c r="E543" s="1160"/>
      <c r="F543" s="727"/>
      <c r="G543" s="721"/>
      <c r="H543" s="721"/>
      <c r="I543" s="778"/>
      <c r="J543" s="687">
        <v>100</v>
      </c>
      <c r="K543" s="687"/>
      <c r="L543" s="780">
        <f t="shared" si="5"/>
        <v>100</v>
      </c>
      <c r="M543" s="757"/>
    </row>
    <row r="544" spans="1:13" s="1109" customFormat="1" ht="15">
      <c r="A544" s="1195">
        <v>537</v>
      </c>
      <c r="B544" s="1201"/>
      <c r="C544" s="711"/>
      <c r="D544" s="690" t="s">
        <v>1170</v>
      </c>
      <c r="E544" s="738"/>
      <c r="F544" s="728"/>
      <c r="G544" s="727"/>
      <c r="H544" s="727"/>
      <c r="I544" s="781"/>
      <c r="J544" s="713"/>
      <c r="K544" s="713"/>
      <c r="L544" s="782">
        <f t="shared" si="5"/>
        <v>0</v>
      </c>
      <c r="M544" s="760"/>
    </row>
    <row r="545" spans="1:13" s="1110" customFormat="1" ht="15">
      <c r="A545" s="1195">
        <v>538</v>
      </c>
      <c r="B545" s="739"/>
      <c r="C545" s="714"/>
      <c r="D545" s="691" t="s">
        <v>1169</v>
      </c>
      <c r="E545" s="1160"/>
      <c r="F545" s="689"/>
      <c r="G545" s="728"/>
      <c r="H545" s="728"/>
      <c r="I545" s="786">
        <f>SUM(I543:I544)</f>
        <v>0</v>
      </c>
      <c r="J545" s="728">
        <f>SUM(J543:J544)</f>
        <v>100</v>
      </c>
      <c r="K545" s="728">
        <f>SUM(K543:K544)</f>
        <v>0</v>
      </c>
      <c r="L545" s="779">
        <f t="shared" si="5"/>
        <v>100</v>
      </c>
      <c r="M545" s="759">
        <f>SUM(M543:M544)</f>
        <v>0</v>
      </c>
    </row>
    <row r="546" spans="1:13" ht="15">
      <c r="A546" s="1195">
        <v>539</v>
      </c>
      <c r="B546" s="1200"/>
      <c r="C546" s="684"/>
      <c r="D546" s="685" t="s">
        <v>1070</v>
      </c>
      <c r="E546" s="1152"/>
      <c r="F546" s="716"/>
      <c r="G546" s="686"/>
      <c r="H546" s="686"/>
      <c r="I546" s="795"/>
      <c r="J546" s="689"/>
      <c r="K546" s="689"/>
      <c r="L546" s="779"/>
      <c r="M546" s="769"/>
    </row>
    <row r="547" spans="1:13" s="1108" customFormat="1" ht="15">
      <c r="A547" s="1195">
        <v>540</v>
      </c>
      <c r="B547" s="1200"/>
      <c r="C547" s="684">
        <v>1</v>
      </c>
      <c r="D547" s="716" t="s">
        <v>1071</v>
      </c>
      <c r="E547" s="1160" t="s">
        <v>400</v>
      </c>
      <c r="F547" s="721">
        <v>250</v>
      </c>
      <c r="G547" s="716">
        <v>0</v>
      </c>
      <c r="H547" s="716">
        <v>0</v>
      </c>
      <c r="I547" s="778"/>
      <c r="J547" s="687"/>
      <c r="K547" s="687"/>
      <c r="L547" s="779"/>
      <c r="M547" s="752"/>
    </row>
    <row r="548" spans="1:13" ht="15">
      <c r="A548" s="1195">
        <v>541</v>
      </c>
      <c r="B548" s="1200"/>
      <c r="C548" s="684"/>
      <c r="D548" s="688" t="s">
        <v>1168</v>
      </c>
      <c r="E548" s="1160"/>
      <c r="F548" s="727"/>
      <c r="G548" s="721"/>
      <c r="H548" s="721"/>
      <c r="I548" s="778"/>
      <c r="J548" s="687">
        <v>250</v>
      </c>
      <c r="K548" s="687"/>
      <c r="L548" s="780">
        <f t="shared" si="5"/>
        <v>250</v>
      </c>
      <c r="M548" s="757"/>
    </row>
    <row r="549" spans="1:13" s="1109" customFormat="1" ht="15">
      <c r="A549" s="1195">
        <v>542</v>
      </c>
      <c r="B549" s="1201"/>
      <c r="C549" s="711"/>
      <c r="D549" s="690" t="s">
        <v>1170</v>
      </c>
      <c r="E549" s="738"/>
      <c r="F549" s="728"/>
      <c r="G549" s="727"/>
      <c r="H549" s="727"/>
      <c r="I549" s="781"/>
      <c r="J549" s="713"/>
      <c r="K549" s="713"/>
      <c r="L549" s="782">
        <f t="shared" si="5"/>
        <v>0</v>
      </c>
      <c r="M549" s="760"/>
    </row>
    <row r="550" spans="1:13" s="1110" customFormat="1" ht="15">
      <c r="A550" s="1195">
        <v>543</v>
      </c>
      <c r="B550" s="739"/>
      <c r="C550" s="714"/>
      <c r="D550" s="691" t="s">
        <v>1169</v>
      </c>
      <c r="E550" s="1152"/>
      <c r="F550" s="716"/>
      <c r="G550" s="728"/>
      <c r="H550" s="728"/>
      <c r="I550" s="786">
        <f>SUM(I548:I549)</f>
        <v>0</v>
      </c>
      <c r="J550" s="728">
        <f>SUM(J548:J549)</f>
        <v>250</v>
      </c>
      <c r="K550" s="728">
        <f>SUM(K548:K549)</f>
        <v>0</v>
      </c>
      <c r="L550" s="779">
        <f t="shared" si="5"/>
        <v>250</v>
      </c>
      <c r="M550" s="759">
        <f>SUM(M548:M549)</f>
        <v>0</v>
      </c>
    </row>
    <row r="551" spans="1:13" s="1108" customFormat="1" ht="15">
      <c r="A551" s="1195">
        <v>544</v>
      </c>
      <c r="B551" s="1200"/>
      <c r="C551" s="684">
        <v>2</v>
      </c>
      <c r="D551" s="716" t="s">
        <v>66</v>
      </c>
      <c r="E551" s="1160" t="s">
        <v>400</v>
      </c>
      <c r="F551" s="721">
        <v>150</v>
      </c>
      <c r="G551" s="716">
        <v>0</v>
      </c>
      <c r="H551" s="716">
        <v>0</v>
      </c>
      <c r="I551" s="778"/>
      <c r="J551" s="687"/>
      <c r="K551" s="687"/>
      <c r="L551" s="779"/>
      <c r="M551" s="752"/>
    </row>
    <row r="552" spans="1:13" ht="15">
      <c r="A552" s="1195">
        <v>545</v>
      </c>
      <c r="B552" s="1200"/>
      <c r="C552" s="684"/>
      <c r="D552" s="688" t="s">
        <v>1168</v>
      </c>
      <c r="E552" s="1160"/>
      <c r="F552" s="727"/>
      <c r="G552" s="721"/>
      <c r="H552" s="721"/>
      <c r="I552" s="778"/>
      <c r="J552" s="687">
        <v>150</v>
      </c>
      <c r="K552" s="687"/>
      <c r="L552" s="780">
        <f t="shared" si="5"/>
        <v>150</v>
      </c>
      <c r="M552" s="757"/>
    </row>
    <row r="553" spans="1:13" s="1109" customFormat="1" ht="15">
      <c r="A553" s="1195">
        <v>546</v>
      </c>
      <c r="B553" s="1201"/>
      <c r="C553" s="711"/>
      <c r="D553" s="690" t="s">
        <v>1170</v>
      </c>
      <c r="E553" s="738"/>
      <c r="F553" s="728"/>
      <c r="G553" s="727"/>
      <c r="H553" s="727"/>
      <c r="I553" s="781"/>
      <c r="J553" s="713"/>
      <c r="K553" s="713"/>
      <c r="L553" s="782">
        <f t="shared" si="5"/>
        <v>0</v>
      </c>
      <c r="M553" s="760"/>
    </row>
    <row r="554" spans="1:13" s="1110" customFormat="1" ht="15">
      <c r="A554" s="1195">
        <v>547</v>
      </c>
      <c r="B554" s="739"/>
      <c r="C554" s="714"/>
      <c r="D554" s="691" t="s">
        <v>1169</v>
      </c>
      <c r="E554" s="1152"/>
      <c r="F554" s="716"/>
      <c r="G554" s="728"/>
      <c r="H554" s="728"/>
      <c r="I554" s="786">
        <f>SUM(I552:I553)</f>
        <v>0</v>
      </c>
      <c r="J554" s="728">
        <f>SUM(J552:J553)</f>
        <v>150</v>
      </c>
      <c r="K554" s="728">
        <f>SUM(K552:K553)</f>
        <v>0</v>
      </c>
      <c r="L554" s="779">
        <f t="shared" si="5"/>
        <v>150</v>
      </c>
      <c r="M554" s="759">
        <f>SUM(M552:M553)</f>
        <v>0</v>
      </c>
    </row>
    <row r="555" spans="1:13" s="1108" customFormat="1" ht="15">
      <c r="A555" s="1195">
        <v>548</v>
      </c>
      <c r="B555" s="1200"/>
      <c r="C555" s="684">
        <v>3</v>
      </c>
      <c r="D555" s="716" t="s">
        <v>69</v>
      </c>
      <c r="E555" s="1160" t="s">
        <v>400</v>
      </c>
      <c r="F555" s="721">
        <v>100</v>
      </c>
      <c r="G555" s="716">
        <v>0</v>
      </c>
      <c r="H555" s="716">
        <v>0</v>
      </c>
      <c r="I555" s="778"/>
      <c r="J555" s="687"/>
      <c r="K555" s="687"/>
      <c r="L555" s="779"/>
      <c r="M555" s="752"/>
    </row>
    <row r="556" spans="1:13" ht="15">
      <c r="A556" s="1195">
        <v>549</v>
      </c>
      <c r="B556" s="1200"/>
      <c r="C556" s="684"/>
      <c r="D556" s="688" t="s">
        <v>1168</v>
      </c>
      <c r="E556" s="1168"/>
      <c r="F556" s="1176"/>
      <c r="G556" s="721"/>
      <c r="H556" s="721"/>
      <c r="I556" s="778"/>
      <c r="J556" s="687">
        <v>100</v>
      </c>
      <c r="K556" s="687"/>
      <c r="L556" s="780">
        <f t="shared" si="5"/>
        <v>100</v>
      </c>
      <c r="M556" s="757"/>
    </row>
    <row r="557" spans="1:13" s="1109" customFormat="1" ht="15">
      <c r="A557" s="1195">
        <v>550</v>
      </c>
      <c r="B557" s="1201"/>
      <c r="C557" s="711"/>
      <c r="D557" s="690" t="s">
        <v>1170</v>
      </c>
      <c r="E557" s="1160"/>
      <c r="F557" s="727"/>
      <c r="G557" s="727"/>
      <c r="H557" s="727"/>
      <c r="I557" s="781"/>
      <c r="J557" s="713"/>
      <c r="K557" s="713"/>
      <c r="L557" s="782">
        <f t="shared" si="5"/>
        <v>0</v>
      </c>
      <c r="M557" s="760"/>
    </row>
    <row r="558" spans="1:13" s="1110" customFormat="1" ht="15">
      <c r="A558" s="1195">
        <v>551</v>
      </c>
      <c r="B558" s="739"/>
      <c r="C558" s="714"/>
      <c r="D558" s="691" t="s">
        <v>1169</v>
      </c>
      <c r="E558" s="738"/>
      <c r="F558" s="728"/>
      <c r="G558" s="728"/>
      <c r="H558" s="728"/>
      <c r="I558" s="786">
        <f>SUM(I556:I557)</f>
        <v>0</v>
      </c>
      <c r="J558" s="728">
        <f>SUM(J556:J557)</f>
        <v>100</v>
      </c>
      <c r="K558" s="728">
        <f>SUM(K556:K557)</f>
        <v>0</v>
      </c>
      <c r="L558" s="779">
        <f t="shared" si="5"/>
        <v>100</v>
      </c>
      <c r="M558" s="759">
        <f>SUM(M556:M557)</f>
        <v>0</v>
      </c>
    </row>
    <row r="559" spans="1:13" ht="19.5" customHeight="1">
      <c r="A559" s="1195">
        <v>552</v>
      </c>
      <c r="B559" s="1200"/>
      <c r="C559" s="684"/>
      <c r="D559" s="685" t="s">
        <v>1072</v>
      </c>
      <c r="E559" s="1160"/>
      <c r="F559" s="689"/>
      <c r="G559" s="686"/>
      <c r="H559" s="686"/>
      <c r="I559" s="795"/>
      <c r="J559" s="689"/>
      <c r="K559" s="689"/>
      <c r="L559" s="779"/>
      <c r="M559" s="769"/>
    </row>
    <row r="560" spans="1:13" s="1108" customFormat="1" ht="15">
      <c r="A560" s="1195">
        <v>553</v>
      </c>
      <c r="B560" s="1200"/>
      <c r="C560" s="684">
        <v>1</v>
      </c>
      <c r="D560" s="716" t="s">
        <v>66</v>
      </c>
      <c r="E560" s="1160" t="s">
        <v>400</v>
      </c>
      <c r="F560" s="721">
        <v>150</v>
      </c>
      <c r="G560" s="716">
        <v>0</v>
      </c>
      <c r="H560" s="716">
        <v>0</v>
      </c>
      <c r="I560" s="778"/>
      <c r="J560" s="687"/>
      <c r="K560" s="687"/>
      <c r="L560" s="779"/>
      <c r="M560" s="752"/>
    </row>
    <row r="561" spans="1:13" ht="15">
      <c r="A561" s="1195">
        <v>554</v>
      </c>
      <c r="B561" s="1200"/>
      <c r="C561" s="684"/>
      <c r="D561" s="688" t="s">
        <v>1168</v>
      </c>
      <c r="E561" s="1160"/>
      <c r="F561" s="727"/>
      <c r="G561" s="721"/>
      <c r="H561" s="721"/>
      <c r="I561" s="778"/>
      <c r="J561" s="687">
        <v>150</v>
      </c>
      <c r="K561" s="687"/>
      <c r="L561" s="780">
        <f t="shared" si="5"/>
        <v>150</v>
      </c>
      <c r="M561" s="757"/>
    </row>
    <row r="562" spans="1:13" s="1109" customFormat="1" ht="15">
      <c r="A562" s="1195">
        <v>555</v>
      </c>
      <c r="B562" s="1201"/>
      <c r="C562" s="711"/>
      <c r="D562" s="690" t="s">
        <v>1170</v>
      </c>
      <c r="E562" s="738"/>
      <c r="F562" s="728"/>
      <c r="G562" s="727"/>
      <c r="H562" s="727"/>
      <c r="I562" s="781"/>
      <c r="J562" s="713"/>
      <c r="K562" s="713"/>
      <c r="L562" s="782">
        <f t="shared" si="5"/>
        <v>0</v>
      </c>
      <c r="M562" s="760"/>
    </row>
    <row r="563" spans="1:13" s="1110" customFormat="1" ht="15">
      <c r="A563" s="1195">
        <v>556</v>
      </c>
      <c r="B563" s="739"/>
      <c r="C563" s="714"/>
      <c r="D563" s="691" t="s">
        <v>1169</v>
      </c>
      <c r="E563" s="1160"/>
      <c r="F563" s="689"/>
      <c r="G563" s="728"/>
      <c r="H563" s="728"/>
      <c r="I563" s="786">
        <f>SUM(I561:I562)</f>
        <v>0</v>
      </c>
      <c r="J563" s="728">
        <f>SUM(J561:J562)</f>
        <v>150</v>
      </c>
      <c r="K563" s="728">
        <f>SUM(K561:K562)</f>
        <v>0</v>
      </c>
      <c r="L563" s="779">
        <f t="shared" si="5"/>
        <v>150</v>
      </c>
      <c r="M563" s="759">
        <f>SUM(M561:M562)</f>
        <v>0</v>
      </c>
    </row>
    <row r="564" spans="1:13" ht="25.5" customHeight="1">
      <c r="A564" s="1212">
        <v>557</v>
      </c>
      <c r="B564" s="683">
        <v>10</v>
      </c>
      <c r="C564" s="694"/>
      <c r="D564" s="685" t="s">
        <v>1073</v>
      </c>
      <c r="E564" s="1152"/>
      <c r="F564" s="716"/>
      <c r="G564" s="686"/>
      <c r="H564" s="686"/>
      <c r="I564" s="795"/>
      <c r="J564" s="689"/>
      <c r="K564" s="689"/>
      <c r="L564" s="779"/>
      <c r="M564" s="769"/>
    </row>
    <row r="565" spans="1:13" s="1108" customFormat="1" ht="15">
      <c r="A565" s="1195">
        <v>558</v>
      </c>
      <c r="B565" s="1200"/>
      <c r="C565" s="684">
        <v>1</v>
      </c>
      <c r="D565" s="716" t="s">
        <v>1074</v>
      </c>
      <c r="E565" s="1160" t="s">
        <v>400</v>
      </c>
      <c r="F565" s="721">
        <v>9000</v>
      </c>
      <c r="G565" s="716">
        <v>0</v>
      </c>
      <c r="H565" s="716">
        <v>0</v>
      </c>
      <c r="I565" s="778"/>
      <c r="J565" s="687"/>
      <c r="K565" s="687"/>
      <c r="L565" s="779"/>
      <c r="M565" s="752"/>
    </row>
    <row r="566" spans="1:13" ht="15">
      <c r="A566" s="1195">
        <v>559</v>
      </c>
      <c r="B566" s="1200"/>
      <c r="C566" s="684"/>
      <c r="D566" s="688" t="s">
        <v>1168</v>
      </c>
      <c r="E566" s="1160"/>
      <c r="F566" s="727"/>
      <c r="G566" s="721"/>
      <c r="H566" s="721"/>
      <c r="I566" s="778">
        <v>9000</v>
      </c>
      <c r="J566" s="687"/>
      <c r="K566" s="687"/>
      <c r="L566" s="780">
        <f t="shared" si="5"/>
        <v>9000</v>
      </c>
      <c r="M566" s="757"/>
    </row>
    <row r="567" spans="1:13" s="1109" customFormat="1" ht="15">
      <c r="A567" s="1195">
        <v>560</v>
      </c>
      <c r="B567" s="1201"/>
      <c r="C567" s="711"/>
      <c r="D567" s="690" t="s">
        <v>1170</v>
      </c>
      <c r="E567" s="738"/>
      <c r="F567" s="728"/>
      <c r="G567" s="727"/>
      <c r="H567" s="727"/>
      <c r="I567" s="781"/>
      <c r="J567" s="713"/>
      <c r="K567" s="713"/>
      <c r="L567" s="782">
        <f t="shared" si="5"/>
        <v>0</v>
      </c>
      <c r="M567" s="760"/>
    </row>
    <row r="568" spans="1:13" s="1110" customFormat="1" ht="15">
      <c r="A568" s="1195">
        <v>561</v>
      </c>
      <c r="B568" s="739"/>
      <c r="C568" s="714"/>
      <c r="D568" s="691" t="s">
        <v>1169</v>
      </c>
      <c r="E568" s="1152"/>
      <c r="F568" s="716"/>
      <c r="G568" s="728"/>
      <c r="H568" s="728"/>
      <c r="I568" s="786">
        <f>SUM(I566:I567)</f>
        <v>9000</v>
      </c>
      <c r="J568" s="728">
        <f>SUM(J566:J567)</f>
        <v>0</v>
      </c>
      <c r="K568" s="728">
        <f>SUM(K566:K567)</f>
        <v>0</v>
      </c>
      <c r="L568" s="779">
        <f t="shared" si="5"/>
        <v>9000</v>
      </c>
      <c r="M568" s="759">
        <f>SUM(M566:M567)</f>
        <v>0</v>
      </c>
    </row>
    <row r="569" spans="1:13" s="1108" customFormat="1" ht="15">
      <c r="A569" s="1195">
        <v>562</v>
      </c>
      <c r="B569" s="1200"/>
      <c r="C569" s="684">
        <v>2</v>
      </c>
      <c r="D569" s="716" t="s">
        <v>118</v>
      </c>
      <c r="E569" s="1160" t="s">
        <v>400</v>
      </c>
      <c r="F569" s="721">
        <v>7620</v>
      </c>
      <c r="G569" s="716">
        <v>0</v>
      </c>
      <c r="H569" s="716">
        <v>0</v>
      </c>
      <c r="I569" s="778"/>
      <c r="J569" s="687"/>
      <c r="K569" s="687"/>
      <c r="L569" s="779"/>
      <c r="M569" s="752"/>
    </row>
    <row r="570" spans="1:13" ht="15">
      <c r="A570" s="1195">
        <v>563</v>
      </c>
      <c r="B570" s="1200"/>
      <c r="C570" s="684"/>
      <c r="D570" s="688" t="s">
        <v>1168</v>
      </c>
      <c r="E570" s="1168"/>
      <c r="F570" s="1176"/>
      <c r="G570" s="721"/>
      <c r="H570" s="1174"/>
      <c r="I570" s="778">
        <v>7620</v>
      </c>
      <c r="J570" s="687"/>
      <c r="K570" s="687"/>
      <c r="L570" s="780">
        <f t="shared" si="5"/>
        <v>7620</v>
      </c>
      <c r="M570" s="757"/>
    </row>
    <row r="571" spans="1:13" s="1109" customFormat="1" ht="15">
      <c r="A571" s="1195">
        <v>564</v>
      </c>
      <c r="B571" s="1201"/>
      <c r="C571" s="711"/>
      <c r="D571" s="690" t="s">
        <v>1170</v>
      </c>
      <c r="E571" s="1160"/>
      <c r="F571" s="727"/>
      <c r="G571" s="727"/>
      <c r="H571" s="1100"/>
      <c r="I571" s="781"/>
      <c r="J571" s="713"/>
      <c r="K571" s="713"/>
      <c r="L571" s="782">
        <f t="shared" si="5"/>
        <v>0</v>
      </c>
      <c r="M571" s="760"/>
    </row>
    <row r="572" spans="1:13" s="1110" customFormat="1" ht="15">
      <c r="A572" s="1195">
        <v>565</v>
      </c>
      <c r="B572" s="739"/>
      <c r="C572" s="714"/>
      <c r="D572" s="691" t="s">
        <v>1169</v>
      </c>
      <c r="E572" s="738"/>
      <c r="F572" s="728"/>
      <c r="G572" s="728"/>
      <c r="H572" s="1101"/>
      <c r="I572" s="786">
        <f>SUM(I570:I571)</f>
        <v>7620</v>
      </c>
      <c r="J572" s="728">
        <f>SUM(J570:J571)</f>
        <v>0</v>
      </c>
      <c r="K572" s="728">
        <f>SUM(K570:K571)</f>
        <v>0</v>
      </c>
      <c r="L572" s="779">
        <f t="shared" si="5"/>
        <v>7620</v>
      </c>
      <c r="M572" s="759">
        <f>SUM(M570:M571)</f>
        <v>0</v>
      </c>
    </row>
    <row r="573" spans="1:13" ht="25.5" customHeight="1">
      <c r="A573" s="1212">
        <v>566</v>
      </c>
      <c r="B573" s="683">
        <v>12</v>
      </c>
      <c r="C573" s="694"/>
      <c r="D573" s="685" t="s">
        <v>459</v>
      </c>
      <c r="E573" s="1168"/>
      <c r="F573" s="1176"/>
      <c r="G573" s="1176"/>
      <c r="H573" s="1177"/>
      <c r="I573" s="795"/>
      <c r="J573" s="689"/>
      <c r="K573" s="689"/>
      <c r="L573" s="779"/>
      <c r="M573" s="769"/>
    </row>
    <row r="574" spans="1:13" s="1108" customFormat="1" ht="15" customHeight="1">
      <c r="A574" s="1195">
        <v>567</v>
      </c>
      <c r="B574" s="1200"/>
      <c r="C574" s="684">
        <v>1</v>
      </c>
      <c r="D574" s="716" t="s">
        <v>1075</v>
      </c>
      <c r="E574" s="1160" t="s">
        <v>400</v>
      </c>
      <c r="F574" s="721">
        <v>25400</v>
      </c>
      <c r="G574" s="721">
        <v>0</v>
      </c>
      <c r="H574" s="1174">
        <v>14194</v>
      </c>
      <c r="I574" s="778"/>
      <c r="J574" s="687"/>
      <c r="K574" s="687"/>
      <c r="L574" s="779"/>
      <c r="M574" s="752"/>
    </row>
    <row r="575" spans="1:13" ht="15">
      <c r="A575" s="1195">
        <v>568</v>
      </c>
      <c r="B575" s="1200"/>
      <c r="C575" s="684"/>
      <c r="D575" s="688" t="s">
        <v>1168</v>
      </c>
      <c r="E575" s="1168"/>
      <c r="F575" s="1176"/>
      <c r="G575" s="1176"/>
      <c r="H575" s="1177"/>
      <c r="I575" s="778"/>
      <c r="J575" s="687">
        <v>25400</v>
      </c>
      <c r="K575" s="687"/>
      <c r="L575" s="780">
        <f t="shared" si="5"/>
        <v>25400</v>
      </c>
      <c r="M575" s="757"/>
    </row>
    <row r="576" spans="1:13" s="1109" customFormat="1" ht="15">
      <c r="A576" s="1195">
        <v>569</v>
      </c>
      <c r="B576" s="1201"/>
      <c r="C576" s="711"/>
      <c r="D576" s="690" t="s">
        <v>1170</v>
      </c>
      <c r="E576" s="1160"/>
      <c r="F576" s="727"/>
      <c r="G576" s="727"/>
      <c r="H576" s="1100"/>
      <c r="I576" s="781"/>
      <c r="J576" s="713"/>
      <c r="K576" s="713"/>
      <c r="L576" s="782">
        <f t="shared" si="5"/>
        <v>0</v>
      </c>
      <c r="M576" s="760"/>
    </row>
    <row r="577" spans="1:13" s="1110" customFormat="1" ht="15">
      <c r="A577" s="1195">
        <v>570</v>
      </c>
      <c r="B577" s="739"/>
      <c r="C577" s="714"/>
      <c r="D577" s="691" t="s">
        <v>1169</v>
      </c>
      <c r="E577" s="738"/>
      <c r="F577" s="728"/>
      <c r="G577" s="728"/>
      <c r="H577" s="1101"/>
      <c r="I577" s="786">
        <f>SUM(I575:I576)</f>
        <v>0</v>
      </c>
      <c r="J577" s="728">
        <f>SUM(J575:J576)</f>
        <v>25400</v>
      </c>
      <c r="K577" s="728">
        <f>SUM(K575:K576)</f>
        <v>0</v>
      </c>
      <c r="L577" s="779">
        <f t="shared" si="5"/>
        <v>25400</v>
      </c>
      <c r="M577" s="759">
        <f>SUM(M575:M576)</f>
        <v>0</v>
      </c>
    </row>
    <row r="578" spans="1:13" ht="25.5" customHeight="1">
      <c r="A578" s="1212">
        <v>571</v>
      </c>
      <c r="B578" s="683">
        <v>13</v>
      </c>
      <c r="C578" s="694"/>
      <c r="D578" s="685" t="s">
        <v>460</v>
      </c>
      <c r="E578" s="1160"/>
      <c r="F578" s="686"/>
      <c r="G578" s="686"/>
      <c r="H578" s="1190"/>
      <c r="I578" s="795"/>
      <c r="J578" s="689"/>
      <c r="K578" s="689"/>
      <c r="L578" s="779"/>
      <c r="M578" s="769"/>
    </row>
    <row r="579" spans="1:13" s="1117" customFormat="1" ht="45">
      <c r="A579" s="1195">
        <v>572</v>
      </c>
      <c r="B579" s="1200"/>
      <c r="C579" s="684">
        <v>1</v>
      </c>
      <c r="D579" s="716" t="s">
        <v>1076</v>
      </c>
      <c r="E579" s="1160" t="s">
        <v>400</v>
      </c>
      <c r="F579" s="721">
        <v>4200</v>
      </c>
      <c r="G579" s="716">
        <v>0</v>
      </c>
      <c r="H579" s="1171">
        <v>0</v>
      </c>
      <c r="I579" s="796"/>
      <c r="J579" s="698"/>
      <c r="K579" s="698"/>
      <c r="L579" s="779"/>
      <c r="M579" s="770"/>
    </row>
    <row r="580" spans="1:13" ht="15">
      <c r="A580" s="1195">
        <v>573</v>
      </c>
      <c r="B580" s="1200"/>
      <c r="C580" s="684"/>
      <c r="D580" s="688" t="s">
        <v>1168</v>
      </c>
      <c r="E580" s="1160"/>
      <c r="F580" s="727"/>
      <c r="G580" s="721"/>
      <c r="H580" s="1174"/>
      <c r="I580" s="778"/>
      <c r="J580" s="687">
        <v>4200</v>
      </c>
      <c r="K580" s="687"/>
      <c r="L580" s="780">
        <f t="shared" si="5"/>
        <v>4200</v>
      </c>
      <c r="M580" s="757"/>
    </row>
    <row r="581" spans="1:13" s="1109" customFormat="1" ht="15">
      <c r="A581" s="1195">
        <v>574</v>
      </c>
      <c r="B581" s="1201"/>
      <c r="C581" s="711"/>
      <c r="D581" s="690" t="s">
        <v>1170</v>
      </c>
      <c r="E581" s="738"/>
      <c r="F581" s="728"/>
      <c r="G581" s="727"/>
      <c r="H581" s="1100"/>
      <c r="I581" s="781"/>
      <c r="J581" s="713"/>
      <c r="K581" s="713"/>
      <c r="L581" s="782">
        <f t="shared" si="5"/>
        <v>0</v>
      </c>
      <c r="M581" s="760"/>
    </row>
    <row r="582" spans="1:13" s="1110" customFormat="1" ht="15">
      <c r="A582" s="1195">
        <v>575</v>
      </c>
      <c r="B582" s="739"/>
      <c r="C582" s="714"/>
      <c r="D582" s="691" t="s">
        <v>1169</v>
      </c>
      <c r="E582" s="1152"/>
      <c r="F582" s="716"/>
      <c r="G582" s="728"/>
      <c r="H582" s="1101"/>
      <c r="I582" s="786">
        <f>SUM(I580:I581)</f>
        <v>0</v>
      </c>
      <c r="J582" s="728">
        <f>SUM(J580:J581)</f>
        <v>4200</v>
      </c>
      <c r="K582" s="728">
        <f>SUM(K580:K581)</f>
        <v>0</v>
      </c>
      <c r="L582" s="779">
        <f t="shared" si="5"/>
        <v>4200</v>
      </c>
      <c r="M582" s="759">
        <f>SUM(M580:M581)</f>
        <v>0</v>
      </c>
    </row>
    <row r="583" spans="1:13" s="1108" customFormat="1" ht="15">
      <c r="A583" s="1195">
        <v>576</v>
      </c>
      <c r="B583" s="1200"/>
      <c r="C583" s="684">
        <v>2</v>
      </c>
      <c r="D583" s="716" t="s">
        <v>74</v>
      </c>
      <c r="E583" s="1160" t="s">
        <v>400</v>
      </c>
      <c r="F583" s="721">
        <v>300</v>
      </c>
      <c r="G583" s="716">
        <v>0</v>
      </c>
      <c r="H583" s="1171">
        <v>0</v>
      </c>
      <c r="I583" s="778"/>
      <c r="J583" s="687"/>
      <c r="K583" s="687"/>
      <c r="L583" s="779"/>
      <c r="M583" s="752"/>
    </row>
    <row r="584" spans="1:13" ht="15">
      <c r="A584" s="1195">
        <v>577</v>
      </c>
      <c r="B584" s="1200"/>
      <c r="C584" s="684"/>
      <c r="D584" s="688" t="s">
        <v>1168</v>
      </c>
      <c r="E584" s="1160"/>
      <c r="F584" s="727"/>
      <c r="G584" s="721"/>
      <c r="H584" s="1174"/>
      <c r="I584" s="778"/>
      <c r="J584" s="687">
        <v>300</v>
      </c>
      <c r="K584" s="687"/>
      <c r="L584" s="780">
        <f t="shared" si="5"/>
        <v>300</v>
      </c>
      <c r="M584" s="757"/>
    </row>
    <row r="585" spans="1:13" s="1109" customFormat="1" ht="15">
      <c r="A585" s="1195">
        <v>578</v>
      </c>
      <c r="B585" s="1201"/>
      <c r="C585" s="711"/>
      <c r="D585" s="690" t="s">
        <v>1170</v>
      </c>
      <c r="E585" s="738"/>
      <c r="F585" s="728"/>
      <c r="G585" s="727"/>
      <c r="H585" s="1100"/>
      <c r="I585" s="781"/>
      <c r="J585" s="713"/>
      <c r="K585" s="713"/>
      <c r="L585" s="782">
        <f t="shared" si="5"/>
        <v>0</v>
      </c>
      <c r="M585" s="760"/>
    </row>
    <row r="586" spans="1:13" s="1110" customFormat="1" ht="15">
      <c r="A586" s="1195">
        <v>579</v>
      </c>
      <c r="B586" s="739"/>
      <c r="C586" s="714"/>
      <c r="D586" s="691" t="s">
        <v>1169</v>
      </c>
      <c r="E586" s="1160"/>
      <c r="F586" s="692"/>
      <c r="G586" s="728"/>
      <c r="H586" s="1101"/>
      <c r="I586" s="786">
        <f>SUM(I584:I585)</f>
        <v>0</v>
      </c>
      <c r="J586" s="728">
        <f>SUM(J584:J585)</f>
        <v>300</v>
      </c>
      <c r="K586" s="728">
        <f>SUM(K584:K585)</f>
        <v>0</v>
      </c>
      <c r="L586" s="779">
        <f t="shared" si="5"/>
        <v>300</v>
      </c>
      <c r="M586" s="759">
        <f>SUM(M584:M585)</f>
        <v>0</v>
      </c>
    </row>
    <row r="587" spans="1:13" s="1118" customFormat="1" ht="15">
      <c r="A587" s="1195">
        <v>580</v>
      </c>
      <c r="B587" s="1200"/>
      <c r="C587" s="684">
        <v>3</v>
      </c>
      <c r="D587" s="716" t="s">
        <v>73</v>
      </c>
      <c r="E587" s="1160" t="s">
        <v>400</v>
      </c>
      <c r="F587" s="721">
        <v>170</v>
      </c>
      <c r="G587" s="692">
        <v>0</v>
      </c>
      <c r="H587" s="1183">
        <v>0</v>
      </c>
      <c r="I587" s="778"/>
      <c r="J587" s="687"/>
      <c r="K587" s="687"/>
      <c r="L587" s="779"/>
      <c r="M587" s="755"/>
    </row>
    <row r="588" spans="1:13" ht="15">
      <c r="A588" s="1195">
        <v>581</v>
      </c>
      <c r="B588" s="1200"/>
      <c r="C588" s="684"/>
      <c r="D588" s="688" t="s">
        <v>1168</v>
      </c>
      <c r="E588" s="1168"/>
      <c r="F588" s="1176"/>
      <c r="G588" s="721"/>
      <c r="H588" s="1174"/>
      <c r="I588" s="778"/>
      <c r="J588" s="687">
        <v>170</v>
      </c>
      <c r="K588" s="687"/>
      <c r="L588" s="780">
        <f t="shared" si="5"/>
        <v>170</v>
      </c>
      <c r="M588" s="757"/>
    </row>
    <row r="589" spans="1:13" s="1109" customFormat="1" ht="15">
      <c r="A589" s="1195">
        <v>582</v>
      </c>
      <c r="B589" s="1201"/>
      <c r="C589" s="711"/>
      <c r="D589" s="690" t="s">
        <v>1170</v>
      </c>
      <c r="E589" s="1160"/>
      <c r="F589" s="727"/>
      <c r="G589" s="727"/>
      <c r="H589" s="1100"/>
      <c r="I589" s="781"/>
      <c r="J589" s="713"/>
      <c r="K589" s="713"/>
      <c r="L589" s="782">
        <f t="shared" si="5"/>
        <v>0</v>
      </c>
      <c r="M589" s="760"/>
    </row>
    <row r="590" spans="1:13" s="1110" customFormat="1" ht="15">
      <c r="A590" s="1195">
        <v>583</v>
      </c>
      <c r="B590" s="739"/>
      <c r="C590" s="714"/>
      <c r="D590" s="691" t="s">
        <v>1169</v>
      </c>
      <c r="E590" s="738"/>
      <c r="F590" s="728"/>
      <c r="G590" s="728"/>
      <c r="H590" s="1101"/>
      <c r="I590" s="786">
        <f>SUM(I588:I589)</f>
        <v>0</v>
      </c>
      <c r="J590" s="728">
        <f>SUM(J588:J589)</f>
        <v>170</v>
      </c>
      <c r="K590" s="728">
        <f>SUM(K588:K589)</f>
        <v>0</v>
      </c>
      <c r="L590" s="779">
        <f t="shared" si="5"/>
        <v>170</v>
      </c>
      <c r="M590" s="759">
        <f>SUM(M588:M589)</f>
        <v>0</v>
      </c>
    </row>
    <row r="591" spans="1:13" ht="25.5" customHeight="1">
      <c r="A591" s="1212">
        <v>584</v>
      </c>
      <c r="B591" s="683">
        <v>14</v>
      </c>
      <c r="C591" s="694"/>
      <c r="D591" s="685" t="s">
        <v>1077</v>
      </c>
      <c r="E591" s="1160"/>
      <c r="F591" s="686"/>
      <c r="G591" s="686"/>
      <c r="H591" s="1190"/>
      <c r="I591" s="795"/>
      <c r="J591" s="689"/>
      <c r="K591" s="689"/>
      <c r="L591" s="779"/>
      <c r="M591" s="769"/>
    </row>
    <row r="592" spans="1:13" s="1108" customFormat="1" ht="15">
      <c r="A592" s="1195">
        <v>585</v>
      </c>
      <c r="B592" s="1200"/>
      <c r="C592" s="684">
        <v>1</v>
      </c>
      <c r="D592" s="716" t="s">
        <v>1078</v>
      </c>
      <c r="E592" s="1160" t="s">
        <v>400</v>
      </c>
      <c r="F592" s="721">
        <v>300</v>
      </c>
      <c r="G592" s="716">
        <v>0</v>
      </c>
      <c r="H592" s="1171">
        <v>0</v>
      </c>
      <c r="I592" s="778"/>
      <c r="J592" s="687"/>
      <c r="K592" s="687"/>
      <c r="L592" s="779"/>
      <c r="M592" s="752"/>
    </row>
    <row r="593" spans="1:13" ht="15">
      <c r="A593" s="1195">
        <v>586</v>
      </c>
      <c r="B593" s="1200"/>
      <c r="C593" s="684"/>
      <c r="D593" s="688" t="s">
        <v>1168</v>
      </c>
      <c r="E593" s="1160"/>
      <c r="F593" s="727"/>
      <c r="G593" s="721"/>
      <c r="H593" s="1174"/>
      <c r="I593" s="778"/>
      <c r="J593" s="687">
        <v>300</v>
      </c>
      <c r="K593" s="687"/>
      <c r="L593" s="780">
        <f aca="true" t="shared" si="6" ref="L593:L657">SUM(I593:K593)</f>
        <v>300</v>
      </c>
      <c r="M593" s="757"/>
    </row>
    <row r="594" spans="1:13" s="1109" customFormat="1" ht="15">
      <c r="A594" s="1195">
        <v>587</v>
      </c>
      <c r="B594" s="1201"/>
      <c r="C594" s="711"/>
      <c r="D594" s="690" t="s">
        <v>1170</v>
      </c>
      <c r="E594" s="738"/>
      <c r="F594" s="728"/>
      <c r="G594" s="727"/>
      <c r="H594" s="1100"/>
      <c r="I594" s="781"/>
      <c r="J594" s="713"/>
      <c r="K594" s="713"/>
      <c r="L594" s="782">
        <f t="shared" si="6"/>
        <v>0</v>
      </c>
      <c r="M594" s="760"/>
    </row>
    <row r="595" spans="1:13" s="1110" customFormat="1" ht="15">
      <c r="A595" s="1195">
        <v>588</v>
      </c>
      <c r="B595" s="739"/>
      <c r="C595" s="714"/>
      <c r="D595" s="691" t="s">
        <v>1169</v>
      </c>
      <c r="E595" s="1160"/>
      <c r="F595" s="686"/>
      <c r="G595" s="728"/>
      <c r="H595" s="1101"/>
      <c r="I595" s="786">
        <f>SUM(I593:I594)</f>
        <v>0</v>
      </c>
      <c r="J595" s="728">
        <f>SUM(J593:J594)</f>
        <v>300</v>
      </c>
      <c r="K595" s="728">
        <f>SUM(K593:K594)</f>
        <v>0</v>
      </c>
      <c r="L595" s="779">
        <f t="shared" si="6"/>
        <v>300</v>
      </c>
      <c r="M595" s="759">
        <f>SUM(M593:M594)</f>
        <v>0</v>
      </c>
    </row>
    <row r="596" spans="1:13" ht="25.5" customHeight="1">
      <c r="A596" s="1212">
        <v>589</v>
      </c>
      <c r="B596" s="683">
        <v>15</v>
      </c>
      <c r="C596" s="694"/>
      <c r="D596" s="685" t="s">
        <v>1104</v>
      </c>
      <c r="E596" s="1152"/>
      <c r="F596" s="716"/>
      <c r="G596" s="686"/>
      <c r="H596" s="1190"/>
      <c r="I596" s="795"/>
      <c r="J596" s="689"/>
      <c r="K596" s="689"/>
      <c r="L596" s="779"/>
      <c r="M596" s="769"/>
    </row>
    <row r="597" spans="1:13" s="1108" customFormat="1" ht="15">
      <c r="A597" s="1195">
        <v>590</v>
      </c>
      <c r="B597" s="1200"/>
      <c r="C597" s="684">
        <v>1</v>
      </c>
      <c r="D597" s="716" t="s">
        <v>1079</v>
      </c>
      <c r="E597" s="1160" t="s">
        <v>400</v>
      </c>
      <c r="F597" s="721">
        <v>3500</v>
      </c>
      <c r="G597" s="716">
        <v>0</v>
      </c>
      <c r="H597" s="1171">
        <v>0</v>
      </c>
      <c r="I597" s="778"/>
      <c r="J597" s="687"/>
      <c r="K597" s="687"/>
      <c r="L597" s="779"/>
      <c r="M597" s="752"/>
    </row>
    <row r="598" spans="1:13" ht="15">
      <c r="A598" s="1195">
        <v>591</v>
      </c>
      <c r="B598" s="1200"/>
      <c r="C598" s="684"/>
      <c r="D598" s="688" t="s">
        <v>1168</v>
      </c>
      <c r="E598" s="1160"/>
      <c r="F598" s="727"/>
      <c r="G598" s="721"/>
      <c r="H598" s="1174"/>
      <c r="I598" s="778"/>
      <c r="J598" s="687">
        <v>3500</v>
      </c>
      <c r="K598" s="687"/>
      <c r="L598" s="780">
        <f t="shared" si="6"/>
        <v>3500</v>
      </c>
      <c r="M598" s="757"/>
    </row>
    <row r="599" spans="1:13" s="1109" customFormat="1" ht="15">
      <c r="A599" s="1195">
        <v>592</v>
      </c>
      <c r="B599" s="1201"/>
      <c r="C599" s="711"/>
      <c r="D599" s="690" t="s">
        <v>1170</v>
      </c>
      <c r="E599" s="738"/>
      <c r="F599" s="728"/>
      <c r="G599" s="727"/>
      <c r="H599" s="1100"/>
      <c r="I599" s="781"/>
      <c r="J599" s="713"/>
      <c r="K599" s="713"/>
      <c r="L599" s="782">
        <f t="shared" si="6"/>
        <v>0</v>
      </c>
      <c r="M599" s="760"/>
    </row>
    <row r="600" spans="1:13" s="1110" customFormat="1" ht="15">
      <c r="A600" s="1195">
        <v>593</v>
      </c>
      <c r="B600" s="739"/>
      <c r="C600" s="714"/>
      <c r="D600" s="691" t="s">
        <v>1169</v>
      </c>
      <c r="E600" s="1152"/>
      <c r="F600" s="716"/>
      <c r="G600" s="728"/>
      <c r="H600" s="1101"/>
      <c r="I600" s="786">
        <f>SUM(I598:I599)</f>
        <v>0</v>
      </c>
      <c r="J600" s="728">
        <f>SUM(J598:J599)</f>
        <v>3500</v>
      </c>
      <c r="K600" s="728">
        <f>SUM(K598:K599)</f>
        <v>0</v>
      </c>
      <c r="L600" s="779">
        <f t="shared" si="6"/>
        <v>3500</v>
      </c>
      <c r="M600" s="759">
        <f>SUM(M598:M599)</f>
        <v>0</v>
      </c>
    </row>
    <row r="601" spans="1:13" s="1108" customFormat="1" ht="15">
      <c r="A601" s="1195">
        <v>594</v>
      </c>
      <c r="B601" s="1200"/>
      <c r="C601" s="684">
        <v>2</v>
      </c>
      <c r="D601" s="716" t="s">
        <v>119</v>
      </c>
      <c r="E601" s="1160" t="s">
        <v>400</v>
      </c>
      <c r="F601" s="721">
        <v>1000</v>
      </c>
      <c r="G601" s="716">
        <v>0</v>
      </c>
      <c r="H601" s="1171">
        <v>0</v>
      </c>
      <c r="I601" s="778"/>
      <c r="J601" s="687"/>
      <c r="K601" s="687"/>
      <c r="L601" s="779"/>
      <c r="M601" s="752"/>
    </row>
    <row r="602" spans="1:13" ht="15">
      <c r="A602" s="1195">
        <v>595</v>
      </c>
      <c r="B602" s="1200"/>
      <c r="C602" s="684"/>
      <c r="D602" s="688" t="s">
        <v>1168</v>
      </c>
      <c r="E602" s="1168"/>
      <c r="F602" s="1176"/>
      <c r="G602" s="721"/>
      <c r="H602" s="1174"/>
      <c r="I602" s="778"/>
      <c r="J602" s="687">
        <v>1000</v>
      </c>
      <c r="K602" s="687"/>
      <c r="L602" s="780">
        <f t="shared" si="6"/>
        <v>1000</v>
      </c>
      <c r="M602" s="757"/>
    </row>
    <row r="603" spans="1:13" s="1109" customFormat="1" ht="15">
      <c r="A603" s="1195">
        <v>596</v>
      </c>
      <c r="B603" s="1201"/>
      <c r="C603" s="711"/>
      <c r="D603" s="690" t="s">
        <v>1170</v>
      </c>
      <c r="E603" s="1160"/>
      <c r="F603" s="727"/>
      <c r="G603" s="727"/>
      <c r="H603" s="1100"/>
      <c r="I603" s="781"/>
      <c r="J603" s="713"/>
      <c r="K603" s="713"/>
      <c r="L603" s="782">
        <f t="shared" si="6"/>
        <v>0</v>
      </c>
      <c r="M603" s="760"/>
    </row>
    <row r="604" spans="1:13" s="1110" customFormat="1" ht="15">
      <c r="A604" s="1195">
        <v>597</v>
      </c>
      <c r="B604" s="739"/>
      <c r="C604" s="714"/>
      <c r="D604" s="691" t="s">
        <v>1169</v>
      </c>
      <c r="E604" s="738"/>
      <c r="F604" s="728"/>
      <c r="G604" s="728"/>
      <c r="H604" s="1101"/>
      <c r="I604" s="786">
        <f>SUM(I602:I603)</f>
        <v>0</v>
      </c>
      <c r="J604" s="728">
        <f>SUM(J602:J603)</f>
        <v>1000</v>
      </c>
      <c r="K604" s="728">
        <f>SUM(K602:K603)</f>
        <v>0</v>
      </c>
      <c r="L604" s="779">
        <f t="shared" si="6"/>
        <v>1000</v>
      </c>
      <c r="M604" s="759">
        <f>SUM(M602:M603)</f>
        <v>0</v>
      </c>
    </row>
    <row r="605" spans="1:13" s="1108" customFormat="1" ht="15">
      <c r="A605" s="1195">
        <v>598</v>
      </c>
      <c r="B605" s="1200"/>
      <c r="C605" s="684">
        <v>3</v>
      </c>
      <c r="D605" s="716" t="s">
        <v>120</v>
      </c>
      <c r="E605" s="1160" t="s">
        <v>400</v>
      </c>
      <c r="F605" s="721">
        <v>5670</v>
      </c>
      <c r="G605" s="716">
        <v>0</v>
      </c>
      <c r="H605" s="1171">
        <v>0</v>
      </c>
      <c r="I605" s="778"/>
      <c r="J605" s="687"/>
      <c r="K605" s="687"/>
      <c r="L605" s="779"/>
      <c r="M605" s="752"/>
    </row>
    <row r="606" spans="1:13" ht="15">
      <c r="A606" s="1195">
        <v>599</v>
      </c>
      <c r="B606" s="1200"/>
      <c r="C606" s="684"/>
      <c r="D606" s="688" t="s">
        <v>1168</v>
      </c>
      <c r="E606" s="1160"/>
      <c r="F606" s="727"/>
      <c r="G606" s="721"/>
      <c r="H606" s="1174"/>
      <c r="I606" s="778">
        <v>5670</v>
      </c>
      <c r="J606" s="687"/>
      <c r="K606" s="687"/>
      <c r="L606" s="780">
        <f t="shared" si="6"/>
        <v>5670</v>
      </c>
      <c r="M606" s="757"/>
    </row>
    <row r="607" spans="1:13" s="1109" customFormat="1" ht="15">
      <c r="A607" s="1195">
        <v>600</v>
      </c>
      <c r="B607" s="1201"/>
      <c r="C607" s="711"/>
      <c r="D607" s="690" t="s">
        <v>1170</v>
      </c>
      <c r="E607" s="738"/>
      <c r="F607" s="728"/>
      <c r="G607" s="727"/>
      <c r="H607" s="1100"/>
      <c r="I607" s="781"/>
      <c r="J607" s="713"/>
      <c r="K607" s="713"/>
      <c r="L607" s="782">
        <f t="shared" si="6"/>
        <v>0</v>
      </c>
      <c r="M607" s="760"/>
    </row>
    <row r="608" spans="1:13" s="1110" customFormat="1" ht="15">
      <c r="A608" s="1195">
        <v>601</v>
      </c>
      <c r="B608" s="739"/>
      <c r="C608" s="714"/>
      <c r="D608" s="691" t="s">
        <v>1169</v>
      </c>
      <c r="E608" s="1160"/>
      <c r="F608" s="686"/>
      <c r="G608" s="728"/>
      <c r="H608" s="1101"/>
      <c r="I608" s="786">
        <f>SUM(I606:I607)</f>
        <v>5670</v>
      </c>
      <c r="J608" s="728">
        <f>SUM(J606:J607)</f>
        <v>0</v>
      </c>
      <c r="K608" s="728">
        <f>SUM(K606:K607)</f>
        <v>0</v>
      </c>
      <c r="L608" s="779">
        <f t="shared" si="6"/>
        <v>5670</v>
      </c>
      <c r="M608" s="759">
        <f>SUM(M606:M607)</f>
        <v>0</v>
      </c>
    </row>
    <row r="609" spans="1:13" ht="25.5" customHeight="1">
      <c r="A609" s="1212">
        <v>602</v>
      </c>
      <c r="B609" s="683">
        <v>16</v>
      </c>
      <c r="C609" s="694"/>
      <c r="D609" s="685" t="s">
        <v>458</v>
      </c>
      <c r="E609" s="1152"/>
      <c r="F609" s="716"/>
      <c r="G609" s="686"/>
      <c r="H609" s="1190"/>
      <c r="I609" s="795"/>
      <c r="J609" s="689"/>
      <c r="K609" s="689"/>
      <c r="L609" s="779"/>
      <c r="M609" s="769"/>
    </row>
    <row r="610" spans="1:13" s="1108" customFormat="1" ht="15">
      <c r="A610" s="1195">
        <v>603</v>
      </c>
      <c r="B610" s="1200"/>
      <c r="C610" s="684">
        <v>1</v>
      </c>
      <c r="D610" s="716" t="s">
        <v>1080</v>
      </c>
      <c r="E610" s="1160" t="s">
        <v>400</v>
      </c>
      <c r="F610" s="721">
        <v>1500</v>
      </c>
      <c r="G610" s="716">
        <v>0</v>
      </c>
      <c r="H610" s="1171">
        <v>0</v>
      </c>
      <c r="I610" s="778"/>
      <c r="J610" s="687"/>
      <c r="K610" s="687"/>
      <c r="L610" s="779"/>
      <c r="M610" s="752"/>
    </row>
    <row r="611" spans="1:13" ht="15">
      <c r="A611" s="1195">
        <v>604</v>
      </c>
      <c r="B611" s="1200"/>
      <c r="C611" s="684"/>
      <c r="D611" s="688" t="s">
        <v>1168</v>
      </c>
      <c r="E611" s="1160"/>
      <c r="F611" s="727"/>
      <c r="G611" s="721"/>
      <c r="H611" s="1174"/>
      <c r="I611" s="778"/>
      <c r="J611" s="687">
        <v>1500</v>
      </c>
      <c r="K611" s="687"/>
      <c r="L611" s="780">
        <f t="shared" si="6"/>
        <v>1500</v>
      </c>
      <c r="M611" s="757"/>
    </row>
    <row r="612" spans="1:13" s="1109" customFormat="1" ht="15">
      <c r="A612" s="1195">
        <v>605</v>
      </c>
      <c r="B612" s="1201"/>
      <c r="C612" s="711"/>
      <c r="D612" s="690" t="s">
        <v>1170</v>
      </c>
      <c r="E612" s="738"/>
      <c r="F612" s="728"/>
      <c r="G612" s="727"/>
      <c r="H612" s="1100"/>
      <c r="I612" s="781"/>
      <c r="J612" s="713"/>
      <c r="K612" s="713"/>
      <c r="L612" s="782">
        <f t="shared" si="6"/>
        <v>0</v>
      </c>
      <c r="M612" s="760"/>
    </row>
    <row r="613" spans="1:13" s="1110" customFormat="1" ht="15">
      <c r="A613" s="1195">
        <v>606</v>
      </c>
      <c r="B613" s="739"/>
      <c r="C613" s="714"/>
      <c r="D613" s="691" t="s">
        <v>1169</v>
      </c>
      <c r="E613" s="1152"/>
      <c r="F613" s="716"/>
      <c r="G613" s="728"/>
      <c r="H613" s="1101"/>
      <c r="I613" s="786">
        <f>SUM(I611:I612)</f>
        <v>0</v>
      </c>
      <c r="J613" s="728">
        <f>SUM(J611:J612)</f>
        <v>1500</v>
      </c>
      <c r="K613" s="728">
        <f>SUM(K611:K612)</f>
        <v>0</v>
      </c>
      <c r="L613" s="779">
        <f t="shared" si="6"/>
        <v>1500</v>
      </c>
      <c r="M613" s="759">
        <f>SUM(M611:M612)</f>
        <v>0</v>
      </c>
    </row>
    <row r="614" spans="1:13" s="1108" customFormat="1" ht="15">
      <c r="A614" s="1195">
        <v>607</v>
      </c>
      <c r="B614" s="1200"/>
      <c r="C614" s="684">
        <v>2</v>
      </c>
      <c r="D614" s="716" t="s">
        <v>63</v>
      </c>
      <c r="E614" s="1160" t="s">
        <v>400</v>
      </c>
      <c r="F614" s="721">
        <v>610</v>
      </c>
      <c r="G614" s="716">
        <v>0</v>
      </c>
      <c r="H614" s="1171">
        <v>0</v>
      </c>
      <c r="I614" s="778"/>
      <c r="J614" s="687"/>
      <c r="K614" s="687"/>
      <c r="L614" s="779"/>
      <c r="M614" s="752"/>
    </row>
    <row r="615" spans="1:13" ht="15">
      <c r="A615" s="1195">
        <v>608</v>
      </c>
      <c r="B615" s="1200"/>
      <c r="C615" s="684"/>
      <c r="D615" s="688" t="s">
        <v>1168</v>
      </c>
      <c r="E615" s="1168"/>
      <c r="F615" s="1176"/>
      <c r="G615" s="721"/>
      <c r="H615" s="1174"/>
      <c r="I615" s="778"/>
      <c r="J615" s="687">
        <v>610</v>
      </c>
      <c r="K615" s="687"/>
      <c r="L615" s="780">
        <f t="shared" si="6"/>
        <v>610</v>
      </c>
      <c r="M615" s="757"/>
    </row>
    <row r="616" spans="1:13" s="1109" customFormat="1" ht="15">
      <c r="A616" s="1195">
        <v>609</v>
      </c>
      <c r="B616" s="1201"/>
      <c r="C616" s="711"/>
      <c r="D616" s="690" t="s">
        <v>1170</v>
      </c>
      <c r="E616" s="1160"/>
      <c r="F616" s="727"/>
      <c r="G616" s="727"/>
      <c r="H616" s="1100"/>
      <c r="I616" s="781"/>
      <c r="J616" s="713"/>
      <c r="K616" s="713"/>
      <c r="L616" s="782">
        <f t="shared" si="6"/>
        <v>0</v>
      </c>
      <c r="M616" s="760"/>
    </row>
    <row r="617" spans="1:13" s="1110" customFormat="1" ht="15">
      <c r="A617" s="1195">
        <v>610</v>
      </c>
      <c r="B617" s="739"/>
      <c r="C617" s="714"/>
      <c r="D617" s="691" t="s">
        <v>1169</v>
      </c>
      <c r="E617" s="738"/>
      <c r="F617" s="728"/>
      <c r="G617" s="728"/>
      <c r="H617" s="1101"/>
      <c r="I617" s="786">
        <f>SUM(I615:I616)</f>
        <v>0</v>
      </c>
      <c r="J617" s="728">
        <f>SUM(J615:J616)</f>
        <v>610</v>
      </c>
      <c r="K617" s="728">
        <f>SUM(K615:K616)</f>
        <v>0</v>
      </c>
      <c r="L617" s="779">
        <f t="shared" si="6"/>
        <v>610</v>
      </c>
      <c r="M617" s="759">
        <f>SUM(M615:M616)</f>
        <v>0</v>
      </c>
    </row>
    <row r="618" spans="1:13" s="1108" customFormat="1" ht="15">
      <c r="A618" s="1195">
        <v>611</v>
      </c>
      <c r="B618" s="1200"/>
      <c r="C618" s="684">
        <v>3</v>
      </c>
      <c r="D618" s="716" t="s">
        <v>65</v>
      </c>
      <c r="E618" s="1160" t="s">
        <v>400</v>
      </c>
      <c r="F618" s="721">
        <v>330</v>
      </c>
      <c r="G618" s="721">
        <v>0</v>
      </c>
      <c r="H618" s="1174">
        <v>0</v>
      </c>
      <c r="I618" s="778"/>
      <c r="J618" s="687"/>
      <c r="K618" s="687"/>
      <c r="L618" s="779"/>
      <c r="M618" s="752"/>
    </row>
    <row r="619" spans="1:13" ht="15">
      <c r="A619" s="1195">
        <v>612</v>
      </c>
      <c r="B619" s="1200"/>
      <c r="C619" s="684"/>
      <c r="D619" s="688" t="s">
        <v>1168</v>
      </c>
      <c r="E619" s="1160"/>
      <c r="F619" s="727"/>
      <c r="G619" s="727"/>
      <c r="H619" s="1100"/>
      <c r="I619" s="778"/>
      <c r="J619" s="687">
        <v>330</v>
      </c>
      <c r="K619" s="687"/>
      <c r="L619" s="780">
        <f t="shared" si="6"/>
        <v>330</v>
      </c>
      <c r="M619" s="757"/>
    </row>
    <row r="620" spans="1:13" s="1109" customFormat="1" ht="15">
      <c r="A620" s="1195">
        <v>613</v>
      </c>
      <c r="B620" s="1201"/>
      <c r="C620" s="711"/>
      <c r="D620" s="690" t="s">
        <v>1170</v>
      </c>
      <c r="E620" s="738"/>
      <c r="F620" s="728"/>
      <c r="G620" s="728"/>
      <c r="H620" s="1101"/>
      <c r="I620" s="781"/>
      <c r="J620" s="713"/>
      <c r="K620" s="713"/>
      <c r="L620" s="782">
        <f t="shared" si="6"/>
        <v>0</v>
      </c>
      <c r="M620" s="760"/>
    </row>
    <row r="621" spans="1:13" s="1110" customFormat="1" ht="15">
      <c r="A621" s="1195">
        <v>614</v>
      </c>
      <c r="B621" s="739"/>
      <c r="C621" s="714"/>
      <c r="D621" s="691" t="s">
        <v>1169</v>
      </c>
      <c r="E621" s="1152"/>
      <c r="F621" s="716"/>
      <c r="G621" s="716"/>
      <c r="H621" s="1171"/>
      <c r="I621" s="786">
        <f>SUM(I619:I620)</f>
        <v>0</v>
      </c>
      <c r="J621" s="728">
        <f>SUM(J619:J620)</f>
        <v>330</v>
      </c>
      <c r="K621" s="728">
        <f>SUM(K619:K620)</f>
        <v>0</v>
      </c>
      <c r="L621" s="779">
        <f t="shared" si="6"/>
        <v>330</v>
      </c>
      <c r="M621" s="759">
        <f>SUM(M619:M620)</f>
        <v>0</v>
      </c>
    </row>
    <row r="622" spans="1:13" s="1108" customFormat="1" ht="15">
      <c r="A622" s="1195">
        <v>615</v>
      </c>
      <c r="B622" s="1200"/>
      <c r="C622" s="684">
        <v>4</v>
      </c>
      <c r="D622" s="716" t="s">
        <v>64</v>
      </c>
      <c r="E622" s="1160" t="s">
        <v>400</v>
      </c>
      <c r="F622" s="721">
        <v>560</v>
      </c>
      <c r="G622" s="721">
        <v>0</v>
      </c>
      <c r="H622" s="1174">
        <v>0</v>
      </c>
      <c r="I622" s="778"/>
      <c r="J622" s="687"/>
      <c r="K622" s="687"/>
      <c r="L622" s="779"/>
      <c r="M622" s="752"/>
    </row>
    <row r="623" spans="1:13" ht="15">
      <c r="A623" s="1195">
        <v>616</v>
      </c>
      <c r="B623" s="1200"/>
      <c r="C623" s="684"/>
      <c r="D623" s="688" t="s">
        <v>1168</v>
      </c>
      <c r="E623" s="1160"/>
      <c r="F623" s="727"/>
      <c r="G623" s="727"/>
      <c r="H623" s="1100"/>
      <c r="I623" s="778"/>
      <c r="J623" s="687">
        <v>560</v>
      </c>
      <c r="K623" s="687"/>
      <c r="L623" s="780">
        <f t="shared" si="6"/>
        <v>560</v>
      </c>
      <c r="M623" s="757"/>
    </row>
    <row r="624" spans="1:13" s="1109" customFormat="1" ht="15">
      <c r="A624" s="1195">
        <v>617</v>
      </c>
      <c r="B624" s="1201"/>
      <c r="C624" s="711"/>
      <c r="D624" s="690" t="s">
        <v>1170</v>
      </c>
      <c r="E624" s="738"/>
      <c r="F624" s="728"/>
      <c r="G624" s="728"/>
      <c r="H624" s="1101"/>
      <c r="I624" s="781"/>
      <c r="J624" s="713"/>
      <c r="K624" s="713"/>
      <c r="L624" s="782">
        <f t="shared" si="6"/>
        <v>0</v>
      </c>
      <c r="M624" s="760"/>
    </row>
    <row r="625" spans="1:13" s="1110" customFormat="1" ht="15">
      <c r="A625" s="1195">
        <v>618</v>
      </c>
      <c r="B625" s="739"/>
      <c r="C625" s="714"/>
      <c r="D625" s="691" t="s">
        <v>1169</v>
      </c>
      <c r="E625" s="1160"/>
      <c r="F625" s="686"/>
      <c r="G625" s="686"/>
      <c r="H625" s="1190"/>
      <c r="I625" s="786">
        <f>SUM(I623:I624)</f>
        <v>0</v>
      </c>
      <c r="J625" s="728">
        <f>SUM(J623:J624)</f>
        <v>560</v>
      </c>
      <c r="K625" s="728">
        <f>SUM(K623:K624)</f>
        <v>0</v>
      </c>
      <c r="L625" s="779">
        <f t="shared" si="6"/>
        <v>560</v>
      </c>
      <c r="M625" s="759">
        <f>SUM(M623:M624)</f>
        <v>0</v>
      </c>
    </row>
    <row r="626" spans="1:13" ht="30" customHeight="1">
      <c r="A626" s="1212">
        <v>619</v>
      </c>
      <c r="B626" s="683">
        <v>17</v>
      </c>
      <c r="C626" s="694"/>
      <c r="D626" s="685" t="s">
        <v>1105</v>
      </c>
      <c r="E626" s="1152"/>
      <c r="F626" s="716"/>
      <c r="G626" s="716"/>
      <c r="H626" s="1171"/>
      <c r="I626" s="795"/>
      <c r="J626" s="689"/>
      <c r="K626" s="689"/>
      <c r="L626" s="779"/>
      <c r="M626" s="769"/>
    </row>
    <row r="627" spans="1:13" s="1108" customFormat="1" ht="15">
      <c r="A627" s="1195">
        <v>620</v>
      </c>
      <c r="B627" s="1200"/>
      <c r="C627" s="684">
        <v>1</v>
      </c>
      <c r="D627" s="716" t="s">
        <v>1081</v>
      </c>
      <c r="E627" s="1160" t="s">
        <v>400</v>
      </c>
      <c r="F627" s="721">
        <f>SUM(G627,H627,I630)</f>
        <v>50775</v>
      </c>
      <c r="G627" s="721">
        <v>7881</v>
      </c>
      <c r="H627" s="1174">
        <v>17007</v>
      </c>
      <c r="I627" s="778"/>
      <c r="J627" s="687"/>
      <c r="K627" s="687"/>
      <c r="L627" s="779"/>
      <c r="M627" s="752"/>
    </row>
    <row r="628" spans="1:13" ht="15">
      <c r="A628" s="1195">
        <v>621</v>
      </c>
      <c r="B628" s="1200"/>
      <c r="C628" s="684"/>
      <c r="D628" s="688" t="s">
        <v>1168</v>
      </c>
      <c r="E628" s="1168"/>
      <c r="F628" s="1176"/>
      <c r="G628" s="1176"/>
      <c r="H628" s="1177"/>
      <c r="I628" s="778">
        <v>19833</v>
      </c>
      <c r="J628" s="687"/>
      <c r="K628" s="687"/>
      <c r="L628" s="780">
        <f t="shared" si="6"/>
        <v>19833</v>
      </c>
      <c r="M628" s="757"/>
    </row>
    <row r="629" spans="1:13" s="1109" customFormat="1" ht="15">
      <c r="A629" s="1195">
        <v>622</v>
      </c>
      <c r="B629" s="1201"/>
      <c r="C629" s="711"/>
      <c r="D629" s="690" t="s">
        <v>588</v>
      </c>
      <c r="E629" s="1160"/>
      <c r="F629" s="727"/>
      <c r="G629" s="727"/>
      <c r="H629" s="1100"/>
      <c r="I629" s="781">
        <v>6054</v>
      </c>
      <c r="J629" s="713"/>
      <c r="K629" s="713"/>
      <c r="L629" s="782">
        <f t="shared" si="6"/>
        <v>6054</v>
      </c>
      <c r="M629" s="760"/>
    </row>
    <row r="630" spans="1:13" s="1111" customFormat="1" ht="15">
      <c r="A630" s="1195">
        <v>623</v>
      </c>
      <c r="B630" s="739"/>
      <c r="C630" s="714"/>
      <c r="D630" s="691" t="s">
        <v>1169</v>
      </c>
      <c r="E630" s="738"/>
      <c r="F630" s="740"/>
      <c r="G630" s="740"/>
      <c r="H630" s="967"/>
      <c r="I630" s="789">
        <f>SUM(I628:I629)</f>
        <v>25887</v>
      </c>
      <c r="J630" s="740">
        <f>SUM(J628:J629)</f>
        <v>0</v>
      </c>
      <c r="K630" s="740">
        <f>SUM(K628:K629)</f>
        <v>0</v>
      </c>
      <c r="L630" s="967">
        <f t="shared" si="6"/>
        <v>25887</v>
      </c>
      <c r="M630" s="763">
        <f>SUM(M628:M629)</f>
        <v>0</v>
      </c>
    </row>
    <row r="631" spans="1:13" s="1108" customFormat="1" ht="30">
      <c r="A631" s="1195">
        <v>624</v>
      </c>
      <c r="B631" s="1200"/>
      <c r="C631" s="684">
        <v>1</v>
      </c>
      <c r="D631" s="1099" t="s">
        <v>744</v>
      </c>
      <c r="E631" s="716"/>
      <c r="F631" s="716"/>
      <c r="G631" s="716">
        <v>0</v>
      </c>
      <c r="H631" s="1171">
        <v>0</v>
      </c>
      <c r="I631" s="778"/>
      <c r="J631" s="687"/>
      <c r="K631" s="687"/>
      <c r="L631" s="779"/>
      <c r="M631" s="752"/>
    </row>
    <row r="632" spans="1:13" s="1109" customFormat="1" ht="15">
      <c r="A632" s="1195">
        <v>625</v>
      </c>
      <c r="B632" s="1201"/>
      <c r="C632" s="711"/>
      <c r="D632" s="690" t="s">
        <v>1170</v>
      </c>
      <c r="E632" s="1160" t="s">
        <v>400</v>
      </c>
      <c r="F632" s="727"/>
      <c r="G632" s="727"/>
      <c r="H632" s="1100"/>
      <c r="I632" s="781"/>
      <c r="J632" s="713">
        <v>386</v>
      </c>
      <c r="K632" s="713"/>
      <c r="L632" s="782">
        <f>SUM(I632:K632)</f>
        <v>386</v>
      </c>
      <c r="M632" s="760"/>
    </row>
    <row r="633" spans="1:13" s="1111" customFormat="1" ht="25.5" customHeight="1">
      <c r="A633" s="1195">
        <v>626</v>
      </c>
      <c r="B633" s="744"/>
      <c r="C633" s="743"/>
      <c r="D633" s="724" t="s">
        <v>1169</v>
      </c>
      <c r="E633" s="1161"/>
      <c r="F633" s="745"/>
      <c r="G633" s="745"/>
      <c r="H633" s="962"/>
      <c r="I633" s="789">
        <f>SUM(I632)</f>
        <v>0</v>
      </c>
      <c r="J633" s="740">
        <f>SUM(J632)</f>
        <v>386</v>
      </c>
      <c r="K633" s="740">
        <f>SUM(K632)</f>
        <v>0</v>
      </c>
      <c r="L633" s="967">
        <f>SUM(I633:K633)</f>
        <v>386</v>
      </c>
      <c r="M633" s="763">
        <f>SUM(M632)</f>
        <v>0</v>
      </c>
    </row>
    <row r="634" spans="1:13" s="1117" customFormat="1" ht="18" customHeight="1">
      <c r="A634" s="1195">
        <v>627</v>
      </c>
      <c r="B634" s="1202"/>
      <c r="C634" s="701"/>
      <c r="D634" s="968" t="s">
        <v>121</v>
      </c>
      <c r="E634" s="1164"/>
      <c r="F634" s="968">
        <f>SUM(F284:F631)</f>
        <v>126083</v>
      </c>
      <c r="G634" s="968">
        <f>SUM(G284:G631)</f>
        <v>7881</v>
      </c>
      <c r="H634" s="968">
        <f>SUM(H284:H631)</f>
        <v>31201</v>
      </c>
      <c r="I634" s="790"/>
      <c r="J634" s="734"/>
      <c r="K634" s="734"/>
      <c r="L634" s="969"/>
      <c r="M634" s="970"/>
    </row>
    <row r="635" spans="1:13" s="1117" customFormat="1" ht="18" customHeight="1">
      <c r="A635" s="1195">
        <v>628</v>
      </c>
      <c r="B635" s="1200"/>
      <c r="C635" s="684"/>
      <c r="D635" s="735" t="s">
        <v>1168</v>
      </c>
      <c r="E635" s="1160"/>
      <c r="F635" s="697"/>
      <c r="G635" s="697"/>
      <c r="H635" s="971"/>
      <c r="I635" s="972">
        <f>SUM(I628+I623+I619+I615+I611+I606+I602+I598+I593+I588+I584+I580+I575+I570+I566+I561+I556+I552+I548+I543+I539+I535+I531+I523+I519+I514+I508+I504+I500+I496+I492+I487+I483+I479+I471+I467+I463+I458+I453+I449+I445+I441+I437+I433+I429+I424+I420+I416+I412+I408+I404+I400+I396+I392+I388+I383+I379+I375+I370+I366+I362+I358+I354+I350+I342+I334+I330+I326+I322+I318+I314+I310+I306+I302+I298+I293+I285)</f>
        <v>42123</v>
      </c>
      <c r="J635" s="697">
        <f>SUM(J628+J623+J619+J615+J611+J606+J602+J598+J593+J588+J584+J580+J575+J570+J566+J561+J556+J552+J548+J543+J539+J535+J531+J523+J519+J514+J508+J504+J500+J496+J492+J487+J483+J479+J471+J467+J463+J458+J453+J449+J445+J441+J437+J433+J429+J424+J420+J416+J412+J408+J404+J400+J396+J392+J388+J383+J379+J375+J370+J366+J362+J358+J354+J350+J342+J334+J330+J326+J322+J318+J314+J310+J306+J302+J298+J293+J285)</f>
        <v>52088</v>
      </c>
      <c r="K635" s="697">
        <f>SUM(K628+K623+K619+K615+K611+K606+K602+K598+K593+K588+K584+K580+K575+K570+K566+K561+K556+K552+K548+K543+K539+K535+K531+K523+K519+K514+K508+K504+K500+K496+K492+K487+K483+K479+K471+K467+K463+K458+K453+K449+K445+K441+K437+K433+K429+K424+K420+K416+K412+K408+K404+K400+K396+K392+K388+K383+K379+K375+K370+K366+K362+K358+K354+K350+K342+K334+K330+K326+K322+K318+K314+K310+K306+K302+K298+K293+K285)</f>
        <v>0</v>
      </c>
      <c r="L635" s="973">
        <f t="shared" si="6"/>
        <v>94211</v>
      </c>
      <c r="M635" s="974">
        <f>SUM(M628+M623+M619+M615+M611+M606+M602+M598+M593+M588+M584+M580+M575+M570+M566+M561+M556+M552+M548+M543+M539+M535+M531+M523+M519+M514+M508+M504+M500+M496+M492+M487+M483+M479+M471+M467+M463+M458+M453+M449+M445+M441+M437+M433+M429+M424+M420+M416+M412+M408+M404+M400+M396+M392+M388+M383+M379+M375+M370+M366+M362+M358+M354+M350+M342+M334+M330+M326+M322+M318+M314+M310+M306+M302+M298+M293+M285)</f>
        <v>0</v>
      </c>
    </row>
    <row r="636" spans="1:13" s="1119" customFormat="1" ht="18" customHeight="1">
      <c r="A636" s="1195">
        <v>629</v>
      </c>
      <c r="B636" s="1201"/>
      <c r="C636" s="711"/>
      <c r="D636" s="736" t="s">
        <v>1170</v>
      </c>
      <c r="E636" s="1160"/>
      <c r="F636" s="975"/>
      <c r="G636" s="975"/>
      <c r="H636" s="976"/>
      <c r="I636" s="977">
        <f>SUM(I629+I624+I620+I616+I612+I607+I603+I599+I594+I589+I585+I581+I576+I571+I567+I562+I557+I553+I549+I544+I540+I536+I532+I524+I520+I515+I509+I505+I501+I497+I493+I488+I484+I480+I472+I468+I464+I459+I454+I450+I446+I442+I438+I434+I430+I425+I421+I417+I413+I409+I405+I401+I397+I393+I389+I384+I380+I376+I371+I367+I363+I359+I355+I351+I343+I335+I331+I327+I323+I319+I315+I311+I307+I303+I299+I294+I286)+I632+I527+I475+I346+I338+I289</f>
        <v>6054</v>
      </c>
      <c r="J636" s="975">
        <f>SUM(J629+J624+J620+J616+J612+J607+J603+J599+J594+J589+J585+J581+J576+J571+J567+J562+J557+J553+J549+J544+J540+J536+J532+J524+J520+J515+J509+J505+J501+J497+J493+J488+J484+J480+J472+J468+J464+J459+J454+J450+J446+J442+J438+J434+J430+J425+J421+J417+J413+J409+J405+J401+J397+J393+J389+J384+J380+J376+J371+J367+J363+J359+J355+J351+J343+J335+J331+J327+J323+J319+J315+J311+J307+J303+J299+J294+J286)+J632+J527+J475+J346+J338+J289</f>
        <v>1316</v>
      </c>
      <c r="K636" s="975">
        <f>SUM(K629+K624+K620+K616+K612+K607+K603+K599+K594+K589+K585+K581+K576+K571+K567+K562+K557+K553+K549+K544+K540+K536+K532+K524+K520+K515+K509+K505+K501+K497+K493+K488+K484+K480+K472+K468+K464+K459+K454+K450+K446+K442+K438+K434+K430+K425+K421+K417+K413+K409+K405+K401+K397+K393+K389+K384+K380+K376+K371+K367+K363+K359+K355+K351+K343+K335+K331+K327+K323+K319+K315+K311+K307+K303+K299+K294+K286)+K632+K527+K475+K346+K338+K289</f>
        <v>0</v>
      </c>
      <c r="L636" s="978">
        <f>SUM(L629+L624+L620+L616+L612+L607+L603+L599+L594+L589+L585+L581+L576+L571+L567+L562+L557+L553+L549+L544+L540+L536+L532+L524+L520+L515+L509+L505+L501+L497+L493+L488+L484+L480+L472+L468+L464+L459+L454+L450+L446+L442+L438+L434+L430+L425+L421+L417+L413+L409+L405+L401+L397+L393+L389+L384+L380+L376+L371+L367+L363+L359+L355+L351+L343+L335+L331+L327+L323+L319+L315+L311+L307+L303+L299+L294+L286)+L632+L527+L475+L346+L338+L289</f>
        <v>7370</v>
      </c>
      <c r="M636" s="979">
        <f>SUM(M629+M624+M620+M616+M612+M607+M603+M599+M594+M589+M585+M581+M576+M571+M567+M562+M557+M553+M549+M544+M540+M536+M532+M524+M520+M515+M509+M505+M501+M497+M493+M488+M484+M480+M472+M468+M464+M459+M454+M450+M446+M442+M438+M434+M430+M425+M421+M417+M413+M409+M405+M401+M397+M393+M389+M384+M380+M376+M371+M367+M363+M359+M355+M351+M343+M335+M331+M327+M323+M319+M315+M311+M307+M303+M299+M294+M286)</f>
        <v>0</v>
      </c>
    </row>
    <row r="637" spans="1:13" s="1113" customFormat="1" ht="18" customHeight="1" thickBot="1">
      <c r="A637" s="1195">
        <v>630</v>
      </c>
      <c r="B637" s="1206"/>
      <c r="C637" s="1207"/>
      <c r="D637" s="737" t="s">
        <v>1169</v>
      </c>
      <c r="E637" s="1165"/>
      <c r="F637" s="980"/>
      <c r="G637" s="980"/>
      <c r="H637" s="981"/>
      <c r="I637" s="982">
        <f>SUM(I635:I636)</f>
        <v>48177</v>
      </c>
      <c r="J637" s="980">
        <f>SUM(J635:J636)</f>
        <v>53404</v>
      </c>
      <c r="K637" s="980">
        <f>SUM(K635:K636)</f>
        <v>0</v>
      </c>
      <c r="L637" s="983">
        <f t="shared" si="6"/>
        <v>101581</v>
      </c>
      <c r="M637" s="984">
        <f>SUM(M635:M636)</f>
        <v>0</v>
      </c>
    </row>
    <row r="638" spans="1:13" s="1116" customFormat="1" ht="25.5" customHeight="1" thickTop="1">
      <c r="A638" s="1212">
        <v>631</v>
      </c>
      <c r="B638" s="707">
        <v>18</v>
      </c>
      <c r="C638" s="741"/>
      <c r="D638" s="1114" t="s">
        <v>484</v>
      </c>
      <c r="E638" s="1115"/>
      <c r="F638" s="1192"/>
      <c r="G638" s="1192"/>
      <c r="H638" s="1193"/>
      <c r="I638" s="798"/>
      <c r="J638" s="700"/>
      <c r="K638" s="700"/>
      <c r="L638" s="805"/>
      <c r="M638" s="772"/>
    </row>
    <row r="639" spans="1:13" s="1108" customFormat="1" ht="15">
      <c r="A639" s="1195">
        <v>632</v>
      </c>
      <c r="B639" s="1200"/>
      <c r="C639" s="684">
        <v>1</v>
      </c>
      <c r="D639" s="716" t="s">
        <v>16</v>
      </c>
      <c r="E639" s="1160" t="s">
        <v>400</v>
      </c>
      <c r="F639" s="721">
        <v>0</v>
      </c>
      <c r="G639" s="721">
        <v>0</v>
      </c>
      <c r="H639" s="1174">
        <v>0</v>
      </c>
      <c r="I639" s="778"/>
      <c r="J639" s="687"/>
      <c r="K639" s="687"/>
      <c r="L639" s="779"/>
      <c r="M639" s="752"/>
    </row>
    <row r="640" spans="1:13" ht="15">
      <c r="A640" s="1195">
        <v>633</v>
      </c>
      <c r="B640" s="1200"/>
      <c r="C640" s="684"/>
      <c r="D640" s="688" t="s">
        <v>1168</v>
      </c>
      <c r="E640" s="1160"/>
      <c r="F640" s="727"/>
      <c r="G640" s="727"/>
      <c r="H640" s="1100"/>
      <c r="I640" s="778">
        <v>8000</v>
      </c>
      <c r="J640" s="687"/>
      <c r="K640" s="687"/>
      <c r="L640" s="780">
        <f t="shared" si="6"/>
        <v>8000</v>
      </c>
      <c r="M640" s="757"/>
    </row>
    <row r="641" spans="1:13" s="1109" customFormat="1" ht="15">
      <c r="A641" s="1195">
        <v>634</v>
      </c>
      <c r="B641" s="1201"/>
      <c r="C641" s="711"/>
      <c r="D641" s="690" t="s">
        <v>1170</v>
      </c>
      <c r="E641" s="738"/>
      <c r="F641" s="728"/>
      <c r="G641" s="728"/>
      <c r="H641" s="1101"/>
      <c r="I641" s="781">
        <v>-8000</v>
      </c>
      <c r="J641" s="713"/>
      <c r="K641" s="713"/>
      <c r="L641" s="782">
        <f t="shared" si="6"/>
        <v>-8000</v>
      </c>
      <c r="M641" s="760"/>
    </row>
    <row r="642" spans="1:13" s="1110" customFormat="1" ht="15">
      <c r="A642" s="1195">
        <v>635</v>
      </c>
      <c r="B642" s="739"/>
      <c r="C642" s="714"/>
      <c r="D642" s="691" t="s">
        <v>1169</v>
      </c>
      <c r="E642" s="1152"/>
      <c r="F642" s="716"/>
      <c r="G642" s="716"/>
      <c r="H642" s="1171"/>
      <c r="I642" s="786">
        <f>SUM(I640:I641)</f>
        <v>0</v>
      </c>
      <c r="J642" s="728">
        <f>SUM(J640:J641)</f>
        <v>0</v>
      </c>
      <c r="K642" s="728">
        <f>SUM(K640:K641)</f>
        <v>0</v>
      </c>
      <c r="L642" s="779">
        <f t="shared" si="6"/>
        <v>0</v>
      </c>
      <c r="M642" s="759">
        <f>SUM(M640:M641)</f>
        <v>0</v>
      </c>
    </row>
    <row r="643" spans="1:13" s="1108" customFormat="1" ht="15">
      <c r="A643" s="1195">
        <v>636</v>
      </c>
      <c r="B643" s="1200"/>
      <c r="C643" s="684">
        <v>2</v>
      </c>
      <c r="D643" s="716" t="s">
        <v>57</v>
      </c>
      <c r="E643" s="1160" t="s">
        <v>400</v>
      </c>
      <c r="F643" s="721">
        <v>0</v>
      </c>
      <c r="G643" s="721">
        <v>0</v>
      </c>
      <c r="H643" s="1174">
        <v>0</v>
      </c>
      <c r="I643" s="778"/>
      <c r="J643" s="687"/>
      <c r="K643" s="687"/>
      <c r="L643" s="779"/>
      <c r="M643" s="752"/>
    </row>
    <row r="644" spans="1:13" ht="15">
      <c r="A644" s="1195">
        <v>637</v>
      </c>
      <c r="B644" s="1200"/>
      <c r="C644" s="684"/>
      <c r="D644" s="688" t="s">
        <v>1168</v>
      </c>
      <c r="E644" s="1160"/>
      <c r="F644" s="727"/>
      <c r="G644" s="727"/>
      <c r="H644" s="1100"/>
      <c r="I644" s="778">
        <v>13500</v>
      </c>
      <c r="J644" s="687"/>
      <c r="K644" s="687"/>
      <c r="L644" s="780">
        <f t="shared" si="6"/>
        <v>13500</v>
      </c>
      <c r="M644" s="757"/>
    </row>
    <row r="645" spans="1:13" s="1109" customFormat="1" ht="15">
      <c r="A645" s="1195">
        <v>638</v>
      </c>
      <c r="B645" s="1201"/>
      <c r="C645" s="711"/>
      <c r="D645" s="690" t="s">
        <v>1170</v>
      </c>
      <c r="E645" s="738"/>
      <c r="F645" s="728"/>
      <c r="G645" s="728"/>
      <c r="H645" s="1101"/>
      <c r="I645" s="781">
        <v>-13500</v>
      </c>
      <c r="J645" s="713"/>
      <c r="K645" s="713"/>
      <c r="L645" s="782">
        <f t="shared" si="6"/>
        <v>-13500</v>
      </c>
      <c r="M645" s="760"/>
    </row>
    <row r="646" spans="1:13" s="1110" customFormat="1" ht="15">
      <c r="A646" s="1195">
        <v>639</v>
      </c>
      <c r="B646" s="739"/>
      <c r="C646" s="714"/>
      <c r="D646" s="691" t="s">
        <v>1169</v>
      </c>
      <c r="E646" s="1152"/>
      <c r="F646" s="716"/>
      <c r="G646" s="716"/>
      <c r="H646" s="1171"/>
      <c r="I646" s="786">
        <f>SUM(I644:I645)</f>
        <v>0</v>
      </c>
      <c r="J646" s="728">
        <f>SUM(J644:J645)</f>
        <v>0</v>
      </c>
      <c r="K646" s="728">
        <f>SUM(K644:K645)</f>
        <v>0</v>
      </c>
      <c r="L646" s="779">
        <f t="shared" si="6"/>
        <v>0</v>
      </c>
      <c r="M646" s="759">
        <f>SUM(M644:M645)</f>
        <v>0</v>
      </c>
    </row>
    <row r="647" spans="1:13" s="1108" customFormat="1" ht="15">
      <c r="A647" s="1195">
        <v>640</v>
      </c>
      <c r="B647" s="1200"/>
      <c r="C647" s="684">
        <v>3</v>
      </c>
      <c r="D647" s="716" t="s">
        <v>77</v>
      </c>
      <c r="E647" s="1160" t="s">
        <v>400</v>
      </c>
      <c r="F647" s="721">
        <v>0</v>
      </c>
      <c r="G647" s="721">
        <v>0</v>
      </c>
      <c r="H647" s="1174">
        <v>0</v>
      </c>
      <c r="I647" s="778"/>
      <c r="J647" s="687"/>
      <c r="K647" s="687"/>
      <c r="L647" s="779"/>
      <c r="M647" s="752"/>
    </row>
    <row r="648" spans="1:13" ht="15">
      <c r="A648" s="1195">
        <v>641</v>
      </c>
      <c r="B648" s="1200"/>
      <c r="C648" s="684"/>
      <c r="D648" s="688" t="s">
        <v>1168</v>
      </c>
      <c r="E648" s="1168"/>
      <c r="F648" s="1176"/>
      <c r="G648" s="1176"/>
      <c r="H648" s="1177"/>
      <c r="I648" s="778">
        <v>10000</v>
      </c>
      <c r="J648" s="687"/>
      <c r="K648" s="687"/>
      <c r="L648" s="780">
        <f t="shared" si="6"/>
        <v>10000</v>
      </c>
      <c r="M648" s="757"/>
    </row>
    <row r="649" spans="1:13" s="1109" customFormat="1" ht="15">
      <c r="A649" s="1195">
        <v>642</v>
      </c>
      <c r="B649" s="1201"/>
      <c r="C649" s="711"/>
      <c r="D649" s="690" t="s">
        <v>1170</v>
      </c>
      <c r="E649" s="1160"/>
      <c r="F649" s="727"/>
      <c r="G649" s="727"/>
      <c r="H649" s="1100"/>
      <c r="I649" s="781">
        <v>-10000</v>
      </c>
      <c r="J649" s="713"/>
      <c r="K649" s="713"/>
      <c r="L649" s="782">
        <f t="shared" si="6"/>
        <v>-10000</v>
      </c>
      <c r="M649" s="760"/>
    </row>
    <row r="650" spans="1:13" s="1110" customFormat="1" ht="15">
      <c r="A650" s="1195">
        <v>643</v>
      </c>
      <c r="B650" s="739"/>
      <c r="C650" s="714"/>
      <c r="D650" s="691" t="s">
        <v>1169</v>
      </c>
      <c r="E650" s="738"/>
      <c r="F650" s="728"/>
      <c r="G650" s="728"/>
      <c r="H650" s="1101"/>
      <c r="I650" s="786">
        <f>SUM(I648:I649)</f>
        <v>0</v>
      </c>
      <c r="J650" s="728">
        <f>SUM(J648:J649)</f>
        <v>0</v>
      </c>
      <c r="K650" s="728">
        <f>SUM(K648:K649)</f>
        <v>0</v>
      </c>
      <c r="L650" s="779">
        <f t="shared" si="6"/>
        <v>0</v>
      </c>
      <c r="M650" s="759">
        <f>SUM(M648:M649)</f>
        <v>0</v>
      </c>
    </row>
    <row r="651" spans="1:13" s="1108" customFormat="1" ht="15">
      <c r="A651" s="1195">
        <v>644</v>
      </c>
      <c r="B651" s="1200"/>
      <c r="C651" s="684">
        <v>4</v>
      </c>
      <c r="D651" s="716" t="s">
        <v>81</v>
      </c>
      <c r="E651" s="1160" t="s">
        <v>400</v>
      </c>
      <c r="F651" s="721">
        <v>0</v>
      </c>
      <c r="G651" s="721">
        <v>0</v>
      </c>
      <c r="H651" s="1171">
        <v>0</v>
      </c>
      <c r="I651" s="778"/>
      <c r="J651" s="687"/>
      <c r="K651" s="687"/>
      <c r="L651" s="779"/>
      <c r="M651" s="752"/>
    </row>
    <row r="652" spans="1:13" ht="15">
      <c r="A652" s="1195">
        <v>645</v>
      </c>
      <c r="B652" s="1200"/>
      <c r="C652" s="684"/>
      <c r="D652" s="688" t="s">
        <v>1168</v>
      </c>
      <c r="E652" s="1160"/>
      <c r="F652" s="727"/>
      <c r="G652" s="727"/>
      <c r="H652" s="1174"/>
      <c r="I652" s="778">
        <v>25000</v>
      </c>
      <c r="J652" s="687"/>
      <c r="K652" s="687"/>
      <c r="L652" s="780">
        <f t="shared" si="6"/>
        <v>25000</v>
      </c>
      <c r="M652" s="757">
        <v>375000</v>
      </c>
    </row>
    <row r="653" spans="1:13" s="1109" customFormat="1" ht="15">
      <c r="A653" s="1195">
        <v>646</v>
      </c>
      <c r="B653" s="1201"/>
      <c r="C653" s="711"/>
      <c r="D653" s="690" t="s">
        <v>1170</v>
      </c>
      <c r="E653" s="738"/>
      <c r="F653" s="728"/>
      <c r="G653" s="728"/>
      <c r="H653" s="1100"/>
      <c r="I653" s="781">
        <v>-25000</v>
      </c>
      <c r="J653" s="713"/>
      <c r="K653" s="713"/>
      <c r="L653" s="782">
        <f t="shared" si="6"/>
        <v>-25000</v>
      </c>
      <c r="M653" s="760"/>
    </row>
    <row r="654" spans="1:13" s="1110" customFormat="1" ht="15">
      <c r="A654" s="1195">
        <v>647</v>
      </c>
      <c r="B654" s="739"/>
      <c r="C654" s="714"/>
      <c r="D654" s="691" t="s">
        <v>1169</v>
      </c>
      <c r="E654" s="1152"/>
      <c r="F654" s="716"/>
      <c r="G654" s="716"/>
      <c r="H654" s="1101"/>
      <c r="I654" s="786">
        <f>SUM(I652:I653)</f>
        <v>0</v>
      </c>
      <c r="J654" s="728">
        <f>SUM(J652:J653)</f>
        <v>0</v>
      </c>
      <c r="K654" s="728">
        <f>SUM(K652:K653)</f>
        <v>0</v>
      </c>
      <c r="L654" s="779">
        <f t="shared" si="6"/>
        <v>0</v>
      </c>
      <c r="M654" s="759">
        <f>SUM(M652:M653)</f>
        <v>375000</v>
      </c>
    </row>
    <row r="655" spans="1:13" s="1108" customFormat="1" ht="15">
      <c r="A655" s="1195">
        <v>648</v>
      </c>
      <c r="B655" s="1200"/>
      <c r="C655" s="684">
        <v>5</v>
      </c>
      <c r="D655" s="716" t="s">
        <v>493</v>
      </c>
      <c r="E655" s="1160" t="s">
        <v>400</v>
      </c>
      <c r="F655" s="721">
        <v>0</v>
      </c>
      <c r="G655" s="721">
        <v>0</v>
      </c>
      <c r="H655" s="1171">
        <v>0</v>
      </c>
      <c r="I655" s="778"/>
      <c r="J655" s="687"/>
      <c r="K655" s="687"/>
      <c r="L655" s="779"/>
      <c r="M655" s="752"/>
    </row>
    <row r="656" spans="1:13" ht="15">
      <c r="A656" s="1195">
        <v>649</v>
      </c>
      <c r="B656" s="1200"/>
      <c r="C656" s="684"/>
      <c r="D656" s="688" t="s">
        <v>1168</v>
      </c>
      <c r="E656" s="1160"/>
      <c r="F656" s="727"/>
      <c r="G656" s="727"/>
      <c r="H656" s="1174"/>
      <c r="I656" s="778">
        <v>13000</v>
      </c>
      <c r="J656" s="687"/>
      <c r="K656" s="687"/>
      <c r="L656" s="780">
        <f t="shared" si="6"/>
        <v>13000</v>
      </c>
      <c r="M656" s="757"/>
    </row>
    <row r="657" spans="1:13" s="1109" customFormat="1" ht="15">
      <c r="A657" s="1195">
        <v>650</v>
      </c>
      <c r="B657" s="1201"/>
      <c r="C657" s="711"/>
      <c r="D657" s="690" t="s">
        <v>1170</v>
      </c>
      <c r="E657" s="738"/>
      <c r="F657" s="728"/>
      <c r="G657" s="728"/>
      <c r="H657" s="1100"/>
      <c r="I657" s="781">
        <v>-13000</v>
      </c>
      <c r="J657" s="713"/>
      <c r="K657" s="713"/>
      <c r="L657" s="782">
        <f t="shared" si="6"/>
        <v>-13000</v>
      </c>
      <c r="M657" s="760"/>
    </row>
    <row r="658" spans="1:13" s="1110" customFormat="1" ht="15">
      <c r="A658" s="1195">
        <v>651</v>
      </c>
      <c r="B658" s="739"/>
      <c r="C658" s="714"/>
      <c r="D658" s="691" t="s">
        <v>1169</v>
      </c>
      <c r="E658" s="1152"/>
      <c r="F658" s="716"/>
      <c r="G658" s="716"/>
      <c r="H658" s="1101"/>
      <c r="I658" s="786">
        <f>SUM(I656:I657)</f>
        <v>0</v>
      </c>
      <c r="J658" s="728">
        <f>SUM(J656:J657)</f>
        <v>0</v>
      </c>
      <c r="K658" s="728">
        <f>SUM(K656:K657)</f>
        <v>0</v>
      </c>
      <c r="L658" s="779">
        <f aca="true" t="shared" si="7" ref="L658:L699">SUM(I658:K658)</f>
        <v>0</v>
      </c>
      <c r="M658" s="759">
        <f>SUM(M656:M657)</f>
        <v>0</v>
      </c>
    </row>
    <row r="659" spans="1:13" s="1108" customFormat="1" ht="15">
      <c r="A659" s="1195">
        <v>652</v>
      </c>
      <c r="B659" s="1200"/>
      <c r="C659" s="684">
        <v>6</v>
      </c>
      <c r="D659" s="716" t="s">
        <v>84</v>
      </c>
      <c r="E659" s="1160" t="s">
        <v>400</v>
      </c>
      <c r="F659" s="721">
        <v>0</v>
      </c>
      <c r="G659" s="721">
        <v>0</v>
      </c>
      <c r="H659" s="1171">
        <v>0</v>
      </c>
      <c r="I659" s="778"/>
      <c r="J659" s="687"/>
      <c r="K659" s="687"/>
      <c r="L659" s="779"/>
      <c r="M659" s="752"/>
    </row>
    <row r="660" spans="1:13" ht="15">
      <c r="A660" s="1195">
        <v>653</v>
      </c>
      <c r="B660" s="1200"/>
      <c r="C660" s="684"/>
      <c r="D660" s="688" t="s">
        <v>1168</v>
      </c>
      <c r="E660" s="1160"/>
      <c r="F660" s="727"/>
      <c r="G660" s="727"/>
      <c r="H660" s="1174"/>
      <c r="I660" s="778">
        <v>5000</v>
      </c>
      <c r="J660" s="687"/>
      <c r="K660" s="687"/>
      <c r="L660" s="780">
        <f t="shared" si="7"/>
        <v>5000</v>
      </c>
      <c r="M660" s="757"/>
    </row>
    <row r="661" spans="1:13" s="1109" customFormat="1" ht="15">
      <c r="A661" s="1195">
        <v>654</v>
      </c>
      <c r="B661" s="1201"/>
      <c r="C661" s="711"/>
      <c r="D661" s="690" t="s">
        <v>1170</v>
      </c>
      <c r="E661" s="738"/>
      <c r="F661" s="728"/>
      <c r="G661" s="728"/>
      <c r="H661" s="1100"/>
      <c r="I661" s="781">
        <v>-5000</v>
      </c>
      <c r="J661" s="713"/>
      <c r="K661" s="713"/>
      <c r="L661" s="782">
        <f t="shared" si="7"/>
        <v>-5000</v>
      </c>
      <c r="M661" s="760"/>
    </row>
    <row r="662" spans="1:13" s="1110" customFormat="1" ht="15">
      <c r="A662" s="1195">
        <v>655</v>
      </c>
      <c r="B662" s="739"/>
      <c r="C662" s="714"/>
      <c r="D662" s="691" t="s">
        <v>1169</v>
      </c>
      <c r="E662" s="1152"/>
      <c r="F662" s="716"/>
      <c r="G662" s="716"/>
      <c r="H662" s="1101"/>
      <c r="I662" s="786">
        <f>SUM(I660:I661)</f>
        <v>0</v>
      </c>
      <c r="J662" s="728">
        <f>SUM(J660:J661)</f>
        <v>0</v>
      </c>
      <c r="K662" s="728">
        <f>SUM(K660:K661)</f>
        <v>0</v>
      </c>
      <c r="L662" s="779">
        <f t="shared" si="7"/>
        <v>0</v>
      </c>
      <c r="M662" s="759">
        <f>SUM(M660:M661)</f>
        <v>0</v>
      </c>
    </row>
    <row r="663" spans="1:13" s="1108" customFormat="1" ht="30">
      <c r="A663" s="1195">
        <v>656</v>
      </c>
      <c r="B663" s="1200"/>
      <c r="C663" s="684">
        <v>7</v>
      </c>
      <c r="D663" s="716" t="s">
        <v>86</v>
      </c>
      <c r="E663" s="1160" t="s">
        <v>400</v>
      </c>
      <c r="F663" s="721">
        <v>0</v>
      </c>
      <c r="G663" s="721">
        <v>0</v>
      </c>
      <c r="H663" s="1171">
        <v>0</v>
      </c>
      <c r="I663" s="778"/>
      <c r="J663" s="687"/>
      <c r="K663" s="687"/>
      <c r="L663" s="779"/>
      <c r="M663" s="752"/>
    </row>
    <row r="664" spans="1:13" ht="15">
      <c r="A664" s="1195">
        <v>657</v>
      </c>
      <c r="B664" s="1200"/>
      <c r="C664" s="684"/>
      <c r="D664" s="688" t="s">
        <v>1168</v>
      </c>
      <c r="E664" s="1168"/>
      <c r="F664" s="1176"/>
      <c r="G664" s="1176"/>
      <c r="H664" s="1174"/>
      <c r="I664" s="778">
        <v>7000</v>
      </c>
      <c r="J664" s="687"/>
      <c r="K664" s="687"/>
      <c r="L664" s="780">
        <f t="shared" si="7"/>
        <v>7000</v>
      </c>
      <c r="M664" s="757"/>
    </row>
    <row r="665" spans="1:13" s="1109" customFormat="1" ht="15">
      <c r="A665" s="1195">
        <v>658</v>
      </c>
      <c r="B665" s="1201"/>
      <c r="C665" s="711"/>
      <c r="D665" s="690" t="s">
        <v>1170</v>
      </c>
      <c r="E665" s="1160"/>
      <c r="F665" s="727"/>
      <c r="G665" s="727"/>
      <c r="H665" s="1100"/>
      <c r="I665" s="781">
        <v>-7000</v>
      </c>
      <c r="J665" s="713"/>
      <c r="K665" s="713"/>
      <c r="L665" s="782">
        <f t="shared" si="7"/>
        <v>-7000</v>
      </c>
      <c r="M665" s="760"/>
    </row>
    <row r="666" spans="1:13" s="1110" customFormat="1" ht="15">
      <c r="A666" s="1195">
        <v>659</v>
      </c>
      <c r="B666" s="739"/>
      <c r="C666" s="714"/>
      <c r="D666" s="691" t="s">
        <v>1169</v>
      </c>
      <c r="E666" s="738"/>
      <c r="F666" s="728"/>
      <c r="G666" s="728"/>
      <c r="H666" s="1101"/>
      <c r="I666" s="786">
        <f>SUM(I664:I665)</f>
        <v>0</v>
      </c>
      <c r="J666" s="728">
        <f>SUM(J664:J665)</f>
        <v>0</v>
      </c>
      <c r="K666" s="728">
        <f>SUM(K664:K665)</f>
        <v>0</v>
      </c>
      <c r="L666" s="779">
        <f t="shared" si="7"/>
        <v>0</v>
      </c>
      <c r="M666" s="759">
        <f>SUM(M664:M665)</f>
        <v>0</v>
      </c>
    </row>
    <row r="667" spans="1:13" s="1108" customFormat="1" ht="15">
      <c r="A667" s="1195">
        <v>660</v>
      </c>
      <c r="B667" s="1200"/>
      <c r="C667" s="684">
        <v>8</v>
      </c>
      <c r="D667" s="716" t="s">
        <v>90</v>
      </c>
      <c r="E667" s="1160" t="s">
        <v>400</v>
      </c>
      <c r="F667" s="721">
        <v>0</v>
      </c>
      <c r="G667" s="716">
        <v>0</v>
      </c>
      <c r="H667" s="1171">
        <v>0</v>
      </c>
      <c r="I667" s="778"/>
      <c r="J667" s="687"/>
      <c r="K667" s="687"/>
      <c r="L667" s="779"/>
      <c r="M667" s="752"/>
    </row>
    <row r="668" spans="1:13" ht="15">
      <c r="A668" s="1195">
        <v>661</v>
      </c>
      <c r="B668" s="1200"/>
      <c r="C668" s="684"/>
      <c r="D668" s="688" t="s">
        <v>1168</v>
      </c>
      <c r="E668" s="1160"/>
      <c r="F668" s="727"/>
      <c r="G668" s="721"/>
      <c r="H668" s="1174"/>
      <c r="I668" s="778">
        <v>15000</v>
      </c>
      <c r="J668" s="687"/>
      <c r="K668" s="687"/>
      <c r="L668" s="780">
        <f t="shared" si="7"/>
        <v>15000</v>
      </c>
      <c r="M668" s="757"/>
    </row>
    <row r="669" spans="1:13" s="1109" customFormat="1" ht="15">
      <c r="A669" s="1195">
        <v>662</v>
      </c>
      <c r="B669" s="1201"/>
      <c r="C669" s="711"/>
      <c r="D669" s="690" t="s">
        <v>1170</v>
      </c>
      <c r="E669" s="738"/>
      <c r="F669" s="728"/>
      <c r="G669" s="727"/>
      <c r="H669" s="1100"/>
      <c r="I669" s="781">
        <v>-15000</v>
      </c>
      <c r="J669" s="713"/>
      <c r="K669" s="713"/>
      <c r="L669" s="782">
        <f t="shared" si="7"/>
        <v>-15000</v>
      </c>
      <c r="M669" s="760"/>
    </row>
    <row r="670" spans="1:13" s="1110" customFormat="1" ht="15">
      <c r="A670" s="1195">
        <v>663</v>
      </c>
      <c r="B670" s="739"/>
      <c r="C670" s="714"/>
      <c r="D670" s="691" t="s">
        <v>1169</v>
      </c>
      <c r="E670" s="1160"/>
      <c r="F670" s="696"/>
      <c r="G670" s="728"/>
      <c r="H670" s="1101"/>
      <c r="I670" s="786">
        <f>SUM(I668:I669)</f>
        <v>0</v>
      </c>
      <c r="J670" s="728">
        <f>SUM(J668:J669)</f>
        <v>0</v>
      </c>
      <c r="K670" s="728">
        <f>SUM(K668:K669)</f>
        <v>0</v>
      </c>
      <c r="L670" s="779">
        <f t="shared" si="7"/>
        <v>0</v>
      </c>
      <c r="M670" s="759">
        <f>SUM(M668:M669)</f>
        <v>0</v>
      </c>
    </row>
    <row r="671" spans="1:13" ht="18" customHeight="1">
      <c r="A671" s="1195">
        <v>664</v>
      </c>
      <c r="B671" s="1200"/>
      <c r="C671" s="684"/>
      <c r="D671" s="685" t="s">
        <v>1048</v>
      </c>
      <c r="E671" s="1152"/>
      <c r="F671" s="716"/>
      <c r="G671" s="697"/>
      <c r="H671" s="1189"/>
      <c r="I671" s="796"/>
      <c r="J671" s="698"/>
      <c r="K671" s="698"/>
      <c r="L671" s="779"/>
      <c r="M671" s="773"/>
    </row>
    <row r="672" spans="1:13" s="1108" customFormat="1" ht="15">
      <c r="A672" s="1195">
        <v>665</v>
      </c>
      <c r="B672" s="1200"/>
      <c r="C672" s="684">
        <v>9</v>
      </c>
      <c r="D672" s="716" t="s">
        <v>1082</v>
      </c>
      <c r="E672" s="1160" t="s">
        <v>400</v>
      </c>
      <c r="F672" s="721">
        <v>0</v>
      </c>
      <c r="G672" s="716">
        <v>0</v>
      </c>
      <c r="H672" s="1171">
        <v>0</v>
      </c>
      <c r="I672" s="778"/>
      <c r="J672" s="687"/>
      <c r="K672" s="687"/>
      <c r="L672" s="779"/>
      <c r="M672" s="752"/>
    </row>
    <row r="673" spans="1:13" ht="15">
      <c r="A673" s="1195">
        <v>666</v>
      </c>
      <c r="B673" s="1200"/>
      <c r="C673" s="684"/>
      <c r="D673" s="688" t="s">
        <v>1168</v>
      </c>
      <c r="E673" s="1160"/>
      <c r="F673" s="727"/>
      <c r="G673" s="721"/>
      <c r="H673" s="1174"/>
      <c r="I673" s="778">
        <v>0</v>
      </c>
      <c r="J673" s="687">
        <v>500</v>
      </c>
      <c r="K673" s="687"/>
      <c r="L673" s="780">
        <f t="shared" si="7"/>
        <v>500</v>
      </c>
      <c r="M673" s="757"/>
    </row>
    <row r="674" spans="1:13" s="1109" customFormat="1" ht="15">
      <c r="A674" s="1195">
        <v>667</v>
      </c>
      <c r="B674" s="1201"/>
      <c r="C674" s="711"/>
      <c r="D674" s="690" t="s">
        <v>1170</v>
      </c>
      <c r="E674" s="738"/>
      <c r="F674" s="728"/>
      <c r="G674" s="727"/>
      <c r="H674" s="1100"/>
      <c r="I674" s="781"/>
      <c r="J674" s="713">
        <v>-500</v>
      </c>
      <c r="K674" s="713"/>
      <c r="L674" s="782">
        <f t="shared" si="7"/>
        <v>-500</v>
      </c>
      <c r="M674" s="760"/>
    </row>
    <row r="675" spans="1:13" s="1110" customFormat="1" ht="15">
      <c r="A675" s="1195">
        <v>668</v>
      </c>
      <c r="B675" s="739"/>
      <c r="C675" s="714"/>
      <c r="D675" s="691" t="s">
        <v>1169</v>
      </c>
      <c r="E675" s="1160"/>
      <c r="F675" s="686"/>
      <c r="G675" s="728"/>
      <c r="H675" s="1101"/>
      <c r="I675" s="786">
        <f>SUM(I673:I674)</f>
        <v>0</v>
      </c>
      <c r="J675" s="728">
        <f>SUM(J673:J674)</f>
        <v>0</v>
      </c>
      <c r="K675" s="728">
        <f>SUM(K673:K674)</f>
        <v>0</v>
      </c>
      <c r="L675" s="779">
        <f t="shared" si="7"/>
        <v>0</v>
      </c>
      <c r="M675" s="759">
        <f>SUM(M673:M674)</f>
        <v>0</v>
      </c>
    </row>
    <row r="676" spans="1:13" ht="18" customHeight="1">
      <c r="A676" s="1195">
        <v>669</v>
      </c>
      <c r="B676" s="1200"/>
      <c r="C676" s="684"/>
      <c r="D676" s="685" t="s">
        <v>95</v>
      </c>
      <c r="E676" s="1152"/>
      <c r="F676" s="716"/>
      <c r="G676" s="686"/>
      <c r="H676" s="1190"/>
      <c r="I676" s="795"/>
      <c r="J676" s="689"/>
      <c r="K676" s="689"/>
      <c r="L676" s="779"/>
      <c r="M676" s="769"/>
    </row>
    <row r="677" spans="1:13" s="1108" customFormat="1" ht="15">
      <c r="A677" s="1195">
        <v>670</v>
      </c>
      <c r="B677" s="1200"/>
      <c r="C677" s="684">
        <v>10</v>
      </c>
      <c r="D677" s="716" t="s">
        <v>1083</v>
      </c>
      <c r="E677" s="1160" t="s">
        <v>400</v>
      </c>
      <c r="F677" s="721">
        <v>0</v>
      </c>
      <c r="G677" s="716">
        <v>0</v>
      </c>
      <c r="H677" s="1171">
        <v>0</v>
      </c>
      <c r="I677" s="778"/>
      <c r="J677" s="687"/>
      <c r="K677" s="687"/>
      <c r="L677" s="779"/>
      <c r="M677" s="752"/>
    </row>
    <row r="678" spans="1:13" ht="15">
      <c r="A678" s="1195">
        <v>671</v>
      </c>
      <c r="B678" s="1200"/>
      <c r="C678" s="684"/>
      <c r="D678" s="688" t="s">
        <v>1168</v>
      </c>
      <c r="E678" s="1168"/>
      <c r="F678" s="1176"/>
      <c r="G678" s="721"/>
      <c r="H678" s="1174"/>
      <c r="I678" s="778">
        <v>2725</v>
      </c>
      <c r="J678" s="687"/>
      <c r="K678" s="687"/>
      <c r="L678" s="780">
        <f t="shared" si="7"/>
        <v>2725</v>
      </c>
      <c r="M678" s="757"/>
    </row>
    <row r="679" spans="1:13" s="1109" customFormat="1" ht="15">
      <c r="A679" s="1195">
        <v>672</v>
      </c>
      <c r="B679" s="1201"/>
      <c r="C679" s="711"/>
      <c r="D679" s="690" t="s">
        <v>1170</v>
      </c>
      <c r="E679" s="1160"/>
      <c r="F679" s="727"/>
      <c r="G679" s="727"/>
      <c r="H679" s="1100"/>
      <c r="I679" s="781">
        <v>-2725</v>
      </c>
      <c r="J679" s="713"/>
      <c r="K679" s="713"/>
      <c r="L679" s="782">
        <f t="shared" si="7"/>
        <v>-2725</v>
      </c>
      <c r="M679" s="760"/>
    </row>
    <row r="680" spans="1:13" s="1110" customFormat="1" ht="15">
      <c r="A680" s="1195">
        <v>673</v>
      </c>
      <c r="B680" s="739"/>
      <c r="C680" s="714"/>
      <c r="D680" s="691" t="s">
        <v>1169</v>
      </c>
      <c r="E680" s="738"/>
      <c r="F680" s="728"/>
      <c r="G680" s="728"/>
      <c r="H680" s="1101"/>
      <c r="I680" s="786">
        <f>SUM(I678:I679)</f>
        <v>0</v>
      </c>
      <c r="J680" s="728">
        <f>SUM(J678:J679)</f>
        <v>0</v>
      </c>
      <c r="K680" s="728">
        <f>SUM(K678:K679)</f>
        <v>0</v>
      </c>
      <c r="L680" s="779">
        <f t="shared" si="7"/>
        <v>0</v>
      </c>
      <c r="M680" s="759">
        <f>SUM(M678:M679)</f>
        <v>0</v>
      </c>
    </row>
    <row r="681" spans="1:13" ht="18" customHeight="1">
      <c r="A681" s="1195">
        <v>674</v>
      </c>
      <c r="B681" s="1200"/>
      <c r="C681" s="684"/>
      <c r="D681" s="685" t="s">
        <v>425</v>
      </c>
      <c r="E681" s="1160"/>
      <c r="F681" s="686"/>
      <c r="G681" s="686"/>
      <c r="H681" s="1190"/>
      <c r="I681" s="795"/>
      <c r="J681" s="689"/>
      <c r="K681" s="689"/>
      <c r="L681" s="779"/>
      <c r="M681" s="769"/>
    </row>
    <row r="682" spans="1:13" s="1108" customFormat="1" ht="15">
      <c r="A682" s="1195">
        <v>675</v>
      </c>
      <c r="B682" s="1200"/>
      <c r="C682" s="684">
        <v>11</v>
      </c>
      <c r="D682" s="716" t="s">
        <v>1083</v>
      </c>
      <c r="E682" s="1160" t="s">
        <v>400</v>
      </c>
      <c r="F682" s="721">
        <v>0</v>
      </c>
      <c r="G682" s="716">
        <v>0</v>
      </c>
      <c r="H682" s="1171">
        <v>0</v>
      </c>
      <c r="I682" s="778"/>
      <c r="J682" s="687"/>
      <c r="K682" s="687"/>
      <c r="L682" s="779"/>
      <c r="M682" s="752"/>
    </row>
    <row r="683" spans="1:13" ht="15">
      <c r="A683" s="1195">
        <v>676</v>
      </c>
      <c r="B683" s="1200"/>
      <c r="C683" s="684"/>
      <c r="D683" s="688" t="s">
        <v>1168</v>
      </c>
      <c r="E683" s="1168"/>
      <c r="F683" s="1176"/>
      <c r="G683" s="721"/>
      <c r="H683" s="1174"/>
      <c r="I683" s="778">
        <v>2846</v>
      </c>
      <c r="J683" s="687"/>
      <c r="K683" s="687"/>
      <c r="L683" s="780">
        <f t="shared" si="7"/>
        <v>2846</v>
      </c>
      <c r="M683" s="757"/>
    </row>
    <row r="684" spans="1:13" s="1109" customFormat="1" ht="15">
      <c r="A684" s="1195">
        <v>677</v>
      </c>
      <c r="B684" s="1201"/>
      <c r="C684" s="711"/>
      <c r="D684" s="690" t="s">
        <v>1170</v>
      </c>
      <c r="E684" s="1160"/>
      <c r="F684" s="727"/>
      <c r="G684" s="727"/>
      <c r="H684" s="1100"/>
      <c r="I684" s="781">
        <v>-2846</v>
      </c>
      <c r="J684" s="713"/>
      <c r="K684" s="713"/>
      <c r="L684" s="782">
        <f t="shared" si="7"/>
        <v>-2846</v>
      </c>
      <c r="M684" s="760"/>
    </row>
    <row r="685" spans="1:13" s="1110" customFormat="1" ht="15">
      <c r="A685" s="1195">
        <v>678</v>
      </c>
      <c r="B685" s="739"/>
      <c r="C685" s="714"/>
      <c r="D685" s="691" t="s">
        <v>1169</v>
      </c>
      <c r="E685" s="738"/>
      <c r="F685" s="728"/>
      <c r="G685" s="728"/>
      <c r="H685" s="1101"/>
      <c r="I685" s="786">
        <f>SUM(I683:I684)</f>
        <v>0</v>
      </c>
      <c r="J685" s="728">
        <f>SUM(J683:J684)</f>
        <v>0</v>
      </c>
      <c r="K685" s="728">
        <f>SUM(K683:K684)</f>
        <v>0</v>
      </c>
      <c r="L685" s="779">
        <f t="shared" si="7"/>
        <v>0</v>
      </c>
      <c r="M685" s="759">
        <f>SUM(M683:M684)</f>
        <v>0</v>
      </c>
    </row>
    <row r="686" spans="1:13" ht="18" customHeight="1">
      <c r="A686" s="1195">
        <v>679</v>
      </c>
      <c r="B686" s="1200"/>
      <c r="C686" s="684"/>
      <c r="D686" s="685" t="s">
        <v>1084</v>
      </c>
      <c r="E686" s="1160"/>
      <c r="F686" s="686"/>
      <c r="G686" s="686"/>
      <c r="H686" s="1190"/>
      <c r="I686" s="795"/>
      <c r="J686" s="689"/>
      <c r="K686" s="689"/>
      <c r="L686" s="779"/>
      <c r="M686" s="769"/>
    </row>
    <row r="687" spans="1:13" s="1108" customFormat="1" ht="15">
      <c r="A687" s="1195">
        <v>680</v>
      </c>
      <c r="B687" s="1200"/>
      <c r="C687" s="684">
        <v>12</v>
      </c>
      <c r="D687" s="716" t="s">
        <v>1085</v>
      </c>
      <c r="E687" s="1160" t="s">
        <v>400</v>
      </c>
      <c r="F687" s="721">
        <v>0</v>
      </c>
      <c r="G687" s="716">
        <v>0</v>
      </c>
      <c r="H687" s="1171">
        <v>0</v>
      </c>
      <c r="I687" s="778"/>
      <c r="J687" s="687"/>
      <c r="K687" s="687"/>
      <c r="L687" s="779"/>
      <c r="M687" s="752"/>
    </row>
    <row r="688" spans="1:13" ht="15">
      <c r="A688" s="1195">
        <v>681</v>
      </c>
      <c r="B688" s="1200"/>
      <c r="C688" s="684"/>
      <c r="D688" s="688" t="s">
        <v>1168</v>
      </c>
      <c r="E688" s="1168"/>
      <c r="F688" s="1176"/>
      <c r="G688" s="721"/>
      <c r="H688" s="1174"/>
      <c r="I688" s="778">
        <v>15000</v>
      </c>
      <c r="J688" s="687"/>
      <c r="K688" s="687"/>
      <c r="L688" s="780">
        <f t="shared" si="7"/>
        <v>15000</v>
      </c>
      <c r="M688" s="757"/>
    </row>
    <row r="689" spans="1:13" s="1109" customFormat="1" ht="15">
      <c r="A689" s="1195">
        <v>682</v>
      </c>
      <c r="B689" s="1201"/>
      <c r="C689" s="711"/>
      <c r="D689" s="690" t="s">
        <v>1170</v>
      </c>
      <c r="E689" s="1160"/>
      <c r="F689" s="727"/>
      <c r="G689" s="727"/>
      <c r="H689" s="1100"/>
      <c r="I689" s="781">
        <v>-15000</v>
      </c>
      <c r="J689" s="713"/>
      <c r="K689" s="713"/>
      <c r="L689" s="782">
        <f t="shared" si="7"/>
        <v>-15000</v>
      </c>
      <c r="M689" s="760"/>
    </row>
    <row r="690" spans="1:13" s="1110" customFormat="1" ht="15">
      <c r="A690" s="1195">
        <v>683</v>
      </c>
      <c r="B690" s="739"/>
      <c r="C690" s="714"/>
      <c r="D690" s="691" t="s">
        <v>1169</v>
      </c>
      <c r="E690" s="738"/>
      <c r="F690" s="728"/>
      <c r="G690" s="728"/>
      <c r="H690" s="1101"/>
      <c r="I690" s="786">
        <f>SUM(I688:I689)</f>
        <v>0</v>
      </c>
      <c r="J690" s="728">
        <f>SUM(J688:J689)</f>
        <v>0</v>
      </c>
      <c r="K690" s="728">
        <f>SUM(K688:K689)</f>
        <v>0</v>
      </c>
      <c r="L690" s="779">
        <f t="shared" si="7"/>
        <v>0</v>
      </c>
      <c r="M690" s="759">
        <f>SUM(M688:M689)</f>
        <v>0</v>
      </c>
    </row>
    <row r="691" spans="1:13" ht="18" customHeight="1">
      <c r="A691" s="1195">
        <v>684</v>
      </c>
      <c r="B691" s="1200"/>
      <c r="C691" s="684"/>
      <c r="D691" s="685" t="s">
        <v>96</v>
      </c>
      <c r="E691" s="1160"/>
      <c r="F691" s="686"/>
      <c r="G691" s="686"/>
      <c r="H691" s="1190"/>
      <c r="I691" s="795"/>
      <c r="J691" s="689"/>
      <c r="K691" s="689"/>
      <c r="L691" s="779"/>
      <c r="M691" s="769"/>
    </row>
    <row r="692" spans="1:13" s="1108" customFormat="1" ht="15">
      <c r="A692" s="1195">
        <v>685</v>
      </c>
      <c r="B692" s="1200"/>
      <c r="C692" s="684">
        <v>13</v>
      </c>
      <c r="D692" s="716" t="s">
        <v>1086</v>
      </c>
      <c r="E692" s="1160" t="s">
        <v>400</v>
      </c>
      <c r="F692" s="721">
        <v>0</v>
      </c>
      <c r="G692" s="716">
        <v>0</v>
      </c>
      <c r="H692" s="1171">
        <v>0</v>
      </c>
      <c r="I692" s="778"/>
      <c r="J692" s="687"/>
      <c r="K692" s="687"/>
      <c r="L692" s="779"/>
      <c r="M692" s="752"/>
    </row>
    <row r="693" spans="1:13" ht="15">
      <c r="A693" s="1195">
        <v>686</v>
      </c>
      <c r="B693" s="1200"/>
      <c r="C693" s="684"/>
      <c r="D693" s="688" t="s">
        <v>1168</v>
      </c>
      <c r="E693" s="1160"/>
      <c r="F693" s="727"/>
      <c r="G693" s="721"/>
      <c r="H693" s="1174"/>
      <c r="I693" s="778">
        <v>1950</v>
      </c>
      <c r="J693" s="687"/>
      <c r="K693" s="687"/>
      <c r="L693" s="780">
        <f t="shared" si="7"/>
        <v>1950</v>
      </c>
      <c r="M693" s="757"/>
    </row>
    <row r="694" spans="1:13" s="1109" customFormat="1" ht="15">
      <c r="A694" s="1195">
        <v>687</v>
      </c>
      <c r="B694" s="1201"/>
      <c r="C694" s="711"/>
      <c r="D694" s="690" t="s">
        <v>1170</v>
      </c>
      <c r="E694" s="738"/>
      <c r="F694" s="728"/>
      <c r="G694" s="727"/>
      <c r="H694" s="1100"/>
      <c r="I694" s="781">
        <v>-1950</v>
      </c>
      <c r="J694" s="713"/>
      <c r="K694" s="713"/>
      <c r="L694" s="782">
        <f t="shared" si="7"/>
        <v>-1950</v>
      </c>
      <c r="M694" s="760"/>
    </row>
    <row r="695" spans="1:13" s="1110" customFormat="1" ht="15">
      <c r="A695" s="1195">
        <v>688</v>
      </c>
      <c r="B695" s="739"/>
      <c r="C695" s="714"/>
      <c r="D695" s="691" t="s">
        <v>1169</v>
      </c>
      <c r="E695" s="1152"/>
      <c r="F695" s="716"/>
      <c r="G695" s="728"/>
      <c r="H695" s="1101"/>
      <c r="I695" s="786">
        <f>SUM(I693:I694)</f>
        <v>0</v>
      </c>
      <c r="J695" s="728">
        <f>SUM(J693:J694)</f>
        <v>0</v>
      </c>
      <c r="K695" s="728">
        <f>SUM(K693:K694)</f>
        <v>0</v>
      </c>
      <c r="L695" s="779">
        <f t="shared" si="7"/>
        <v>0</v>
      </c>
      <c r="M695" s="759">
        <f>SUM(M693:M694)</f>
        <v>0</v>
      </c>
    </row>
    <row r="696" spans="1:13" s="1108" customFormat="1" ht="15">
      <c r="A696" s="1195">
        <v>689</v>
      </c>
      <c r="B696" s="1200"/>
      <c r="C696" s="684">
        <v>14</v>
      </c>
      <c r="D696" s="716" t="s">
        <v>97</v>
      </c>
      <c r="E696" s="1160" t="s">
        <v>400</v>
      </c>
      <c r="F696" s="721">
        <v>0</v>
      </c>
      <c r="G696" s="716">
        <v>0</v>
      </c>
      <c r="H696" s="1171">
        <v>0</v>
      </c>
      <c r="I696" s="778"/>
      <c r="J696" s="687"/>
      <c r="K696" s="687"/>
      <c r="L696" s="779"/>
      <c r="M696" s="752"/>
    </row>
    <row r="697" spans="1:13" ht="15">
      <c r="A697" s="1195">
        <v>690</v>
      </c>
      <c r="B697" s="1200"/>
      <c r="C697" s="684"/>
      <c r="D697" s="688" t="s">
        <v>1168</v>
      </c>
      <c r="E697" s="1168"/>
      <c r="F697" s="1176"/>
      <c r="G697" s="721"/>
      <c r="H697" s="1174"/>
      <c r="I697" s="778">
        <v>1950</v>
      </c>
      <c r="J697" s="687"/>
      <c r="K697" s="687"/>
      <c r="L697" s="780">
        <f t="shared" si="7"/>
        <v>1950</v>
      </c>
      <c r="M697" s="757"/>
    </row>
    <row r="698" spans="1:13" s="1109" customFormat="1" ht="15">
      <c r="A698" s="1195">
        <v>691</v>
      </c>
      <c r="B698" s="1201"/>
      <c r="C698" s="711"/>
      <c r="D698" s="690" t="s">
        <v>1170</v>
      </c>
      <c r="E698" s="1160"/>
      <c r="F698" s="727"/>
      <c r="G698" s="727"/>
      <c r="H698" s="1100"/>
      <c r="I698" s="781">
        <v>-1950</v>
      </c>
      <c r="J698" s="713"/>
      <c r="K698" s="713"/>
      <c r="L698" s="782">
        <f t="shared" si="7"/>
        <v>-1950</v>
      </c>
      <c r="M698" s="760"/>
    </row>
    <row r="699" spans="1:13" s="1111" customFormat="1" ht="25.5" customHeight="1">
      <c r="A699" s="1195">
        <v>692</v>
      </c>
      <c r="B699" s="744"/>
      <c r="C699" s="743"/>
      <c r="D699" s="724" t="s">
        <v>1169</v>
      </c>
      <c r="E699" s="1161"/>
      <c r="F699" s="745"/>
      <c r="G699" s="745"/>
      <c r="H699" s="962"/>
      <c r="I699" s="797">
        <f>SUM(I697:I698)</f>
        <v>0</v>
      </c>
      <c r="J699" s="745">
        <f>SUM(J697:J698)</f>
        <v>0</v>
      </c>
      <c r="K699" s="745">
        <f>SUM(K697:K698)</f>
        <v>0</v>
      </c>
      <c r="L699" s="962">
        <f t="shared" si="7"/>
        <v>0</v>
      </c>
      <c r="M699" s="771">
        <f>SUM(M697:M698)</f>
        <v>0</v>
      </c>
    </row>
    <row r="700" spans="1:13" s="1113" customFormat="1" ht="19.5" customHeight="1">
      <c r="A700" s="1195">
        <v>693</v>
      </c>
      <c r="B700" s="1202"/>
      <c r="C700" s="701"/>
      <c r="D700" s="1112" t="s">
        <v>485</v>
      </c>
      <c r="E700" s="1162"/>
      <c r="F700" s="702">
        <v>0</v>
      </c>
      <c r="G700" s="702">
        <v>0</v>
      </c>
      <c r="H700" s="750">
        <v>0</v>
      </c>
      <c r="I700" s="799"/>
      <c r="J700" s="703"/>
      <c r="K700" s="703"/>
      <c r="L700" s="800"/>
      <c r="M700" s="774"/>
    </row>
    <row r="701" spans="1:13" s="1113" customFormat="1" ht="19.5" customHeight="1">
      <c r="A701" s="1195">
        <v>694</v>
      </c>
      <c r="B701" s="1200"/>
      <c r="C701" s="684"/>
      <c r="D701" s="688" t="s">
        <v>1168</v>
      </c>
      <c r="E701" s="1167"/>
      <c r="F701" s="731"/>
      <c r="G701" s="731"/>
      <c r="H701" s="747"/>
      <c r="I701" s="791">
        <f>SUM(I697+I693+I688+I683+I678+I673+I668+I664+I660+I656+I652+I648+I644+I640)</f>
        <v>120971</v>
      </c>
      <c r="J701" s="731">
        <f>SUM(J697+J693+J688+J683+J678+J673+J668+J664+J660+J656+J652+J648+J644+J640)</f>
        <v>500</v>
      </c>
      <c r="K701" s="731">
        <f>SUM(K697+K693+K688+K683+K678+K673+K668+K664+K660+K656+K652+K648+K644+K640)</f>
        <v>0</v>
      </c>
      <c r="L701" s="801">
        <f>SUM(L697+L693+L688+L683+L678+L673+L668+L664+L660+L656+L652+L648+L644+L640)</f>
        <v>121471</v>
      </c>
      <c r="M701" s="765">
        <f>SUM(M697+M693+M688+M683+M678+M673+M668+M664+M660+M656+M652+M648+M644+M640)</f>
        <v>375000</v>
      </c>
    </row>
    <row r="702" spans="1:13" s="1113" customFormat="1" ht="19.5" customHeight="1">
      <c r="A702" s="1195">
        <v>695</v>
      </c>
      <c r="B702" s="1200"/>
      <c r="C702" s="684"/>
      <c r="D702" s="690" t="s">
        <v>1170</v>
      </c>
      <c r="E702" s="1167"/>
      <c r="F702" s="732"/>
      <c r="G702" s="732"/>
      <c r="H702" s="748"/>
      <c r="I702" s="792">
        <f>SUM(I698,I694,I689,I684,I679,I674,I669,I665,I661,I657,I653,I649,I645,I641)</f>
        <v>-120971</v>
      </c>
      <c r="J702" s="732">
        <f>SUM(J698,J694,J689,J684,J679,J674,J669,J665,J661,J657,J653,J649,J645,J641)</f>
        <v>-500</v>
      </c>
      <c r="K702" s="732">
        <f>SUM(K698,K694,K689,K684,K679,K674,K669,K665,K661,K657,K653,K649,K645,K641)</f>
        <v>0</v>
      </c>
      <c r="L702" s="802">
        <f>SUM(L698,L694,L689,L684,L679,L674,L669,L665,L661,L657,L653,L649,L645,L641)</f>
        <v>-121471</v>
      </c>
      <c r="M702" s="766">
        <f>SUM(M698,M694,M689,M684,M679,M674,M669,M665,M661,M657,M653,M649,M645,M641)</f>
        <v>0</v>
      </c>
    </row>
    <row r="703" spans="1:13" s="1113" customFormat="1" ht="19.5" customHeight="1" thickBot="1">
      <c r="A703" s="1195">
        <v>696</v>
      </c>
      <c r="B703" s="1203"/>
      <c r="C703" s="704"/>
      <c r="D703" s="705" t="s">
        <v>1169</v>
      </c>
      <c r="E703" s="1163"/>
      <c r="F703" s="706"/>
      <c r="G703" s="706"/>
      <c r="H703" s="749"/>
      <c r="I703" s="793">
        <f>SUM(I701:I702)</f>
        <v>0</v>
      </c>
      <c r="J703" s="706">
        <f>SUM(J701:J702)</f>
        <v>0</v>
      </c>
      <c r="K703" s="706">
        <f>SUM(K701:K702)</f>
        <v>0</v>
      </c>
      <c r="L703" s="803">
        <f>SUM(L701:L702)</f>
        <v>0</v>
      </c>
      <c r="M703" s="767">
        <f>SUM(M701:M702)</f>
        <v>375000</v>
      </c>
    </row>
    <row r="704" spans="1:13" s="1113" customFormat="1" ht="21.75" customHeight="1" thickTop="1">
      <c r="A704" s="1195">
        <v>697</v>
      </c>
      <c r="B704" s="1208"/>
      <c r="C704" s="1209"/>
      <c r="D704" s="1120" t="s">
        <v>886</v>
      </c>
      <c r="E704" s="1166"/>
      <c r="F704" s="1295">
        <v>0</v>
      </c>
      <c r="G704" s="1295">
        <v>0</v>
      </c>
      <c r="H704" s="1296">
        <v>0</v>
      </c>
      <c r="I704" s="798"/>
      <c r="J704" s="700"/>
      <c r="K704" s="700"/>
      <c r="L704" s="804"/>
      <c r="M704" s="772"/>
    </row>
    <row r="705" spans="1:13" s="1117" customFormat="1" ht="21.75" customHeight="1">
      <c r="A705" s="1195">
        <v>698</v>
      </c>
      <c r="B705" s="1200"/>
      <c r="C705" s="684"/>
      <c r="D705" s="735" t="s">
        <v>1168</v>
      </c>
      <c r="E705" s="1168"/>
      <c r="F705" s="1121"/>
      <c r="G705" s="1121"/>
      <c r="H705" s="911"/>
      <c r="I705" s="1122">
        <f aca="true" t="shared" si="8" ref="I705:M706">SUM(I701,I635,I279)</f>
        <v>3180180</v>
      </c>
      <c r="J705" s="1121">
        <f t="shared" si="8"/>
        <v>52588</v>
      </c>
      <c r="K705" s="1121">
        <f t="shared" si="8"/>
        <v>1418800</v>
      </c>
      <c r="L705" s="1123">
        <f t="shared" si="8"/>
        <v>4651568</v>
      </c>
      <c r="M705" s="1124">
        <f t="shared" si="8"/>
        <v>7061694</v>
      </c>
    </row>
    <row r="706" spans="1:13" s="1117" customFormat="1" ht="21.75" customHeight="1">
      <c r="A706" s="1195">
        <v>699</v>
      </c>
      <c r="B706" s="1200"/>
      <c r="C706" s="684"/>
      <c r="D706" s="736" t="s">
        <v>1170</v>
      </c>
      <c r="E706" s="1168"/>
      <c r="F706" s="1125"/>
      <c r="G706" s="1125"/>
      <c r="H706" s="912"/>
      <c r="I706" s="1126">
        <f t="shared" si="8"/>
        <v>1370339</v>
      </c>
      <c r="J706" s="1125">
        <f t="shared" si="8"/>
        <v>1316</v>
      </c>
      <c r="K706" s="1125">
        <f t="shared" si="8"/>
        <v>518050</v>
      </c>
      <c r="L706" s="1127">
        <f t="shared" si="8"/>
        <v>1889705</v>
      </c>
      <c r="M706" s="1128">
        <f t="shared" si="8"/>
        <v>0</v>
      </c>
    </row>
    <row r="707" spans="1:13" s="1117" customFormat="1" ht="21.75" customHeight="1" thickBot="1">
      <c r="A707" s="1195">
        <v>700</v>
      </c>
      <c r="B707" s="1210"/>
      <c r="C707" s="1211"/>
      <c r="D707" s="746" t="s">
        <v>1169</v>
      </c>
      <c r="E707" s="1169"/>
      <c r="F707" s="1129"/>
      <c r="G707" s="1129"/>
      <c r="H707" s="913"/>
      <c r="I707" s="1130">
        <f>SUM(I705:I706)</f>
        <v>4550519</v>
      </c>
      <c r="J707" s="1129">
        <f>SUM(J705:J706)</f>
        <v>53904</v>
      </c>
      <c r="K707" s="1129">
        <f>SUM(K705:K706)</f>
        <v>1936850</v>
      </c>
      <c r="L707" s="1131">
        <f>SUM(L705:L706)</f>
        <v>6541273</v>
      </c>
      <c r="M707" s="1132">
        <f>SUM(M705:M706)</f>
        <v>7061694</v>
      </c>
    </row>
    <row r="708" spans="1:13" s="1134" customFormat="1" ht="13.5">
      <c r="A708" s="1195"/>
      <c r="B708" s="517" t="s">
        <v>402</v>
      </c>
      <c r="C708" s="283"/>
      <c r="D708" s="699"/>
      <c r="E708" s="1170"/>
      <c r="F708" s="914"/>
      <c r="G708" s="914"/>
      <c r="H708" s="914"/>
      <c r="I708" s="914"/>
      <c r="J708" s="914"/>
      <c r="K708" s="914"/>
      <c r="L708" s="1133"/>
      <c r="M708" s="914"/>
    </row>
    <row r="709" spans="1:13" s="1134" customFormat="1" ht="13.5">
      <c r="A709" s="1195"/>
      <c r="B709" s="517" t="s">
        <v>494</v>
      </c>
      <c r="C709" s="283"/>
      <c r="D709" s="518"/>
      <c r="E709" s="1170"/>
      <c r="F709" s="914"/>
      <c r="G709" s="914"/>
      <c r="H709" s="914"/>
      <c r="I709" s="914"/>
      <c r="J709" s="914"/>
      <c r="K709" s="914"/>
      <c r="L709" s="1133"/>
      <c r="M709" s="914"/>
    </row>
    <row r="710" spans="1:13" s="1134" customFormat="1" ht="13.5">
      <c r="A710" s="1195"/>
      <c r="B710" s="517" t="s">
        <v>495</v>
      </c>
      <c r="C710" s="283"/>
      <c r="D710" s="518"/>
      <c r="E710" s="1170"/>
      <c r="F710" s="914"/>
      <c r="G710" s="914"/>
      <c r="H710" s="914"/>
      <c r="I710" s="914"/>
      <c r="J710" s="914"/>
      <c r="K710" s="914"/>
      <c r="L710" s="1133"/>
      <c r="M710" s="914"/>
    </row>
  </sheetData>
  <sheetProtection/>
  <mergeCells count="14">
    <mergeCell ref="B1:D1"/>
    <mergeCell ref="B6:B7"/>
    <mergeCell ref="C6:C7"/>
    <mergeCell ref="F6:F7"/>
    <mergeCell ref="D6:D7"/>
    <mergeCell ref="B2:M2"/>
    <mergeCell ref="B3:M3"/>
    <mergeCell ref="E6:E7"/>
    <mergeCell ref="G6:G7"/>
    <mergeCell ref="K6:K7"/>
    <mergeCell ref="M6:M7"/>
    <mergeCell ref="L6:L7"/>
    <mergeCell ref="H6:H7"/>
    <mergeCell ref="I6:J6"/>
  </mergeCells>
  <printOptions horizontalCentered="1"/>
  <pageMargins left="0.1968503937007874" right="0.1968503937007874" top="0.5905511811023623" bottom="0.3937007874015748" header="0.5118110236220472" footer="0.5118110236220472"/>
  <pageSetup fitToHeight="10" fitToWidth="1" horizontalDpi="600" verticalDpi="600" orientation="portrait" paperSize="9" scale="60" r:id="rId1"/>
  <rowBreaks count="2" manualBreakCount="2">
    <brk id="282" max="12" man="1"/>
    <brk id="38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4.00390625" style="196" bestFit="1" customWidth="1"/>
    <col min="2" max="3" width="4.00390625" style="196" customWidth="1"/>
    <col min="4" max="4" width="50.75390625" style="198" customWidth="1"/>
    <col min="5" max="5" width="5.75390625" style="199" customWidth="1"/>
    <col min="6" max="8" width="14.75390625" style="200" customWidth="1"/>
    <col min="9" max="9" width="14.75390625" style="813" customWidth="1"/>
    <col min="10" max="10" width="14.75390625" style="527" customWidth="1"/>
    <col min="11" max="11" width="14.75390625" style="200" customWidth="1"/>
    <col min="12" max="16384" width="9.125" style="197" customWidth="1"/>
  </cols>
  <sheetData>
    <row r="1" spans="1:11" s="523" customFormat="1" ht="21.75" customHeight="1">
      <c r="A1" s="196"/>
      <c r="B1" s="1438" t="s">
        <v>804</v>
      </c>
      <c r="C1" s="1438"/>
      <c r="D1" s="1438"/>
      <c r="E1" s="519"/>
      <c r="F1" s="520"/>
      <c r="G1" s="521"/>
      <c r="H1" s="521"/>
      <c r="I1" s="811"/>
      <c r="J1" s="522"/>
      <c r="K1" s="521"/>
    </row>
    <row r="2" spans="2:11" ht="15">
      <c r="B2" s="1439" t="s">
        <v>5</v>
      </c>
      <c r="C2" s="1439"/>
      <c r="D2" s="1439"/>
      <c r="E2" s="1439"/>
      <c r="F2" s="1439"/>
      <c r="G2" s="1439"/>
      <c r="H2" s="1439"/>
      <c r="I2" s="1439"/>
      <c r="J2" s="1439"/>
      <c r="K2" s="1439"/>
    </row>
    <row r="3" spans="2:11" ht="15">
      <c r="B3" s="1439" t="s">
        <v>887</v>
      </c>
      <c r="C3" s="1439"/>
      <c r="D3" s="1439"/>
      <c r="E3" s="1439"/>
      <c r="F3" s="1439"/>
      <c r="G3" s="1439"/>
      <c r="H3" s="1439"/>
      <c r="I3" s="1439"/>
      <c r="J3" s="1439"/>
      <c r="K3" s="1439"/>
    </row>
    <row r="4" spans="8:11" ht="15">
      <c r="H4" s="1440" t="s">
        <v>861</v>
      </c>
      <c r="I4" s="1440"/>
      <c r="J4" s="1440"/>
      <c r="K4" s="1440"/>
    </row>
    <row r="5" spans="1:11" s="201" customFormat="1" ht="15.75" thickBot="1">
      <c r="A5" s="196"/>
      <c r="B5" s="196" t="s">
        <v>873</v>
      </c>
      <c r="C5" s="196" t="s">
        <v>874</v>
      </c>
      <c r="D5" s="199" t="s">
        <v>875</v>
      </c>
      <c r="E5" s="199" t="s">
        <v>876</v>
      </c>
      <c r="F5" s="524" t="s">
        <v>877</v>
      </c>
      <c r="G5" s="524" t="s">
        <v>878</v>
      </c>
      <c r="H5" s="524" t="s">
        <v>879</v>
      </c>
      <c r="I5" s="524" t="s">
        <v>518</v>
      </c>
      <c r="J5" s="524" t="s">
        <v>519</v>
      </c>
      <c r="K5" s="524" t="s">
        <v>465</v>
      </c>
    </row>
    <row r="6" spans="2:11" ht="75" customHeight="1" thickBot="1">
      <c r="B6" s="268" t="s">
        <v>391</v>
      </c>
      <c r="C6" s="269" t="s">
        <v>1184</v>
      </c>
      <c r="D6" s="202" t="s">
        <v>862</v>
      </c>
      <c r="E6" s="525" t="s">
        <v>401</v>
      </c>
      <c r="F6" s="526" t="s">
        <v>1027</v>
      </c>
      <c r="G6" s="807" t="s">
        <v>585</v>
      </c>
      <c r="H6" s="853" t="s">
        <v>1008</v>
      </c>
      <c r="I6" s="812" t="s">
        <v>480</v>
      </c>
      <c r="J6" s="854" t="s">
        <v>1087</v>
      </c>
      <c r="K6" s="842" t="s">
        <v>1028</v>
      </c>
    </row>
    <row r="7" spans="1:11" ht="19.5" customHeight="1">
      <c r="A7" s="201">
        <v>1</v>
      </c>
      <c r="B7" s="278">
        <v>18</v>
      </c>
      <c r="D7" s="263" t="s">
        <v>488</v>
      </c>
      <c r="H7" s="855"/>
      <c r="J7" s="856"/>
      <c r="K7" s="528"/>
    </row>
    <row r="8" spans="1:11" ht="15">
      <c r="A8" s="196">
        <v>2</v>
      </c>
      <c r="B8" s="270"/>
      <c r="C8" s="271">
        <v>1</v>
      </c>
      <c r="D8" s="191" t="s">
        <v>123</v>
      </c>
      <c r="E8" s="203" t="s">
        <v>466</v>
      </c>
      <c r="F8" s="513">
        <f>SUM(G8,J8,K8)</f>
        <v>9999</v>
      </c>
      <c r="G8" s="824">
        <v>688</v>
      </c>
      <c r="H8" s="857">
        <v>5000</v>
      </c>
      <c r="I8" s="814">
        <v>4311</v>
      </c>
      <c r="J8" s="858">
        <f>SUM(H8:I8)</f>
        <v>9311</v>
      </c>
      <c r="K8" s="843"/>
    </row>
    <row r="9" spans="1:11" ht="30">
      <c r="A9" s="196">
        <v>3</v>
      </c>
      <c r="B9" s="270"/>
      <c r="C9" s="271">
        <v>2</v>
      </c>
      <c r="D9" s="205" t="s">
        <v>126</v>
      </c>
      <c r="E9" s="203" t="s">
        <v>400</v>
      </c>
      <c r="F9" s="513">
        <f aca="true" t="shared" si="0" ref="F9:F72">SUM(G9,J9,K9)</f>
        <v>1500</v>
      </c>
      <c r="G9" s="840"/>
      <c r="H9" s="859">
        <v>1500</v>
      </c>
      <c r="I9" s="815"/>
      <c r="J9" s="858">
        <f aca="true" t="shared" si="1" ref="J9:J28">SUM(H9:I9)</f>
        <v>1500</v>
      </c>
      <c r="K9" s="844"/>
    </row>
    <row r="10" spans="1:11" s="207" customFormat="1" ht="15">
      <c r="A10" s="196">
        <v>4</v>
      </c>
      <c r="B10" s="270"/>
      <c r="C10" s="271">
        <v>3</v>
      </c>
      <c r="D10" s="194" t="s">
        <v>128</v>
      </c>
      <c r="E10" s="204" t="s">
        <v>400</v>
      </c>
      <c r="F10" s="513">
        <f t="shared" si="0"/>
        <v>15000</v>
      </c>
      <c r="G10" s="827"/>
      <c r="H10" s="860">
        <v>5000</v>
      </c>
      <c r="I10" s="816"/>
      <c r="J10" s="858">
        <f t="shared" si="1"/>
        <v>5000</v>
      </c>
      <c r="K10" s="845">
        <v>10000</v>
      </c>
    </row>
    <row r="11" spans="1:11" s="206" customFormat="1" ht="15">
      <c r="A11" s="196">
        <v>5</v>
      </c>
      <c r="B11" s="270"/>
      <c r="C11" s="271">
        <v>4</v>
      </c>
      <c r="D11" s="194" t="s">
        <v>130</v>
      </c>
      <c r="E11" s="204" t="s">
        <v>400</v>
      </c>
      <c r="F11" s="513">
        <f t="shared" si="0"/>
        <v>1500</v>
      </c>
      <c r="G11" s="827"/>
      <c r="H11" s="860">
        <v>1500</v>
      </c>
      <c r="I11" s="816"/>
      <c r="J11" s="858">
        <f t="shared" si="1"/>
        <v>1500</v>
      </c>
      <c r="K11" s="845"/>
    </row>
    <row r="12" spans="1:11" s="208" customFormat="1" ht="15">
      <c r="A12" s="196">
        <v>6</v>
      </c>
      <c r="B12" s="270"/>
      <c r="C12" s="271">
        <v>5</v>
      </c>
      <c r="D12" s="529" t="s">
        <v>131</v>
      </c>
      <c r="E12" s="204" t="s">
        <v>400</v>
      </c>
      <c r="F12" s="513">
        <f t="shared" si="0"/>
        <v>70000</v>
      </c>
      <c r="G12" s="832">
        <v>25000</v>
      </c>
      <c r="H12" s="861">
        <v>45000</v>
      </c>
      <c r="I12" s="817"/>
      <c r="J12" s="858">
        <f t="shared" si="1"/>
        <v>45000</v>
      </c>
      <c r="K12" s="845"/>
    </row>
    <row r="13" spans="1:11" ht="30">
      <c r="A13" s="196">
        <v>7</v>
      </c>
      <c r="B13" s="270"/>
      <c r="C13" s="271">
        <v>6</v>
      </c>
      <c r="D13" s="191" t="s">
        <v>133</v>
      </c>
      <c r="E13" s="204" t="s">
        <v>400</v>
      </c>
      <c r="F13" s="513">
        <f t="shared" si="0"/>
        <v>16001</v>
      </c>
      <c r="G13" s="824">
        <v>826</v>
      </c>
      <c r="H13" s="857">
        <v>14000</v>
      </c>
      <c r="I13" s="814">
        <v>1175</v>
      </c>
      <c r="J13" s="858">
        <f t="shared" si="1"/>
        <v>15175</v>
      </c>
      <c r="K13" s="843"/>
    </row>
    <row r="14" spans="1:11" ht="30">
      <c r="A14" s="196">
        <v>8</v>
      </c>
      <c r="B14" s="270"/>
      <c r="C14" s="271">
        <v>7</v>
      </c>
      <c r="D14" s="191" t="s">
        <v>134</v>
      </c>
      <c r="E14" s="204" t="s">
        <v>400</v>
      </c>
      <c r="F14" s="513">
        <f t="shared" si="0"/>
        <v>26000</v>
      </c>
      <c r="G14" s="824">
        <v>1927</v>
      </c>
      <c r="H14" s="857">
        <v>23000</v>
      </c>
      <c r="I14" s="814">
        <v>1073</v>
      </c>
      <c r="J14" s="858">
        <f t="shared" si="1"/>
        <v>24073</v>
      </c>
      <c r="K14" s="843"/>
    </row>
    <row r="15" spans="1:11" ht="30">
      <c r="A15" s="196">
        <v>9</v>
      </c>
      <c r="B15" s="270"/>
      <c r="C15" s="271">
        <v>8</v>
      </c>
      <c r="D15" s="191" t="s">
        <v>135</v>
      </c>
      <c r="E15" s="204" t="s">
        <v>400</v>
      </c>
      <c r="F15" s="513">
        <f t="shared" si="0"/>
        <v>52350</v>
      </c>
      <c r="G15" s="824">
        <v>350</v>
      </c>
      <c r="H15" s="857">
        <v>52000</v>
      </c>
      <c r="I15" s="814"/>
      <c r="J15" s="858">
        <f t="shared" si="1"/>
        <v>52000</v>
      </c>
      <c r="K15" s="843"/>
    </row>
    <row r="16" spans="1:11" ht="30">
      <c r="A16" s="196">
        <v>10</v>
      </c>
      <c r="B16" s="270"/>
      <c r="C16" s="271">
        <v>9</v>
      </c>
      <c r="D16" s="191" t="s">
        <v>136</v>
      </c>
      <c r="E16" s="204" t="s">
        <v>400</v>
      </c>
      <c r="F16" s="513">
        <f t="shared" si="0"/>
        <v>32000</v>
      </c>
      <c r="G16" s="824"/>
      <c r="H16" s="857">
        <v>32000</v>
      </c>
      <c r="I16" s="814"/>
      <c r="J16" s="858">
        <f t="shared" si="1"/>
        <v>32000</v>
      </c>
      <c r="K16" s="846"/>
    </row>
    <row r="17" spans="1:11" ht="15" customHeight="1">
      <c r="A17" s="196">
        <v>11</v>
      </c>
      <c r="B17" s="270"/>
      <c r="C17" s="271">
        <v>10</v>
      </c>
      <c r="D17" s="191" t="s">
        <v>137</v>
      </c>
      <c r="E17" s="204" t="s">
        <v>400</v>
      </c>
      <c r="F17" s="513">
        <f t="shared" si="0"/>
        <v>10000</v>
      </c>
      <c r="G17" s="824"/>
      <c r="H17" s="857">
        <v>10000</v>
      </c>
      <c r="I17" s="814"/>
      <c r="J17" s="858">
        <f t="shared" si="1"/>
        <v>10000</v>
      </c>
      <c r="K17" s="846"/>
    </row>
    <row r="18" spans="1:11" ht="15">
      <c r="A18" s="196">
        <v>12</v>
      </c>
      <c r="B18" s="270"/>
      <c r="C18" s="271">
        <v>11</v>
      </c>
      <c r="D18" s="205" t="s">
        <v>138</v>
      </c>
      <c r="E18" s="204" t="s">
        <v>400</v>
      </c>
      <c r="F18" s="513">
        <f t="shared" si="0"/>
        <v>4916</v>
      </c>
      <c r="G18" s="841"/>
      <c r="H18" s="859">
        <v>4500</v>
      </c>
      <c r="I18" s="815">
        <v>416</v>
      </c>
      <c r="J18" s="858">
        <f t="shared" si="1"/>
        <v>4916</v>
      </c>
      <c r="K18" s="844"/>
    </row>
    <row r="19" spans="1:11" ht="15">
      <c r="A19" s="196">
        <v>13</v>
      </c>
      <c r="B19" s="270"/>
      <c r="C19" s="271">
        <v>12</v>
      </c>
      <c r="D19" s="530" t="s">
        <v>139</v>
      </c>
      <c r="E19" s="203" t="s">
        <v>400</v>
      </c>
      <c r="F19" s="513">
        <f t="shared" si="0"/>
        <v>2000</v>
      </c>
      <c r="G19" s="831"/>
      <c r="H19" s="859">
        <v>2000</v>
      </c>
      <c r="I19" s="815"/>
      <c r="J19" s="858">
        <f t="shared" si="1"/>
        <v>2000</v>
      </c>
      <c r="K19" s="844"/>
    </row>
    <row r="20" spans="1:11" s="207" customFormat="1" ht="19.5" customHeight="1">
      <c r="A20" s="196">
        <v>14</v>
      </c>
      <c r="B20" s="270"/>
      <c r="C20" s="271"/>
      <c r="D20" s="209" t="s">
        <v>1190</v>
      </c>
      <c r="E20" s="204"/>
      <c r="F20" s="513"/>
      <c r="G20" s="824"/>
      <c r="H20" s="857"/>
      <c r="I20" s="814"/>
      <c r="J20" s="858"/>
      <c r="K20" s="843"/>
    </row>
    <row r="21" spans="1:11" ht="30">
      <c r="A21" s="196">
        <v>15</v>
      </c>
      <c r="B21" s="270"/>
      <c r="C21" s="271">
        <v>13</v>
      </c>
      <c r="D21" s="195" t="s">
        <v>150</v>
      </c>
      <c r="E21" s="204" t="s">
        <v>400</v>
      </c>
      <c r="F21" s="513">
        <f t="shared" si="0"/>
        <v>600</v>
      </c>
      <c r="G21" s="824"/>
      <c r="H21" s="857">
        <v>600</v>
      </c>
      <c r="I21" s="814"/>
      <c r="J21" s="858">
        <f t="shared" si="1"/>
        <v>600</v>
      </c>
      <c r="K21" s="843"/>
    </row>
    <row r="22" spans="1:11" s="207" customFormat="1" ht="19.5" customHeight="1">
      <c r="A22" s="196">
        <v>16</v>
      </c>
      <c r="B22" s="270"/>
      <c r="C22" s="271"/>
      <c r="D22" s="209" t="s">
        <v>189</v>
      </c>
      <c r="E22" s="204"/>
      <c r="F22" s="513"/>
      <c r="G22" s="824"/>
      <c r="H22" s="857"/>
      <c r="I22" s="814"/>
      <c r="J22" s="858"/>
      <c r="K22" s="843"/>
    </row>
    <row r="23" spans="1:11" s="207" customFormat="1" ht="19.5" customHeight="1">
      <c r="A23" s="196">
        <v>17</v>
      </c>
      <c r="B23" s="270"/>
      <c r="C23" s="271"/>
      <c r="D23" s="209" t="s">
        <v>195</v>
      </c>
      <c r="E23" s="204"/>
      <c r="F23" s="513"/>
      <c r="G23" s="824"/>
      <c r="H23" s="857"/>
      <c r="I23" s="814"/>
      <c r="J23" s="858"/>
      <c r="K23" s="843"/>
    </row>
    <row r="24" spans="1:11" ht="15">
      <c r="A24" s="196">
        <v>18</v>
      </c>
      <c r="B24" s="270"/>
      <c r="C24" s="271">
        <v>14</v>
      </c>
      <c r="D24" s="195" t="s">
        <v>196</v>
      </c>
      <c r="E24" s="204" t="s">
        <v>400</v>
      </c>
      <c r="F24" s="513">
        <f t="shared" si="0"/>
        <v>2350</v>
      </c>
      <c r="G24" s="825"/>
      <c r="H24" s="862">
        <v>2350</v>
      </c>
      <c r="I24" s="818"/>
      <c r="J24" s="858">
        <f t="shared" si="1"/>
        <v>2350</v>
      </c>
      <c r="K24" s="845"/>
    </row>
    <row r="25" spans="1:11" s="207" customFormat="1" ht="19.5" customHeight="1">
      <c r="A25" s="196">
        <v>19</v>
      </c>
      <c r="B25" s="270"/>
      <c r="C25" s="271"/>
      <c r="D25" s="209" t="s">
        <v>449</v>
      </c>
      <c r="E25" s="204"/>
      <c r="F25" s="513"/>
      <c r="G25" s="824"/>
      <c r="H25" s="857"/>
      <c r="I25" s="814"/>
      <c r="J25" s="858"/>
      <c r="K25" s="843"/>
    </row>
    <row r="26" spans="1:11" ht="15" customHeight="1">
      <c r="A26" s="196">
        <v>20</v>
      </c>
      <c r="B26" s="270"/>
      <c r="C26" s="271">
        <v>15</v>
      </c>
      <c r="D26" s="195" t="s">
        <v>199</v>
      </c>
      <c r="E26" s="203" t="s">
        <v>400</v>
      </c>
      <c r="F26" s="513">
        <f t="shared" si="0"/>
        <v>4000</v>
      </c>
      <c r="G26" s="824"/>
      <c r="H26" s="857">
        <v>4000</v>
      </c>
      <c r="I26" s="814"/>
      <c r="J26" s="858">
        <f t="shared" si="1"/>
        <v>4000</v>
      </c>
      <c r="K26" s="845"/>
    </row>
    <row r="27" spans="1:11" s="207" customFormat="1" ht="19.5" customHeight="1">
      <c r="A27" s="196">
        <v>21</v>
      </c>
      <c r="B27" s="270"/>
      <c r="C27" s="271"/>
      <c r="D27" s="209" t="s">
        <v>200</v>
      </c>
      <c r="E27" s="204"/>
      <c r="F27" s="513"/>
      <c r="G27" s="824"/>
      <c r="H27" s="857"/>
      <c r="I27" s="814"/>
      <c r="J27" s="858"/>
      <c r="K27" s="843"/>
    </row>
    <row r="28" spans="1:11" ht="30">
      <c r="A28" s="196">
        <v>22</v>
      </c>
      <c r="B28" s="270"/>
      <c r="C28" s="271">
        <v>16</v>
      </c>
      <c r="D28" s="195" t="s">
        <v>201</v>
      </c>
      <c r="E28" s="204" t="s">
        <v>400</v>
      </c>
      <c r="F28" s="513">
        <f t="shared" si="0"/>
        <v>2500</v>
      </c>
      <c r="G28" s="824"/>
      <c r="H28" s="857">
        <v>2500</v>
      </c>
      <c r="I28" s="814"/>
      <c r="J28" s="858">
        <f t="shared" si="1"/>
        <v>2500</v>
      </c>
      <c r="K28" s="845"/>
    </row>
    <row r="29" spans="1:11" ht="15">
      <c r="A29" s="196">
        <v>23</v>
      </c>
      <c r="B29" s="270"/>
      <c r="C29" s="271">
        <v>17</v>
      </c>
      <c r="D29" s="191" t="s">
        <v>122</v>
      </c>
      <c r="E29" s="203" t="s">
        <v>466</v>
      </c>
      <c r="F29" s="513">
        <f t="shared" si="0"/>
        <v>205000</v>
      </c>
      <c r="G29" s="824"/>
      <c r="H29" s="857"/>
      <c r="I29" s="814">
        <v>10000</v>
      </c>
      <c r="J29" s="858">
        <f>SUM(H29:I29)</f>
        <v>10000</v>
      </c>
      <c r="K29" s="843">
        <v>195000</v>
      </c>
    </row>
    <row r="30" spans="1:11" ht="15">
      <c r="A30" s="196">
        <v>24</v>
      </c>
      <c r="B30" s="270"/>
      <c r="C30" s="271">
        <v>18</v>
      </c>
      <c r="D30" s="191" t="s">
        <v>516</v>
      </c>
      <c r="E30" s="203" t="s">
        <v>466</v>
      </c>
      <c r="F30" s="513">
        <f t="shared" si="0"/>
        <v>10000</v>
      </c>
      <c r="G30" s="824"/>
      <c r="H30" s="857"/>
      <c r="I30" s="814">
        <v>10000</v>
      </c>
      <c r="J30" s="858">
        <f aca="true" t="shared" si="2" ref="J30:J99">SUM(H30:I30)</f>
        <v>10000</v>
      </c>
      <c r="K30" s="843"/>
    </row>
    <row r="31" spans="1:11" s="206" customFormat="1" ht="45">
      <c r="A31" s="196">
        <v>25</v>
      </c>
      <c r="B31" s="270"/>
      <c r="C31" s="271"/>
      <c r="D31" s="194" t="s">
        <v>686</v>
      </c>
      <c r="E31" s="204" t="s">
        <v>466</v>
      </c>
      <c r="F31" s="513">
        <f t="shared" si="0"/>
        <v>19950</v>
      </c>
      <c r="G31" s="827">
        <v>4950</v>
      </c>
      <c r="H31" s="860"/>
      <c r="I31" s="816">
        <v>15000</v>
      </c>
      <c r="J31" s="858">
        <f t="shared" si="2"/>
        <v>15000</v>
      </c>
      <c r="K31" s="845"/>
    </row>
    <row r="32" spans="1:11" s="206" customFormat="1" ht="30">
      <c r="A32" s="196">
        <v>26</v>
      </c>
      <c r="B32" s="270"/>
      <c r="C32" s="271"/>
      <c r="D32" s="194" t="s">
        <v>681</v>
      </c>
      <c r="E32" s="204" t="s">
        <v>466</v>
      </c>
      <c r="F32" s="513">
        <f t="shared" si="0"/>
        <v>30000</v>
      </c>
      <c r="G32" s="827"/>
      <c r="H32" s="860"/>
      <c r="I32" s="816">
        <v>30000</v>
      </c>
      <c r="J32" s="858">
        <f t="shared" si="2"/>
        <v>30000</v>
      </c>
      <c r="K32" s="845"/>
    </row>
    <row r="33" spans="1:11" ht="15" customHeight="1">
      <c r="A33" s="196">
        <v>27</v>
      </c>
      <c r="B33" s="270"/>
      <c r="C33" s="271">
        <v>19</v>
      </c>
      <c r="D33" s="191" t="s">
        <v>124</v>
      </c>
      <c r="E33" s="203" t="s">
        <v>466</v>
      </c>
      <c r="F33" s="513">
        <f t="shared" si="0"/>
        <v>26467</v>
      </c>
      <c r="G33" s="824">
        <v>6467</v>
      </c>
      <c r="H33" s="857"/>
      <c r="I33" s="814">
        <v>20000</v>
      </c>
      <c r="J33" s="858">
        <f t="shared" si="2"/>
        <v>20000</v>
      </c>
      <c r="K33" s="843"/>
    </row>
    <row r="34" spans="1:11" ht="15" customHeight="1">
      <c r="A34" s="196">
        <v>28</v>
      </c>
      <c r="B34" s="270"/>
      <c r="C34" s="271"/>
      <c r="D34" s="191" t="s">
        <v>680</v>
      </c>
      <c r="E34" s="203" t="s">
        <v>466</v>
      </c>
      <c r="F34" s="513">
        <f t="shared" si="0"/>
        <v>17000</v>
      </c>
      <c r="G34" s="824"/>
      <c r="H34" s="857"/>
      <c r="I34" s="814">
        <v>17000</v>
      </c>
      <c r="J34" s="858">
        <f t="shared" si="2"/>
        <v>17000</v>
      </c>
      <c r="K34" s="843"/>
    </row>
    <row r="35" spans="1:11" ht="15" customHeight="1">
      <c r="A35" s="196">
        <v>29</v>
      </c>
      <c r="B35" s="270"/>
      <c r="C35" s="271">
        <v>20</v>
      </c>
      <c r="D35" s="194" t="s">
        <v>125</v>
      </c>
      <c r="E35" s="204" t="s">
        <v>400</v>
      </c>
      <c r="F35" s="513">
        <f t="shared" si="0"/>
        <v>154584</v>
      </c>
      <c r="G35" s="827">
        <v>9584</v>
      </c>
      <c r="H35" s="860"/>
      <c r="I35" s="816">
        <v>145000</v>
      </c>
      <c r="J35" s="858">
        <f t="shared" si="2"/>
        <v>145000</v>
      </c>
      <c r="K35" s="845"/>
    </row>
    <row r="36" spans="1:11" s="206" customFormat="1" ht="30">
      <c r="A36" s="196">
        <v>30</v>
      </c>
      <c r="B36" s="270"/>
      <c r="C36" s="271">
        <v>21</v>
      </c>
      <c r="D36" s="194" t="s">
        <v>127</v>
      </c>
      <c r="E36" s="204" t="s">
        <v>400</v>
      </c>
      <c r="F36" s="513">
        <f t="shared" si="0"/>
        <v>11000</v>
      </c>
      <c r="G36" s="827"/>
      <c r="H36" s="860"/>
      <c r="I36" s="816">
        <v>11000</v>
      </c>
      <c r="J36" s="858">
        <f t="shared" si="2"/>
        <v>11000</v>
      </c>
      <c r="K36" s="845"/>
    </row>
    <row r="37" spans="1:11" ht="15">
      <c r="A37" s="196">
        <v>31</v>
      </c>
      <c r="B37" s="270"/>
      <c r="C37" s="271">
        <v>22</v>
      </c>
      <c r="D37" s="194" t="s">
        <v>129</v>
      </c>
      <c r="E37" s="203" t="s">
        <v>400</v>
      </c>
      <c r="F37" s="513">
        <f t="shared" si="0"/>
        <v>4000</v>
      </c>
      <c r="G37" s="827"/>
      <c r="H37" s="860"/>
      <c r="I37" s="816">
        <v>4000</v>
      </c>
      <c r="J37" s="858">
        <f t="shared" si="2"/>
        <v>4000</v>
      </c>
      <c r="K37" s="845"/>
    </row>
    <row r="38" spans="1:11" ht="15" customHeight="1">
      <c r="A38" s="196">
        <v>32</v>
      </c>
      <c r="B38" s="270"/>
      <c r="C38" s="271">
        <v>23</v>
      </c>
      <c r="D38" s="194" t="s">
        <v>132</v>
      </c>
      <c r="E38" s="203" t="s">
        <v>400</v>
      </c>
      <c r="F38" s="513">
        <f t="shared" si="0"/>
        <v>5000</v>
      </c>
      <c r="G38" s="827"/>
      <c r="H38" s="860"/>
      <c r="I38" s="816">
        <v>5000</v>
      </c>
      <c r="J38" s="858">
        <f t="shared" si="2"/>
        <v>5000</v>
      </c>
      <c r="K38" s="845"/>
    </row>
    <row r="39" spans="1:11" ht="15" customHeight="1">
      <c r="A39" s="196">
        <v>33</v>
      </c>
      <c r="B39" s="270"/>
      <c r="C39" s="271"/>
      <c r="D39" s="194" t="s">
        <v>690</v>
      </c>
      <c r="E39" s="203" t="s">
        <v>400</v>
      </c>
      <c r="F39" s="513">
        <f t="shared" si="0"/>
        <v>5000</v>
      </c>
      <c r="G39" s="827"/>
      <c r="H39" s="860"/>
      <c r="I39" s="816">
        <v>5000</v>
      </c>
      <c r="J39" s="858">
        <f t="shared" si="2"/>
        <v>5000</v>
      </c>
      <c r="K39" s="845"/>
    </row>
    <row r="40" spans="1:11" ht="15" customHeight="1">
      <c r="A40" s="196">
        <v>34</v>
      </c>
      <c r="B40" s="270"/>
      <c r="C40" s="271"/>
      <c r="D40" s="194" t="s">
        <v>691</v>
      </c>
      <c r="E40" s="203" t="s">
        <v>400</v>
      </c>
      <c r="F40" s="513">
        <f t="shared" si="0"/>
        <v>2960</v>
      </c>
      <c r="G40" s="827"/>
      <c r="H40" s="860"/>
      <c r="I40" s="816">
        <v>2960</v>
      </c>
      <c r="J40" s="858">
        <f t="shared" si="2"/>
        <v>2960</v>
      </c>
      <c r="K40" s="845"/>
    </row>
    <row r="41" spans="1:11" s="207" customFormat="1" ht="19.5" customHeight="1">
      <c r="A41" s="196">
        <v>35</v>
      </c>
      <c r="B41" s="270"/>
      <c r="C41" s="271"/>
      <c r="D41" s="209" t="s">
        <v>99</v>
      </c>
      <c r="E41" s="204"/>
      <c r="F41" s="513"/>
      <c r="G41" s="824"/>
      <c r="H41" s="857"/>
      <c r="I41" s="814"/>
      <c r="J41" s="858"/>
      <c r="K41" s="843"/>
    </row>
    <row r="42" spans="1:11" ht="15">
      <c r="A42" s="196">
        <v>36</v>
      </c>
      <c r="B42" s="270"/>
      <c r="C42" s="271">
        <v>24</v>
      </c>
      <c r="D42" s="533" t="s">
        <v>140</v>
      </c>
      <c r="E42" s="204" t="s">
        <v>400</v>
      </c>
      <c r="F42" s="513">
        <f t="shared" si="0"/>
        <v>460</v>
      </c>
      <c r="G42" s="825"/>
      <c r="H42" s="862"/>
      <c r="I42" s="818">
        <v>460</v>
      </c>
      <c r="J42" s="858">
        <f t="shared" si="2"/>
        <v>460</v>
      </c>
      <c r="K42" s="845"/>
    </row>
    <row r="43" spans="1:11" s="207" customFormat="1" ht="19.5" customHeight="1">
      <c r="A43" s="196">
        <v>37</v>
      </c>
      <c r="B43" s="270"/>
      <c r="C43" s="271"/>
      <c r="D43" s="209" t="s">
        <v>1186</v>
      </c>
      <c r="E43" s="204"/>
      <c r="F43" s="513"/>
      <c r="G43" s="824"/>
      <c r="H43" s="857"/>
      <c r="I43" s="814"/>
      <c r="J43" s="858"/>
      <c r="K43" s="843"/>
    </row>
    <row r="44" spans="1:11" ht="15">
      <c r="A44" s="196">
        <v>38</v>
      </c>
      <c r="B44" s="270"/>
      <c r="C44" s="271">
        <v>25</v>
      </c>
      <c r="D44" s="195" t="s">
        <v>141</v>
      </c>
      <c r="E44" s="204" t="s">
        <v>400</v>
      </c>
      <c r="F44" s="513">
        <f t="shared" si="0"/>
        <v>2500</v>
      </c>
      <c r="G44" s="827"/>
      <c r="H44" s="860"/>
      <c r="I44" s="816">
        <v>2500</v>
      </c>
      <c r="J44" s="858">
        <f t="shared" si="2"/>
        <v>2500</v>
      </c>
      <c r="K44" s="845"/>
    </row>
    <row r="45" spans="1:11" s="207" customFormat="1" ht="19.5" customHeight="1">
      <c r="A45" s="196">
        <v>39</v>
      </c>
      <c r="B45" s="270"/>
      <c r="C45" s="271"/>
      <c r="D45" s="209" t="s">
        <v>142</v>
      </c>
      <c r="E45" s="204"/>
      <c r="F45" s="513"/>
      <c r="G45" s="824"/>
      <c r="H45" s="857"/>
      <c r="I45" s="814"/>
      <c r="J45" s="858"/>
      <c r="K45" s="843"/>
    </row>
    <row r="46" spans="1:11" ht="15">
      <c r="A46" s="196">
        <v>40</v>
      </c>
      <c r="B46" s="270"/>
      <c r="C46" s="271">
        <v>26</v>
      </c>
      <c r="D46" s="533" t="s">
        <v>143</v>
      </c>
      <c r="E46" s="203" t="s">
        <v>400</v>
      </c>
      <c r="F46" s="513">
        <f t="shared" si="0"/>
        <v>2450</v>
      </c>
      <c r="G46" s="829"/>
      <c r="H46" s="860"/>
      <c r="I46" s="816">
        <v>2450</v>
      </c>
      <c r="J46" s="858">
        <f t="shared" si="2"/>
        <v>2450</v>
      </c>
      <c r="K46" s="845"/>
    </row>
    <row r="47" spans="1:11" s="207" customFormat="1" ht="19.5" customHeight="1">
      <c r="A47" s="196">
        <v>41</v>
      </c>
      <c r="B47" s="270"/>
      <c r="C47" s="271"/>
      <c r="D47" s="209" t="s">
        <v>1188</v>
      </c>
      <c r="E47" s="204"/>
      <c r="F47" s="513"/>
      <c r="G47" s="824"/>
      <c r="H47" s="857"/>
      <c r="I47" s="814"/>
      <c r="J47" s="858"/>
      <c r="K47" s="843"/>
    </row>
    <row r="48" spans="1:11" ht="15">
      <c r="A48" s="196">
        <v>42</v>
      </c>
      <c r="B48" s="270"/>
      <c r="C48" s="271">
        <v>27</v>
      </c>
      <c r="D48" s="533" t="s">
        <v>144</v>
      </c>
      <c r="E48" s="204" t="s">
        <v>400</v>
      </c>
      <c r="F48" s="513">
        <f t="shared" si="0"/>
        <v>850</v>
      </c>
      <c r="G48" s="828"/>
      <c r="H48" s="869"/>
      <c r="I48" s="820">
        <v>850</v>
      </c>
      <c r="J48" s="858">
        <f t="shared" si="2"/>
        <v>850</v>
      </c>
      <c r="K48" s="845"/>
    </row>
    <row r="49" spans="1:11" s="207" customFormat="1" ht="19.5" customHeight="1">
      <c r="A49" s="196">
        <v>43</v>
      </c>
      <c r="B49" s="270"/>
      <c r="C49" s="271"/>
      <c r="D49" s="209" t="s">
        <v>95</v>
      </c>
      <c r="E49" s="204"/>
      <c r="F49" s="513"/>
      <c r="G49" s="824"/>
      <c r="H49" s="857"/>
      <c r="I49" s="814"/>
      <c r="J49" s="858"/>
      <c r="K49" s="843"/>
    </row>
    <row r="50" spans="1:11" ht="15">
      <c r="A50" s="196">
        <v>44</v>
      </c>
      <c r="B50" s="270"/>
      <c r="C50" s="271">
        <v>28</v>
      </c>
      <c r="D50" s="195" t="s">
        <v>145</v>
      </c>
      <c r="E50" s="203" t="s">
        <v>400</v>
      </c>
      <c r="F50" s="513">
        <f t="shared" si="0"/>
        <v>4000</v>
      </c>
      <c r="G50" s="827"/>
      <c r="H50" s="860"/>
      <c r="I50" s="816">
        <v>4000</v>
      </c>
      <c r="J50" s="858">
        <f t="shared" si="2"/>
        <v>4000</v>
      </c>
      <c r="K50" s="845"/>
    </row>
    <row r="51" spans="1:11" s="207" customFormat="1" ht="19.5" customHeight="1">
      <c r="A51" s="196">
        <v>45</v>
      </c>
      <c r="B51" s="270"/>
      <c r="C51" s="271"/>
      <c r="D51" s="209" t="s">
        <v>1189</v>
      </c>
      <c r="E51" s="204"/>
      <c r="F51" s="513"/>
      <c r="G51" s="824"/>
      <c r="H51" s="857"/>
      <c r="I51" s="814"/>
      <c r="J51" s="858"/>
      <c r="K51" s="843"/>
    </row>
    <row r="52" spans="1:11" ht="15">
      <c r="A52" s="196">
        <v>46</v>
      </c>
      <c r="B52" s="270"/>
      <c r="C52" s="271">
        <v>29</v>
      </c>
      <c r="D52" s="195" t="s">
        <v>146</v>
      </c>
      <c r="E52" s="204" t="s">
        <v>400</v>
      </c>
      <c r="F52" s="513">
        <f t="shared" si="0"/>
        <v>5600</v>
      </c>
      <c r="G52" s="827"/>
      <c r="H52" s="860"/>
      <c r="I52" s="816">
        <v>5600</v>
      </c>
      <c r="J52" s="858">
        <f t="shared" si="2"/>
        <v>5600</v>
      </c>
      <c r="K52" s="845"/>
    </row>
    <row r="53" spans="1:11" ht="15">
      <c r="A53" s="196">
        <v>47</v>
      </c>
      <c r="B53" s="270"/>
      <c r="C53" s="271">
        <v>30</v>
      </c>
      <c r="D53" s="533" t="s">
        <v>147</v>
      </c>
      <c r="E53" s="203" t="s">
        <v>400</v>
      </c>
      <c r="F53" s="513">
        <f t="shared" si="0"/>
        <v>3100</v>
      </c>
      <c r="G53" s="829"/>
      <c r="H53" s="870"/>
      <c r="I53" s="821">
        <v>3100</v>
      </c>
      <c r="J53" s="858">
        <f t="shared" si="2"/>
        <v>3100</v>
      </c>
      <c r="K53" s="845"/>
    </row>
    <row r="54" spans="1:11" s="207" customFormat="1" ht="19.5" customHeight="1">
      <c r="A54" s="196">
        <v>48</v>
      </c>
      <c r="B54" s="270"/>
      <c r="C54" s="271"/>
      <c r="D54" s="209" t="s">
        <v>148</v>
      </c>
      <c r="E54" s="204"/>
      <c r="F54" s="513"/>
      <c r="G54" s="824"/>
      <c r="H54" s="857"/>
      <c r="I54" s="814"/>
      <c r="J54" s="858"/>
      <c r="K54" s="843"/>
    </row>
    <row r="55" spans="1:11" ht="15">
      <c r="A55" s="196">
        <v>49</v>
      </c>
      <c r="B55" s="270"/>
      <c r="C55" s="271">
        <v>31</v>
      </c>
      <c r="D55" s="533" t="s">
        <v>149</v>
      </c>
      <c r="E55" s="204" t="s">
        <v>400</v>
      </c>
      <c r="F55" s="513">
        <f t="shared" si="0"/>
        <v>850</v>
      </c>
      <c r="G55" s="828"/>
      <c r="H55" s="869"/>
      <c r="I55" s="820">
        <v>850</v>
      </c>
      <c r="J55" s="858">
        <f t="shared" si="2"/>
        <v>850</v>
      </c>
      <c r="K55" s="845"/>
    </row>
    <row r="56" spans="1:11" s="207" customFormat="1" ht="19.5" customHeight="1">
      <c r="A56" s="196">
        <v>50</v>
      </c>
      <c r="B56" s="270"/>
      <c r="C56" s="271"/>
      <c r="D56" s="209" t="s">
        <v>1190</v>
      </c>
      <c r="E56" s="204"/>
      <c r="F56" s="513"/>
      <c r="G56" s="824"/>
      <c r="H56" s="857"/>
      <c r="I56" s="814"/>
      <c r="J56" s="858"/>
      <c r="K56" s="843"/>
    </row>
    <row r="57" spans="1:11" ht="15">
      <c r="A57" s="196">
        <v>51</v>
      </c>
      <c r="B57" s="270"/>
      <c r="C57" s="271">
        <v>32</v>
      </c>
      <c r="D57" s="195" t="s">
        <v>151</v>
      </c>
      <c r="E57" s="203" t="s">
        <v>400</v>
      </c>
      <c r="F57" s="513">
        <f t="shared" si="0"/>
        <v>2400</v>
      </c>
      <c r="G57" s="825"/>
      <c r="H57" s="862"/>
      <c r="I57" s="818">
        <v>2400</v>
      </c>
      <c r="J57" s="858">
        <f t="shared" si="2"/>
        <v>2400</v>
      </c>
      <c r="K57" s="845"/>
    </row>
    <row r="58" spans="1:11" s="207" customFormat="1" ht="19.5" customHeight="1">
      <c r="A58" s="196">
        <v>52</v>
      </c>
      <c r="B58" s="270"/>
      <c r="C58" s="271"/>
      <c r="D58" s="209" t="s">
        <v>96</v>
      </c>
      <c r="E58" s="204"/>
      <c r="F58" s="513"/>
      <c r="G58" s="824"/>
      <c r="H58" s="857"/>
      <c r="I58" s="814"/>
      <c r="J58" s="858"/>
      <c r="K58" s="843"/>
    </row>
    <row r="59" spans="1:11" s="207" customFormat="1" ht="19.5" customHeight="1">
      <c r="A59" s="196">
        <v>53</v>
      </c>
      <c r="B59" s="270"/>
      <c r="C59" s="271"/>
      <c r="D59" s="209" t="s">
        <v>152</v>
      </c>
      <c r="E59" s="204"/>
      <c r="F59" s="513"/>
      <c r="G59" s="824"/>
      <c r="H59" s="857"/>
      <c r="I59" s="814"/>
      <c r="J59" s="858"/>
      <c r="K59" s="843"/>
    </row>
    <row r="60" spans="1:11" ht="15">
      <c r="A60" s="196">
        <v>54</v>
      </c>
      <c r="B60" s="270"/>
      <c r="C60" s="271">
        <v>33</v>
      </c>
      <c r="D60" s="533" t="s">
        <v>153</v>
      </c>
      <c r="E60" s="204" t="s">
        <v>400</v>
      </c>
      <c r="F60" s="513">
        <f t="shared" si="0"/>
        <v>1500</v>
      </c>
      <c r="G60" s="825"/>
      <c r="H60" s="862"/>
      <c r="I60" s="818">
        <v>1500</v>
      </c>
      <c r="J60" s="858">
        <f t="shared" si="2"/>
        <v>1500</v>
      </c>
      <c r="K60" s="845"/>
    </row>
    <row r="61" spans="1:11" s="207" customFormat="1" ht="19.5" customHeight="1">
      <c r="A61" s="196">
        <v>55</v>
      </c>
      <c r="B61" s="270"/>
      <c r="C61" s="271"/>
      <c r="D61" s="209" t="s">
        <v>154</v>
      </c>
      <c r="E61" s="204"/>
      <c r="F61" s="513"/>
      <c r="G61" s="824"/>
      <c r="H61" s="857"/>
      <c r="I61" s="814"/>
      <c r="J61" s="858"/>
      <c r="K61" s="843"/>
    </row>
    <row r="62" spans="1:11" ht="30">
      <c r="A62" s="196">
        <v>56</v>
      </c>
      <c r="B62" s="270"/>
      <c r="C62" s="271">
        <v>34</v>
      </c>
      <c r="D62" s="195" t="s">
        <v>155</v>
      </c>
      <c r="E62" s="204" t="s">
        <v>400</v>
      </c>
      <c r="F62" s="513">
        <f t="shared" si="0"/>
        <v>1600</v>
      </c>
      <c r="G62" s="824"/>
      <c r="H62" s="857"/>
      <c r="I62" s="814">
        <v>1600</v>
      </c>
      <c r="J62" s="858">
        <f t="shared" si="2"/>
        <v>1600</v>
      </c>
      <c r="K62" s="845"/>
    </row>
    <row r="63" spans="1:11" ht="15">
      <c r="A63" s="196">
        <v>57</v>
      </c>
      <c r="B63" s="270"/>
      <c r="C63" s="271">
        <v>35</v>
      </c>
      <c r="D63" s="195" t="s">
        <v>156</v>
      </c>
      <c r="E63" s="204" t="s">
        <v>400</v>
      </c>
      <c r="F63" s="513">
        <f t="shared" si="0"/>
        <v>2500</v>
      </c>
      <c r="G63" s="824"/>
      <c r="H63" s="857"/>
      <c r="I63" s="814">
        <v>2500</v>
      </c>
      <c r="J63" s="858">
        <f t="shared" si="2"/>
        <v>2500</v>
      </c>
      <c r="K63" s="845"/>
    </row>
    <row r="64" spans="1:11" s="207" customFormat="1" ht="19.5" customHeight="1">
      <c r="A64" s="196">
        <v>58</v>
      </c>
      <c r="B64" s="270"/>
      <c r="C64" s="271"/>
      <c r="D64" s="209" t="s">
        <v>157</v>
      </c>
      <c r="E64" s="204"/>
      <c r="F64" s="513"/>
      <c r="G64" s="824"/>
      <c r="H64" s="857"/>
      <c r="I64" s="814"/>
      <c r="J64" s="858"/>
      <c r="K64" s="843"/>
    </row>
    <row r="65" spans="1:11" ht="30">
      <c r="A65" s="196">
        <v>59</v>
      </c>
      <c r="B65" s="270"/>
      <c r="C65" s="271">
        <v>36</v>
      </c>
      <c r="D65" s="195" t="s">
        <v>158</v>
      </c>
      <c r="E65" s="204" t="s">
        <v>400</v>
      </c>
      <c r="F65" s="513">
        <f t="shared" si="0"/>
        <v>7800</v>
      </c>
      <c r="G65" s="824"/>
      <c r="H65" s="857"/>
      <c r="I65" s="814">
        <v>7800</v>
      </c>
      <c r="J65" s="858">
        <f t="shared" si="2"/>
        <v>7800</v>
      </c>
      <c r="K65" s="845"/>
    </row>
    <row r="66" spans="1:11" ht="30">
      <c r="A66" s="196">
        <v>60</v>
      </c>
      <c r="B66" s="270"/>
      <c r="C66" s="271"/>
      <c r="D66" s="195" t="s">
        <v>689</v>
      </c>
      <c r="E66" s="204"/>
      <c r="F66" s="513">
        <f t="shared" si="0"/>
        <v>3745</v>
      </c>
      <c r="G66" s="824"/>
      <c r="H66" s="857"/>
      <c r="I66" s="814">
        <v>3745</v>
      </c>
      <c r="J66" s="858">
        <f t="shared" si="2"/>
        <v>3745</v>
      </c>
      <c r="K66" s="845"/>
    </row>
    <row r="67" spans="1:11" s="207" customFormat="1" ht="19.5" customHeight="1">
      <c r="A67" s="196">
        <v>61</v>
      </c>
      <c r="B67" s="270"/>
      <c r="C67" s="271"/>
      <c r="D67" s="209" t="s">
        <v>159</v>
      </c>
      <c r="E67" s="204"/>
      <c r="F67" s="513"/>
      <c r="G67" s="824"/>
      <c r="H67" s="857"/>
      <c r="I67" s="814"/>
      <c r="J67" s="858"/>
      <c r="K67" s="843"/>
    </row>
    <row r="68" spans="1:11" ht="15">
      <c r="A68" s="196">
        <v>62</v>
      </c>
      <c r="B68" s="270"/>
      <c r="C68" s="271">
        <v>37</v>
      </c>
      <c r="D68" s="533" t="s">
        <v>160</v>
      </c>
      <c r="E68" s="203" t="s">
        <v>400</v>
      </c>
      <c r="F68" s="513">
        <f t="shared" si="0"/>
        <v>3000</v>
      </c>
      <c r="G68" s="828"/>
      <c r="H68" s="869"/>
      <c r="I68" s="820">
        <v>3000</v>
      </c>
      <c r="J68" s="858">
        <f t="shared" si="2"/>
        <v>3000</v>
      </c>
      <c r="K68" s="845"/>
    </row>
    <row r="69" spans="1:11" s="207" customFormat="1" ht="19.5" customHeight="1">
      <c r="A69" s="196">
        <v>63</v>
      </c>
      <c r="B69" s="270"/>
      <c r="C69" s="271"/>
      <c r="D69" s="209" t="s">
        <v>161</v>
      </c>
      <c r="E69" s="204"/>
      <c r="F69" s="513"/>
      <c r="G69" s="824"/>
      <c r="H69" s="857"/>
      <c r="I69" s="814"/>
      <c r="J69" s="858"/>
      <c r="K69" s="843"/>
    </row>
    <row r="70" spans="1:11" ht="15">
      <c r="A70" s="196">
        <v>64</v>
      </c>
      <c r="B70" s="270"/>
      <c r="C70" s="271">
        <v>38</v>
      </c>
      <c r="D70" s="195" t="s">
        <v>162</v>
      </c>
      <c r="E70" s="204" t="s">
        <v>400</v>
      </c>
      <c r="F70" s="513">
        <f t="shared" si="0"/>
        <v>990</v>
      </c>
      <c r="G70" s="825"/>
      <c r="H70" s="862"/>
      <c r="I70" s="818">
        <v>990</v>
      </c>
      <c r="J70" s="858">
        <f t="shared" si="2"/>
        <v>990</v>
      </c>
      <c r="K70" s="845"/>
    </row>
    <row r="71" spans="1:11" s="207" customFormat="1" ht="19.5" customHeight="1">
      <c r="A71" s="196">
        <v>65</v>
      </c>
      <c r="B71" s="270"/>
      <c r="C71" s="271"/>
      <c r="D71" s="209" t="s">
        <v>163</v>
      </c>
      <c r="E71" s="204"/>
      <c r="F71" s="513"/>
      <c r="G71" s="824"/>
      <c r="H71" s="857"/>
      <c r="I71" s="814"/>
      <c r="J71" s="858"/>
      <c r="K71" s="843"/>
    </row>
    <row r="72" spans="1:11" ht="15">
      <c r="A72" s="196">
        <v>66</v>
      </c>
      <c r="B72" s="270"/>
      <c r="C72" s="271">
        <v>39</v>
      </c>
      <c r="D72" s="195" t="s">
        <v>164</v>
      </c>
      <c r="E72" s="203" t="s">
        <v>400</v>
      </c>
      <c r="F72" s="513">
        <f t="shared" si="0"/>
        <v>6000</v>
      </c>
      <c r="G72" s="827"/>
      <c r="H72" s="860"/>
      <c r="I72" s="816">
        <v>6000</v>
      </c>
      <c r="J72" s="858">
        <f t="shared" si="2"/>
        <v>6000</v>
      </c>
      <c r="K72" s="845"/>
    </row>
    <row r="73" spans="1:11" s="207" customFormat="1" ht="19.5" customHeight="1">
      <c r="A73" s="196">
        <v>67</v>
      </c>
      <c r="B73" s="270"/>
      <c r="C73" s="271"/>
      <c r="D73" s="209" t="s">
        <v>459</v>
      </c>
      <c r="E73" s="204"/>
      <c r="F73" s="513"/>
      <c r="G73" s="824"/>
      <c r="H73" s="857"/>
      <c r="I73" s="814"/>
      <c r="J73" s="858"/>
      <c r="K73" s="843"/>
    </row>
    <row r="74" spans="1:11" ht="15">
      <c r="A74" s="196">
        <v>68</v>
      </c>
      <c r="B74" s="270"/>
      <c r="C74" s="271">
        <v>40</v>
      </c>
      <c r="D74" s="195" t="s">
        <v>165</v>
      </c>
      <c r="E74" s="204" t="s">
        <v>400</v>
      </c>
      <c r="F74" s="513">
        <f aca="true" t="shared" si="3" ref="F74:F104">SUM(G74,J74,K74)</f>
        <v>565</v>
      </c>
      <c r="G74" s="825"/>
      <c r="H74" s="862"/>
      <c r="I74" s="818">
        <v>565</v>
      </c>
      <c r="J74" s="858">
        <f t="shared" si="2"/>
        <v>565</v>
      </c>
      <c r="K74" s="845"/>
    </row>
    <row r="75" spans="1:11" ht="15">
      <c r="A75" s="196">
        <v>69</v>
      </c>
      <c r="B75" s="270"/>
      <c r="C75" s="271">
        <v>41</v>
      </c>
      <c r="D75" s="195" t="s">
        <v>184</v>
      </c>
      <c r="E75" s="204" t="s">
        <v>400</v>
      </c>
      <c r="F75" s="513">
        <f t="shared" si="3"/>
        <v>488</v>
      </c>
      <c r="G75" s="825"/>
      <c r="H75" s="862"/>
      <c r="I75" s="818">
        <v>488</v>
      </c>
      <c r="J75" s="858">
        <f t="shared" si="2"/>
        <v>488</v>
      </c>
      <c r="K75" s="845"/>
    </row>
    <row r="76" spans="1:11" s="207" customFormat="1" ht="19.5" customHeight="1">
      <c r="A76" s="196">
        <v>70</v>
      </c>
      <c r="B76" s="270"/>
      <c r="C76" s="271"/>
      <c r="D76" s="209" t="s">
        <v>185</v>
      </c>
      <c r="E76" s="204"/>
      <c r="F76" s="513"/>
      <c r="G76" s="824"/>
      <c r="H76" s="857"/>
      <c r="I76" s="814"/>
      <c r="J76" s="858"/>
      <c r="K76" s="843"/>
    </row>
    <row r="77" spans="1:11" ht="15">
      <c r="A77" s="196">
        <v>71</v>
      </c>
      <c r="B77" s="270"/>
      <c r="C77" s="271">
        <v>42</v>
      </c>
      <c r="D77" s="533" t="s">
        <v>186</v>
      </c>
      <c r="E77" s="204" t="s">
        <v>400</v>
      </c>
      <c r="F77" s="513">
        <f t="shared" si="3"/>
        <v>1500</v>
      </c>
      <c r="G77" s="828"/>
      <c r="H77" s="869"/>
      <c r="I77" s="820">
        <v>1500</v>
      </c>
      <c r="J77" s="858">
        <f t="shared" si="2"/>
        <v>1500</v>
      </c>
      <c r="K77" s="845"/>
    </row>
    <row r="78" spans="1:11" s="207" customFormat="1" ht="19.5" customHeight="1">
      <c r="A78" s="196">
        <v>72</v>
      </c>
      <c r="B78" s="270"/>
      <c r="C78" s="271"/>
      <c r="D78" s="209" t="s">
        <v>1105</v>
      </c>
      <c r="E78" s="204"/>
      <c r="F78" s="513"/>
      <c r="G78" s="824"/>
      <c r="H78" s="857"/>
      <c r="I78" s="814"/>
      <c r="J78" s="858"/>
      <c r="K78" s="843"/>
    </row>
    <row r="79" spans="1:11" ht="30">
      <c r="A79" s="196">
        <v>73</v>
      </c>
      <c r="B79" s="270"/>
      <c r="C79" s="271">
        <v>43</v>
      </c>
      <c r="D79" s="195" t="s">
        <v>187</v>
      </c>
      <c r="E79" s="203" t="s">
        <v>400</v>
      </c>
      <c r="F79" s="513">
        <f t="shared" si="3"/>
        <v>1065</v>
      </c>
      <c r="G79" s="824"/>
      <c r="H79" s="857"/>
      <c r="I79" s="814">
        <v>1065</v>
      </c>
      <c r="J79" s="858">
        <f t="shared" si="2"/>
        <v>1065</v>
      </c>
      <c r="K79" s="843"/>
    </row>
    <row r="80" spans="1:11" ht="15">
      <c r="A80" s="196">
        <v>74</v>
      </c>
      <c r="B80" s="270"/>
      <c r="C80" s="271">
        <v>44</v>
      </c>
      <c r="D80" s="195" t="s">
        <v>188</v>
      </c>
      <c r="E80" s="204" t="s">
        <v>400</v>
      </c>
      <c r="F80" s="513">
        <f t="shared" si="3"/>
        <v>1500</v>
      </c>
      <c r="G80" s="824"/>
      <c r="H80" s="857"/>
      <c r="I80" s="814">
        <v>1500</v>
      </c>
      <c r="J80" s="858">
        <f t="shared" si="2"/>
        <v>1500</v>
      </c>
      <c r="K80" s="843"/>
    </row>
    <row r="81" spans="1:11" s="207" customFormat="1" ht="19.5" customHeight="1">
      <c r="A81" s="196">
        <v>75</v>
      </c>
      <c r="B81" s="270"/>
      <c r="C81" s="271"/>
      <c r="D81" s="209" t="s">
        <v>427</v>
      </c>
      <c r="E81" s="204"/>
      <c r="F81" s="513"/>
      <c r="G81" s="824"/>
      <c r="H81" s="857"/>
      <c r="I81" s="814"/>
      <c r="J81" s="858"/>
      <c r="K81" s="843"/>
    </row>
    <row r="82" spans="1:11" ht="15">
      <c r="A82" s="196">
        <v>76</v>
      </c>
      <c r="B82" s="270"/>
      <c r="C82" s="271">
        <v>45</v>
      </c>
      <c r="D82" s="195" t="s">
        <v>190</v>
      </c>
      <c r="E82" s="204" t="s">
        <v>400</v>
      </c>
      <c r="F82" s="513">
        <f t="shared" si="3"/>
        <v>7600</v>
      </c>
      <c r="G82" s="825"/>
      <c r="H82" s="862"/>
      <c r="I82" s="818">
        <v>7600</v>
      </c>
      <c r="J82" s="858">
        <f t="shared" si="2"/>
        <v>7600</v>
      </c>
      <c r="K82" s="845"/>
    </row>
    <row r="83" spans="1:11" ht="15">
      <c r="A83" s="196">
        <v>77</v>
      </c>
      <c r="B83" s="270"/>
      <c r="C83" s="271">
        <v>46</v>
      </c>
      <c r="D83" s="195" t="s">
        <v>191</v>
      </c>
      <c r="E83" s="203" t="s">
        <v>400</v>
      </c>
      <c r="F83" s="513">
        <f t="shared" si="3"/>
        <v>7000</v>
      </c>
      <c r="G83" s="825"/>
      <c r="H83" s="862"/>
      <c r="I83" s="818">
        <v>7000</v>
      </c>
      <c r="J83" s="858">
        <f t="shared" si="2"/>
        <v>7000</v>
      </c>
      <c r="K83" s="845"/>
    </row>
    <row r="84" spans="1:11" ht="15">
      <c r="A84" s="196">
        <v>78</v>
      </c>
      <c r="B84" s="270"/>
      <c r="C84" s="271"/>
      <c r="D84" s="195" t="s">
        <v>688</v>
      </c>
      <c r="E84" s="203" t="s">
        <v>400</v>
      </c>
      <c r="F84" s="513">
        <f t="shared" si="3"/>
        <v>6000</v>
      </c>
      <c r="G84" s="825">
        <v>26</v>
      </c>
      <c r="H84" s="862"/>
      <c r="I84" s="818">
        <v>5974</v>
      </c>
      <c r="J84" s="858">
        <f t="shared" si="2"/>
        <v>5974</v>
      </c>
      <c r="K84" s="845"/>
    </row>
    <row r="85" spans="1:11" ht="15">
      <c r="A85" s="196">
        <v>79</v>
      </c>
      <c r="B85" s="270"/>
      <c r="C85" s="271">
        <v>47</v>
      </c>
      <c r="D85" s="195" t="s">
        <v>192</v>
      </c>
      <c r="E85" s="204" t="s">
        <v>400</v>
      </c>
      <c r="F85" s="513">
        <f t="shared" si="3"/>
        <v>9350</v>
      </c>
      <c r="G85" s="825"/>
      <c r="H85" s="862"/>
      <c r="I85" s="818">
        <v>9350</v>
      </c>
      <c r="J85" s="858">
        <f t="shared" si="2"/>
        <v>9350</v>
      </c>
      <c r="K85" s="845"/>
    </row>
    <row r="86" spans="1:11" s="207" customFormat="1" ht="19.5" customHeight="1">
      <c r="A86" s="196">
        <v>80</v>
      </c>
      <c r="B86" s="270"/>
      <c r="C86" s="271"/>
      <c r="D86" s="209" t="s">
        <v>426</v>
      </c>
      <c r="E86" s="204"/>
      <c r="F86" s="513"/>
      <c r="G86" s="824"/>
      <c r="H86" s="857"/>
      <c r="I86" s="814"/>
      <c r="J86" s="858"/>
      <c r="K86" s="843"/>
    </row>
    <row r="87" spans="1:11" ht="15">
      <c r="A87" s="196">
        <v>81</v>
      </c>
      <c r="B87" s="270"/>
      <c r="C87" s="271">
        <v>48</v>
      </c>
      <c r="D87" s="533" t="s">
        <v>193</v>
      </c>
      <c r="E87" s="203" t="s">
        <v>400</v>
      </c>
      <c r="F87" s="513">
        <f t="shared" si="3"/>
        <v>1800</v>
      </c>
      <c r="G87" s="830"/>
      <c r="H87" s="871"/>
      <c r="I87" s="822">
        <v>1800</v>
      </c>
      <c r="J87" s="858">
        <f t="shared" si="2"/>
        <v>1800</v>
      </c>
      <c r="K87" s="845"/>
    </row>
    <row r="88" spans="1:11" s="207" customFormat="1" ht="19.5" customHeight="1">
      <c r="A88" s="196">
        <v>82</v>
      </c>
      <c r="B88" s="270"/>
      <c r="C88" s="271"/>
      <c r="D88" s="209" t="s">
        <v>429</v>
      </c>
      <c r="E88" s="204"/>
      <c r="F88" s="513"/>
      <c r="G88" s="824"/>
      <c r="H88" s="857"/>
      <c r="I88" s="814"/>
      <c r="J88" s="858"/>
      <c r="K88" s="843"/>
    </row>
    <row r="89" spans="1:11" ht="15">
      <c r="A89" s="196">
        <v>83</v>
      </c>
      <c r="B89" s="270"/>
      <c r="C89" s="271">
        <v>49</v>
      </c>
      <c r="D89" s="533" t="s">
        <v>194</v>
      </c>
      <c r="E89" s="204" t="s">
        <v>400</v>
      </c>
      <c r="F89" s="513">
        <f t="shared" si="3"/>
        <v>4500</v>
      </c>
      <c r="G89" s="830"/>
      <c r="H89" s="871"/>
      <c r="I89" s="822">
        <v>4500</v>
      </c>
      <c r="J89" s="858">
        <f t="shared" si="2"/>
        <v>4500</v>
      </c>
      <c r="K89" s="845"/>
    </row>
    <row r="90" spans="1:11" s="207" customFormat="1" ht="19.5" customHeight="1">
      <c r="A90" s="196">
        <v>84</v>
      </c>
      <c r="B90" s="270"/>
      <c r="C90" s="271"/>
      <c r="D90" s="209" t="s">
        <v>432</v>
      </c>
      <c r="E90" s="204"/>
      <c r="F90" s="513"/>
      <c r="G90" s="824"/>
      <c r="H90" s="857"/>
      <c r="I90" s="814"/>
      <c r="J90" s="858"/>
      <c r="K90" s="843"/>
    </row>
    <row r="91" spans="1:11" ht="15">
      <c r="A91" s="196">
        <v>85</v>
      </c>
      <c r="B91" s="270"/>
      <c r="C91" s="271">
        <v>50</v>
      </c>
      <c r="D91" s="195" t="s">
        <v>197</v>
      </c>
      <c r="E91" s="204" t="s">
        <v>400</v>
      </c>
      <c r="F91" s="513">
        <f t="shared" si="3"/>
        <v>5000</v>
      </c>
      <c r="G91" s="825"/>
      <c r="H91" s="862"/>
      <c r="I91" s="818">
        <v>5000</v>
      </c>
      <c r="J91" s="858">
        <f t="shared" si="2"/>
        <v>5000</v>
      </c>
      <c r="K91" s="845"/>
    </row>
    <row r="92" spans="1:11" s="207" customFormat="1" ht="19.5" customHeight="1">
      <c r="A92" s="196">
        <v>86</v>
      </c>
      <c r="B92" s="270"/>
      <c r="C92" s="271"/>
      <c r="D92" s="209" t="s">
        <v>435</v>
      </c>
      <c r="E92" s="204"/>
      <c r="F92" s="513"/>
      <c r="G92" s="824"/>
      <c r="H92" s="857"/>
      <c r="I92" s="814"/>
      <c r="J92" s="858"/>
      <c r="K92" s="843"/>
    </row>
    <row r="93" spans="1:11" ht="15" customHeight="1">
      <c r="A93" s="196">
        <v>87</v>
      </c>
      <c r="B93" s="270"/>
      <c r="C93" s="271">
        <v>51</v>
      </c>
      <c r="D93" s="195" t="s">
        <v>198</v>
      </c>
      <c r="E93" s="203" t="s">
        <v>400</v>
      </c>
      <c r="F93" s="513">
        <f t="shared" si="3"/>
        <v>2000</v>
      </c>
      <c r="G93" s="824"/>
      <c r="H93" s="857"/>
      <c r="I93" s="814">
        <v>2000</v>
      </c>
      <c r="J93" s="858">
        <f t="shared" si="2"/>
        <v>2000</v>
      </c>
      <c r="K93" s="845"/>
    </row>
    <row r="94" spans="1:11" s="207" customFormat="1" ht="19.5" customHeight="1">
      <c r="A94" s="196">
        <v>88</v>
      </c>
      <c r="B94" s="270"/>
      <c r="C94" s="271"/>
      <c r="D94" s="209" t="s">
        <v>200</v>
      </c>
      <c r="E94" s="204"/>
      <c r="F94" s="513"/>
      <c r="G94" s="824"/>
      <c r="H94" s="857"/>
      <c r="I94" s="814"/>
      <c r="J94" s="858"/>
      <c r="K94" s="843"/>
    </row>
    <row r="95" spans="1:11" ht="30">
      <c r="A95" s="196">
        <v>89</v>
      </c>
      <c r="B95" s="270"/>
      <c r="C95" s="271">
        <v>52</v>
      </c>
      <c r="D95" s="195" t="s">
        <v>202</v>
      </c>
      <c r="E95" s="204" t="s">
        <v>400</v>
      </c>
      <c r="F95" s="513">
        <f t="shared" si="3"/>
        <v>2000</v>
      </c>
      <c r="G95" s="824"/>
      <c r="H95" s="857"/>
      <c r="I95" s="814">
        <v>2000</v>
      </c>
      <c r="J95" s="858">
        <f t="shared" si="2"/>
        <v>2000</v>
      </c>
      <c r="K95" s="845"/>
    </row>
    <row r="96" spans="1:11" s="207" customFormat="1" ht="19.5" customHeight="1">
      <c r="A96" s="196">
        <v>90</v>
      </c>
      <c r="B96" s="270"/>
      <c r="C96" s="271"/>
      <c r="D96" s="209" t="s">
        <v>450</v>
      </c>
      <c r="E96" s="204"/>
      <c r="F96" s="513"/>
      <c r="G96" s="824"/>
      <c r="H96" s="857"/>
      <c r="I96" s="814"/>
      <c r="J96" s="858"/>
      <c r="K96" s="843"/>
    </row>
    <row r="97" spans="1:11" ht="15">
      <c r="A97" s="196">
        <v>91</v>
      </c>
      <c r="B97" s="270"/>
      <c r="C97" s="271">
        <v>53</v>
      </c>
      <c r="D97" s="533" t="s">
        <v>203</v>
      </c>
      <c r="E97" s="204" t="s">
        <v>400</v>
      </c>
      <c r="F97" s="513">
        <f t="shared" si="3"/>
        <v>38890</v>
      </c>
      <c r="G97" s="828">
        <v>134</v>
      </c>
      <c r="H97" s="869"/>
      <c r="I97" s="820">
        <v>38756</v>
      </c>
      <c r="J97" s="858">
        <f t="shared" si="2"/>
        <v>38756</v>
      </c>
      <c r="K97" s="845"/>
    </row>
    <row r="98" spans="1:11" s="207" customFormat="1" ht="19.5" customHeight="1">
      <c r="A98" s="196">
        <v>92</v>
      </c>
      <c r="B98" s="270"/>
      <c r="C98" s="271"/>
      <c r="D98" s="209" t="s">
        <v>204</v>
      </c>
      <c r="E98" s="204"/>
      <c r="F98" s="513"/>
      <c r="G98" s="824"/>
      <c r="H98" s="857"/>
      <c r="I98" s="814"/>
      <c r="J98" s="858"/>
      <c r="K98" s="843"/>
    </row>
    <row r="99" spans="1:11" ht="15">
      <c r="A99" s="196">
        <v>93</v>
      </c>
      <c r="B99" s="270"/>
      <c r="C99" s="271">
        <v>54</v>
      </c>
      <c r="D99" s="195" t="s">
        <v>205</v>
      </c>
      <c r="E99" s="203" t="s">
        <v>400</v>
      </c>
      <c r="F99" s="513">
        <f t="shared" si="3"/>
        <v>3500</v>
      </c>
      <c r="G99" s="825"/>
      <c r="H99" s="862"/>
      <c r="I99" s="818">
        <v>3500</v>
      </c>
      <c r="J99" s="858">
        <f t="shared" si="2"/>
        <v>3500</v>
      </c>
      <c r="K99" s="845"/>
    </row>
    <row r="100" spans="1:11" s="207" customFormat="1" ht="19.5" customHeight="1">
      <c r="A100" s="196">
        <v>94</v>
      </c>
      <c r="B100" s="270"/>
      <c r="C100" s="271"/>
      <c r="D100" s="209" t="s">
        <v>206</v>
      </c>
      <c r="E100" s="204"/>
      <c r="F100" s="513"/>
      <c r="G100" s="824"/>
      <c r="H100" s="857"/>
      <c r="I100" s="814"/>
      <c r="J100" s="858"/>
      <c r="K100" s="843"/>
    </row>
    <row r="101" spans="1:11" s="207" customFormat="1" ht="19.5" customHeight="1">
      <c r="A101" s="196">
        <v>95</v>
      </c>
      <c r="B101" s="270"/>
      <c r="C101" s="271"/>
      <c r="D101" s="209" t="s">
        <v>207</v>
      </c>
      <c r="E101" s="204"/>
      <c r="F101" s="513"/>
      <c r="G101" s="824"/>
      <c r="H101" s="857"/>
      <c r="I101" s="814"/>
      <c r="J101" s="858"/>
      <c r="K101" s="843"/>
    </row>
    <row r="102" spans="1:11" ht="30">
      <c r="A102" s="196">
        <v>96</v>
      </c>
      <c r="B102" s="270"/>
      <c r="C102" s="271">
        <v>55</v>
      </c>
      <c r="D102" s="195" t="s">
        <v>208</v>
      </c>
      <c r="E102" s="203" t="s">
        <v>400</v>
      </c>
      <c r="F102" s="513">
        <f t="shared" si="3"/>
        <v>9707</v>
      </c>
      <c r="G102" s="824"/>
      <c r="H102" s="857"/>
      <c r="I102" s="814">
        <v>9707</v>
      </c>
      <c r="J102" s="858">
        <f>SUM(H102:I102)</f>
        <v>9707</v>
      </c>
      <c r="K102" s="845"/>
    </row>
    <row r="103" spans="1:11" s="207" customFormat="1" ht="19.5" customHeight="1">
      <c r="A103" s="196">
        <v>97</v>
      </c>
      <c r="B103" s="270"/>
      <c r="C103" s="271"/>
      <c r="D103" s="209" t="s">
        <v>209</v>
      </c>
      <c r="E103" s="204"/>
      <c r="F103" s="513"/>
      <c r="G103" s="824"/>
      <c r="H103" s="857"/>
      <c r="I103" s="814"/>
      <c r="J103" s="858"/>
      <c r="K103" s="843"/>
    </row>
    <row r="104" spans="1:11" ht="30.75" thickBot="1">
      <c r="A104" s="196">
        <v>98</v>
      </c>
      <c r="B104" s="274"/>
      <c r="C104" s="275">
        <v>56</v>
      </c>
      <c r="D104" s="210" t="s">
        <v>210</v>
      </c>
      <c r="E104" s="531" t="s">
        <v>400</v>
      </c>
      <c r="F104" s="513">
        <f t="shared" si="3"/>
        <v>3500</v>
      </c>
      <c r="G104" s="826"/>
      <c r="H104" s="868"/>
      <c r="I104" s="819">
        <v>3500</v>
      </c>
      <c r="J104" s="858">
        <f>SUM(H104:I104)</f>
        <v>3500</v>
      </c>
      <c r="K104" s="851"/>
    </row>
    <row r="105" spans="1:11" s="206" customFormat="1" ht="25.5" customHeight="1" thickBot="1" thickTop="1">
      <c r="A105" s="196">
        <v>99</v>
      </c>
      <c r="B105" s="272"/>
      <c r="C105" s="273"/>
      <c r="D105" s="1148" t="s">
        <v>211</v>
      </c>
      <c r="E105" s="211"/>
      <c r="F105" s="212">
        <f>SUM(F8:F104)</f>
        <v>896987</v>
      </c>
      <c r="G105" s="212">
        <f>SUM(G8:G104)</f>
        <v>49952</v>
      </c>
      <c r="H105" s="863">
        <f>SUM(H8:H104)</f>
        <v>204950</v>
      </c>
      <c r="I105" s="212">
        <f>SUM(I8:I104)</f>
        <v>437085</v>
      </c>
      <c r="J105" s="864">
        <f>SUM(J8:J104)</f>
        <v>642035</v>
      </c>
      <c r="K105" s="847">
        <f>SUM(K8:K28)</f>
        <v>10000</v>
      </c>
    </row>
    <row r="106" spans="1:11" s="839" customFormat="1" ht="25.5" customHeight="1" thickTop="1">
      <c r="A106" s="196">
        <v>100</v>
      </c>
      <c r="B106" s="833"/>
      <c r="C106" s="834"/>
      <c r="D106" s="1149" t="s">
        <v>489</v>
      </c>
      <c r="E106" s="835"/>
      <c r="F106" s="836"/>
      <c r="G106" s="838"/>
      <c r="H106" s="865"/>
      <c r="I106" s="837"/>
      <c r="J106" s="866"/>
      <c r="K106" s="848"/>
    </row>
    <row r="107" spans="1:11" s="207" customFormat="1" ht="19.5" customHeight="1">
      <c r="A107" s="196">
        <v>101</v>
      </c>
      <c r="B107" s="270">
        <v>15</v>
      </c>
      <c r="C107" s="271"/>
      <c r="D107" s="209" t="s">
        <v>1104</v>
      </c>
      <c r="E107" s="204"/>
      <c r="F107" s="192"/>
      <c r="G107" s="824"/>
      <c r="H107" s="857"/>
      <c r="I107" s="814"/>
      <c r="J107" s="858"/>
      <c r="K107" s="843"/>
    </row>
    <row r="108" spans="1:11" ht="15">
      <c r="A108" s="196">
        <v>102</v>
      </c>
      <c r="B108" s="270"/>
      <c r="C108" s="271">
        <v>1</v>
      </c>
      <c r="D108" s="195" t="s">
        <v>212</v>
      </c>
      <c r="E108" s="203" t="s">
        <v>400</v>
      </c>
      <c r="F108" s="515">
        <v>15240</v>
      </c>
      <c r="G108" s="825"/>
      <c r="H108" s="862">
        <v>15240</v>
      </c>
      <c r="I108" s="818"/>
      <c r="J108" s="867">
        <f>SUM(H108:I108)</f>
        <v>15240</v>
      </c>
      <c r="K108" s="845"/>
    </row>
    <row r="109" spans="1:11" ht="15">
      <c r="A109" s="196">
        <v>103</v>
      </c>
      <c r="B109" s="270"/>
      <c r="C109" s="271">
        <v>2</v>
      </c>
      <c r="D109" s="195" t="s">
        <v>70</v>
      </c>
      <c r="E109" s="203" t="s">
        <v>400</v>
      </c>
      <c r="F109" s="515">
        <v>1500</v>
      </c>
      <c r="G109" s="825"/>
      <c r="H109" s="862">
        <v>1500</v>
      </c>
      <c r="I109" s="818"/>
      <c r="J109" s="867">
        <f>SUM(H109:I109)</f>
        <v>1500</v>
      </c>
      <c r="K109" s="845"/>
    </row>
    <row r="110" spans="1:11" ht="15">
      <c r="A110" s="196">
        <v>104</v>
      </c>
      <c r="B110" s="270"/>
      <c r="C110" s="271">
        <v>3</v>
      </c>
      <c r="D110" s="195" t="s">
        <v>213</v>
      </c>
      <c r="E110" s="204" t="s">
        <v>400</v>
      </c>
      <c r="F110" s="515">
        <v>1500</v>
      </c>
      <c r="G110" s="825"/>
      <c r="H110" s="862">
        <v>1500</v>
      </c>
      <c r="I110" s="818"/>
      <c r="J110" s="867">
        <f>SUM(H110:I110)</f>
        <v>1500</v>
      </c>
      <c r="K110" s="845"/>
    </row>
    <row r="111" spans="1:11" s="207" customFormat="1" ht="19.5" customHeight="1">
      <c r="A111" s="196">
        <v>105</v>
      </c>
      <c r="B111" s="270">
        <v>17</v>
      </c>
      <c r="C111" s="271"/>
      <c r="D111" s="209" t="s">
        <v>1105</v>
      </c>
      <c r="E111" s="204"/>
      <c r="F111" s="192"/>
      <c r="G111" s="824"/>
      <c r="H111" s="857"/>
      <c r="I111" s="814"/>
      <c r="J111" s="867"/>
      <c r="K111" s="843"/>
    </row>
    <row r="112" spans="1:11" ht="15.75" customHeight="1" thickBot="1">
      <c r="A112" s="196">
        <v>106</v>
      </c>
      <c r="B112" s="274"/>
      <c r="C112" s="275">
        <v>1</v>
      </c>
      <c r="D112" s="210" t="s">
        <v>214</v>
      </c>
      <c r="E112" s="531" t="s">
        <v>400</v>
      </c>
      <c r="F112" s="532">
        <v>425</v>
      </c>
      <c r="G112" s="826"/>
      <c r="H112" s="868">
        <v>425</v>
      </c>
      <c r="I112" s="819"/>
      <c r="J112" s="867">
        <f>SUM(H112:I112)</f>
        <v>425</v>
      </c>
      <c r="K112" s="849"/>
    </row>
    <row r="113" spans="1:11" s="206" customFormat="1" ht="25.5" customHeight="1" thickBot="1" thickTop="1">
      <c r="A113" s="196">
        <v>107</v>
      </c>
      <c r="B113" s="272"/>
      <c r="C113" s="273"/>
      <c r="D113" s="1148" t="s">
        <v>365</v>
      </c>
      <c r="E113" s="211"/>
      <c r="F113" s="212">
        <f aca="true" t="shared" si="4" ref="F113:K113">SUM(F107:F112)</f>
        <v>18665</v>
      </c>
      <c r="G113" s="808">
        <f t="shared" si="4"/>
        <v>0</v>
      </c>
      <c r="H113" s="863">
        <f t="shared" si="4"/>
        <v>18665</v>
      </c>
      <c r="I113" s="810">
        <f t="shared" si="4"/>
        <v>0</v>
      </c>
      <c r="J113" s="864">
        <f t="shared" si="4"/>
        <v>18665</v>
      </c>
      <c r="K113" s="850">
        <f t="shared" si="4"/>
        <v>0</v>
      </c>
    </row>
    <row r="114" spans="1:11" s="839" customFormat="1" ht="25.5" customHeight="1" thickTop="1">
      <c r="A114" s="196">
        <v>108</v>
      </c>
      <c r="B114" s="833"/>
      <c r="C114" s="834"/>
      <c r="D114" s="1149" t="s">
        <v>490</v>
      </c>
      <c r="E114" s="835"/>
      <c r="F114" s="836"/>
      <c r="G114" s="838"/>
      <c r="H114" s="865"/>
      <c r="I114" s="837"/>
      <c r="J114" s="866"/>
      <c r="K114" s="848"/>
    </row>
    <row r="115" spans="1:11" ht="15">
      <c r="A115" s="196">
        <v>109</v>
      </c>
      <c r="B115" s="270"/>
      <c r="C115" s="271">
        <v>1</v>
      </c>
      <c r="D115" s="191" t="s">
        <v>122</v>
      </c>
      <c r="E115" s="203" t="s">
        <v>466</v>
      </c>
      <c r="F115" s="513"/>
      <c r="G115" s="824"/>
      <c r="H115" s="857">
        <v>10000</v>
      </c>
      <c r="I115" s="814">
        <v>-10000</v>
      </c>
      <c r="J115" s="858">
        <f aca="true" t="shared" si="5" ref="J115:J121">SUM(H115:I115)</f>
        <v>0</v>
      </c>
      <c r="K115" s="843">
        <v>195000</v>
      </c>
    </row>
    <row r="116" spans="1:11" ht="15">
      <c r="A116" s="196">
        <v>110</v>
      </c>
      <c r="B116" s="270"/>
      <c r="C116" s="271">
        <v>2</v>
      </c>
      <c r="D116" s="191" t="s">
        <v>516</v>
      </c>
      <c r="E116" s="203" t="s">
        <v>466</v>
      </c>
      <c r="F116" s="513"/>
      <c r="G116" s="824"/>
      <c r="H116" s="857">
        <v>10000</v>
      </c>
      <c r="I116" s="814">
        <v>-10000</v>
      </c>
      <c r="J116" s="858">
        <f t="shared" si="5"/>
        <v>0</v>
      </c>
      <c r="K116" s="843"/>
    </row>
    <row r="117" spans="1:11" ht="15" customHeight="1">
      <c r="A117" s="196">
        <v>111</v>
      </c>
      <c r="B117" s="270"/>
      <c r="C117" s="271">
        <v>3</v>
      </c>
      <c r="D117" s="191" t="s">
        <v>124</v>
      </c>
      <c r="E117" s="203" t="s">
        <v>466</v>
      </c>
      <c r="F117" s="513"/>
      <c r="G117" s="824"/>
      <c r="H117" s="857">
        <v>20000</v>
      </c>
      <c r="I117" s="814">
        <v>-20000</v>
      </c>
      <c r="J117" s="858">
        <f t="shared" si="5"/>
        <v>0</v>
      </c>
      <c r="K117" s="843"/>
    </row>
    <row r="118" spans="1:11" ht="15" customHeight="1">
      <c r="A118" s="196">
        <v>112</v>
      </c>
      <c r="B118" s="270"/>
      <c r="C118" s="271">
        <v>4</v>
      </c>
      <c r="D118" s="194" t="s">
        <v>125</v>
      </c>
      <c r="E118" s="204" t="s">
        <v>400</v>
      </c>
      <c r="F118" s="193"/>
      <c r="G118" s="827"/>
      <c r="H118" s="860">
        <v>50000</v>
      </c>
      <c r="I118" s="816">
        <v>-50000</v>
      </c>
      <c r="J118" s="858">
        <f t="shared" si="5"/>
        <v>0</v>
      </c>
      <c r="K118" s="845"/>
    </row>
    <row r="119" spans="1:11" s="206" customFormat="1" ht="30">
      <c r="A119" s="196">
        <v>113</v>
      </c>
      <c r="B119" s="270"/>
      <c r="C119" s="271">
        <v>5</v>
      </c>
      <c r="D119" s="194" t="s">
        <v>127</v>
      </c>
      <c r="E119" s="204" t="s">
        <v>400</v>
      </c>
      <c r="F119" s="193"/>
      <c r="G119" s="827"/>
      <c r="H119" s="860">
        <v>6000</v>
      </c>
      <c r="I119" s="816">
        <v>-6000</v>
      </c>
      <c r="J119" s="858">
        <f t="shared" si="5"/>
        <v>0</v>
      </c>
      <c r="K119" s="845"/>
    </row>
    <row r="120" spans="1:11" ht="15">
      <c r="A120" s="196">
        <v>114</v>
      </c>
      <c r="B120" s="270"/>
      <c r="C120" s="271">
        <v>6</v>
      </c>
      <c r="D120" s="194" t="s">
        <v>129</v>
      </c>
      <c r="E120" s="203" t="s">
        <v>400</v>
      </c>
      <c r="F120" s="193"/>
      <c r="G120" s="827"/>
      <c r="H120" s="860">
        <v>4000</v>
      </c>
      <c r="I120" s="816">
        <v>-4000</v>
      </c>
      <c r="J120" s="858">
        <f t="shared" si="5"/>
        <v>0</v>
      </c>
      <c r="K120" s="845"/>
    </row>
    <row r="121" spans="1:11" ht="15" customHeight="1">
      <c r="A121" s="196">
        <v>115</v>
      </c>
      <c r="B121" s="270"/>
      <c r="C121" s="271">
        <v>7</v>
      </c>
      <c r="D121" s="194" t="s">
        <v>132</v>
      </c>
      <c r="E121" s="203" t="s">
        <v>400</v>
      </c>
      <c r="F121" s="193"/>
      <c r="G121" s="827"/>
      <c r="H121" s="860">
        <v>5000</v>
      </c>
      <c r="I121" s="816">
        <v>-5000</v>
      </c>
      <c r="J121" s="858">
        <f t="shared" si="5"/>
        <v>0</v>
      </c>
      <c r="K121" s="845"/>
    </row>
    <row r="122" spans="1:11" s="207" customFormat="1" ht="19.5" customHeight="1">
      <c r="A122" s="196">
        <v>116</v>
      </c>
      <c r="B122" s="270"/>
      <c r="C122" s="271"/>
      <c r="D122" s="209" t="s">
        <v>99</v>
      </c>
      <c r="E122" s="204"/>
      <c r="F122" s="192"/>
      <c r="G122" s="824"/>
      <c r="H122" s="857"/>
      <c r="I122" s="814"/>
      <c r="J122" s="858"/>
      <c r="K122" s="843"/>
    </row>
    <row r="123" spans="1:11" ht="15">
      <c r="A123" s="196">
        <v>117</v>
      </c>
      <c r="B123" s="270"/>
      <c r="C123" s="271">
        <v>8</v>
      </c>
      <c r="D123" s="533" t="s">
        <v>140</v>
      </c>
      <c r="E123" s="204" t="s">
        <v>400</v>
      </c>
      <c r="F123" s="514"/>
      <c r="G123" s="825"/>
      <c r="H123" s="862">
        <v>460</v>
      </c>
      <c r="I123" s="818">
        <v>-460</v>
      </c>
      <c r="J123" s="858">
        <f>SUM(H123:I123)</f>
        <v>0</v>
      </c>
      <c r="K123" s="845"/>
    </row>
    <row r="124" spans="1:11" s="207" customFormat="1" ht="19.5" customHeight="1">
      <c r="A124" s="196">
        <v>118</v>
      </c>
      <c r="B124" s="270"/>
      <c r="C124" s="271"/>
      <c r="D124" s="209" t="s">
        <v>1186</v>
      </c>
      <c r="E124" s="204"/>
      <c r="F124" s="192"/>
      <c r="G124" s="824"/>
      <c r="H124" s="857"/>
      <c r="I124" s="814"/>
      <c r="J124" s="858"/>
      <c r="K124" s="843"/>
    </row>
    <row r="125" spans="1:11" ht="15">
      <c r="A125" s="196">
        <v>119</v>
      </c>
      <c r="B125" s="270"/>
      <c r="C125" s="271">
        <v>9</v>
      </c>
      <c r="D125" s="195" t="s">
        <v>141</v>
      </c>
      <c r="E125" s="204" t="s">
        <v>400</v>
      </c>
      <c r="F125" s="193"/>
      <c r="G125" s="827"/>
      <c r="H125" s="860">
        <v>2500</v>
      </c>
      <c r="I125" s="816">
        <v>-2500</v>
      </c>
      <c r="J125" s="858">
        <f>SUM(H125:I125)</f>
        <v>0</v>
      </c>
      <c r="K125" s="845"/>
    </row>
    <row r="126" spans="1:11" s="207" customFormat="1" ht="19.5" customHeight="1">
      <c r="A126" s="196">
        <v>120</v>
      </c>
      <c r="B126" s="270"/>
      <c r="C126" s="271"/>
      <c r="D126" s="209" t="s">
        <v>142</v>
      </c>
      <c r="E126" s="204"/>
      <c r="F126" s="192"/>
      <c r="G126" s="824"/>
      <c r="H126" s="857"/>
      <c r="I126" s="814"/>
      <c r="J126" s="858"/>
      <c r="K126" s="843"/>
    </row>
    <row r="127" spans="1:11" ht="15">
      <c r="A127" s="196">
        <v>121</v>
      </c>
      <c r="B127" s="270"/>
      <c r="C127" s="271">
        <v>10</v>
      </c>
      <c r="D127" s="533" t="s">
        <v>143</v>
      </c>
      <c r="E127" s="203" t="s">
        <v>400</v>
      </c>
      <c r="F127" s="513"/>
      <c r="G127" s="829"/>
      <c r="H127" s="860">
        <v>2450</v>
      </c>
      <c r="I127" s="816">
        <v>-2450</v>
      </c>
      <c r="J127" s="858">
        <f>SUM(H127:I127)</f>
        <v>0</v>
      </c>
      <c r="K127" s="845"/>
    </row>
    <row r="128" spans="1:11" s="207" customFormat="1" ht="19.5" customHeight="1">
      <c r="A128" s="196">
        <v>122</v>
      </c>
      <c r="B128" s="270"/>
      <c r="C128" s="271"/>
      <c r="D128" s="209" t="s">
        <v>1188</v>
      </c>
      <c r="E128" s="204"/>
      <c r="F128" s="192"/>
      <c r="G128" s="824"/>
      <c r="H128" s="857"/>
      <c r="I128" s="814"/>
      <c r="J128" s="858"/>
      <c r="K128" s="843"/>
    </row>
    <row r="129" spans="1:11" ht="15">
      <c r="A129" s="196">
        <v>123</v>
      </c>
      <c r="B129" s="270"/>
      <c r="C129" s="271">
        <v>11</v>
      </c>
      <c r="D129" s="533" t="s">
        <v>144</v>
      </c>
      <c r="E129" s="204" t="s">
        <v>400</v>
      </c>
      <c r="F129" s="534"/>
      <c r="G129" s="828"/>
      <c r="H129" s="869">
        <v>850</v>
      </c>
      <c r="I129" s="820">
        <v>-850</v>
      </c>
      <c r="J129" s="858">
        <f>SUM(H129:I129)</f>
        <v>0</v>
      </c>
      <c r="K129" s="845"/>
    </row>
    <row r="130" spans="1:11" s="207" customFormat="1" ht="19.5" customHeight="1">
      <c r="A130" s="196">
        <v>124</v>
      </c>
      <c r="B130" s="270"/>
      <c r="C130" s="271"/>
      <c r="D130" s="209" t="s">
        <v>95</v>
      </c>
      <c r="E130" s="204"/>
      <c r="F130" s="192"/>
      <c r="G130" s="824"/>
      <c r="H130" s="857"/>
      <c r="I130" s="814"/>
      <c r="J130" s="858"/>
      <c r="K130" s="843"/>
    </row>
    <row r="131" spans="1:11" ht="15">
      <c r="A131" s="196">
        <v>125</v>
      </c>
      <c r="B131" s="270"/>
      <c r="C131" s="271">
        <v>12</v>
      </c>
      <c r="D131" s="195" t="s">
        <v>145</v>
      </c>
      <c r="E131" s="203" t="s">
        <v>400</v>
      </c>
      <c r="F131" s="193"/>
      <c r="G131" s="827"/>
      <c r="H131" s="860">
        <v>4000</v>
      </c>
      <c r="I131" s="816">
        <v>-4000</v>
      </c>
      <c r="J131" s="858">
        <f>SUM(H131:I131)</f>
        <v>0</v>
      </c>
      <c r="K131" s="845"/>
    </row>
    <row r="132" spans="1:11" s="207" customFormat="1" ht="19.5" customHeight="1">
      <c r="A132" s="196">
        <v>126</v>
      </c>
      <c r="B132" s="270"/>
      <c r="C132" s="271"/>
      <c r="D132" s="209" t="s">
        <v>1189</v>
      </c>
      <c r="E132" s="204"/>
      <c r="F132" s="192"/>
      <c r="G132" s="824"/>
      <c r="H132" s="857"/>
      <c r="I132" s="814"/>
      <c r="J132" s="858"/>
      <c r="K132" s="843"/>
    </row>
    <row r="133" spans="1:11" ht="15">
      <c r="A133" s="196">
        <v>127</v>
      </c>
      <c r="B133" s="270"/>
      <c r="C133" s="271">
        <v>13</v>
      </c>
      <c r="D133" s="195" t="s">
        <v>146</v>
      </c>
      <c r="E133" s="204" t="s">
        <v>400</v>
      </c>
      <c r="F133" s="193"/>
      <c r="G133" s="827"/>
      <c r="H133" s="860">
        <v>5600</v>
      </c>
      <c r="I133" s="816">
        <v>-5600</v>
      </c>
      <c r="J133" s="858">
        <f>SUM(H133:I133)</f>
        <v>0</v>
      </c>
      <c r="K133" s="845"/>
    </row>
    <row r="134" spans="1:11" ht="15">
      <c r="A134" s="196">
        <v>128</v>
      </c>
      <c r="B134" s="270"/>
      <c r="C134" s="271">
        <v>14</v>
      </c>
      <c r="D134" s="533" t="s">
        <v>147</v>
      </c>
      <c r="E134" s="203" t="s">
        <v>400</v>
      </c>
      <c r="F134" s="513"/>
      <c r="G134" s="829"/>
      <c r="H134" s="870">
        <v>3100</v>
      </c>
      <c r="I134" s="821">
        <v>-3100</v>
      </c>
      <c r="J134" s="858">
        <f>SUM(H134:I134)</f>
        <v>0</v>
      </c>
      <c r="K134" s="845"/>
    </row>
    <row r="135" spans="1:11" s="207" customFormat="1" ht="19.5" customHeight="1">
      <c r="A135" s="196">
        <v>129</v>
      </c>
      <c r="B135" s="270"/>
      <c r="C135" s="271"/>
      <c r="D135" s="209" t="s">
        <v>148</v>
      </c>
      <c r="E135" s="204"/>
      <c r="F135" s="192"/>
      <c r="G135" s="824"/>
      <c r="H135" s="857"/>
      <c r="I135" s="814"/>
      <c r="J135" s="858"/>
      <c r="K135" s="843"/>
    </row>
    <row r="136" spans="1:11" ht="15">
      <c r="A136" s="196">
        <v>130</v>
      </c>
      <c r="B136" s="270"/>
      <c r="C136" s="271">
        <v>15</v>
      </c>
      <c r="D136" s="533" t="s">
        <v>149</v>
      </c>
      <c r="E136" s="204" t="s">
        <v>400</v>
      </c>
      <c r="F136" s="534"/>
      <c r="G136" s="828"/>
      <c r="H136" s="869">
        <v>850</v>
      </c>
      <c r="I136" s="820">
        <v>-850</v>
      </c>
      <c r="J136" s="858">
        <f>SUM(H136:I136)</f>
        <v>0</v>
      </c>
      <c r="K136" s="845"/>
    </row>
    <row r="137" spans="1:11" s="207" customFormat="1" ht="19.5" customHeight="1">
      <c r="A137" s="196">
        <v>131</v>
      </c>
      <c r="B137" s="270"/>
      <c r="C137" s="271"/>
      <c r="D137" s="209" t="s">
        <v>1190</v>
      </c>
      <c r="E137" s="204"/>
      <c r="F137" s="192"/>
      <c r="G137" s="824"/>
      <c r="H137" s="857"/>
      <c r="I137" s="814"/>
      <c r="J137" s="858"/>
      <c r="K137" s="843"/>
    </row>
    <row r="138" spans="1:11" ht="15">
      <c r="A138" s="196">
        <v>132</v>
      </c>
      <c r="B138" s="270"/>
      <c r="C138" s="271">
        <v>16</v>
      </c>
      <c r="D138" s="195" t="s">
        <v>151</v>
      </c>
      <c r="E138" s="203" t="s">
        <v>400</v>
      </c>
      <c r="F138" s="515"/>
      <c r="G138" s="825"/>
      <c r="H138" s="862">
        <v>2400</v>
      </c>
      <c r="I138" s="818">
        <v>-2400</v>
      </c>
      <c r="J138" s="858">
        <f>SUM(H138:I138)</f>
        <v>0</v>
      </c>
      <c r="K138" s="845"/>
    </row>
    <row r="139" spans="1:11" s="207" customFormat="1" ht="19.5" customHeight="1">
      <c r="A139" s="196">
        <v>133</v>
      </c>
      <c r="B139" s="270"/>
      <c r="C139" s="271"/>
      <c r="D139" s="209" t="s">
        <v>96</v>
      </c>
      <c r="E139" s="204"/>
      <c r="F139" s="192"/>
      <c r="G139" s="824"/>
      <c r="H139" s="857"/>
      <c r="I139" s="814"/>
      <c r="J139" s="858"/>
      <c r="K139" s="843"/>
    </row>
    <row r="140" spans="1:11" s="207" customFormat="1" ht="19.5" customHeight="1">
      <c r="A140" s="196">
        <v>134</v>
      </c>
      <c r="B140" s="270"/>
      <c r="C140" s="271"/>
      <c r="D140" s="209" t="s">
        <v>152</v>
      </c>
      <c r="E140" s="204"/>
      <c r="F140" s="192"/>
      <c r="G140" s="824"/>
      <c r="H140" s="857"/>
      <c r="I140" s="814"/>
      <c r="J140" s="858"/>
      <c r="K140" s="843"/>
    </row>
    <row r="141" spans="1:11" ht="15">
      <c r="A141" s="196">
        <v>135</v>
      </c>
      <c r="B141" s="270"/>
      <c r="C141" s="271">
        <v>17</v>
      </c>
      <c r="D141" s="533" t="s">
        <v>153</v>
      </c>
      <c r="E141" s="204" t="s">
        <v>400</v>
      </c>
      <c r="F141" s="514"/>
      <c r="G141" s="825"/>
      <c r="H141" s="862">
        <v>1500</v>
      </c>
      <c r="I141" s="818">
        <v>-1500</v>
      </c>
      <c r="J141" s="858">
        <f>SUM(H141:I141)</f>
        <v>0</v>
      </c>
      <c r="K141" s="845"/>
    </row>
    <row r="142" spans="1:11" s="207" customFormat="1" ht="19.5" customHeight="1">
      <c r="A142" s="196">
        <v>136</v>
      </c>
      <c r="B142" s="270"/>
      <c r="C142" s="271"/>
      <c r="D142" s="209" t="s">
        <v>154</v>
      </c>
      <c r="E142" s="204"/>
      <c r="F142" s="192"/>
      <c r="G142" s="824"/>
      <c r="H142" s="857"/>
      <c r="I142" s="814"/>
      <c r="J142" s="858"/>
      <c r="K142" s="843"/>
    </row>
    <row r="143" spans="1:11" ht="30">
      <c r="A143" s="196">
        <v>137</v>
      </c>
      <c r="B143" s="270"/>
      <c r="C143" s="271">
        <v>18</v>
      </c>
      <c r="D143" s="195" t="s">
        <v>155</v>
      </c>
      <c r="E143" s="204" t="s">
        <v>400</v>
      </c>
      <c r="F143" s="192"/>
      <c r="G143" s="824"/>
      <c r="H143" s="857">
        <v>1600</v>
      </c>
      <c r="I143" s="814">
        <v>-1600</v>
      </c>
      <c r="J143" s="858">
        <f>SUM(H143:I143)</f>
        <v>0</v>
      </c>
      <c r="K143" s="845"/>
    </row>
    <row r="144" spans="1:11" ht="15">
      <c r="A144" s="196">
        <v>138</v>
      </c>
      <c r="B144" s="270"/>
      <c r="C144" s="271">
        <v>19</v>
      </c>
      <c r="D144" s="195" t="s">
        <v>156</v>
      </c>
      <c r="E144" s="204" t="s">
        <v>400</v>
      </c>
      <c r="F144" s="192"/>
      <c r="G144" s="824"/>
      <c r="H144" s="857">
        <v>2500</v>
      </c>
      <c r="I144" s="814">
        <v>-2500</v>
      </c>
      <c r="J144" s="858">
        <f>SUM(H144:I144)</f>
        <v>0</v>
      </c>
      <c r="K144" s="845"/>
    </row>
    <row r="145" spans="1:11" s="207" customFormat="1" ht="19.5" customHeight="1">
      <c r="A145" s="196">
        <v>139</v>
      </c>
      <c r="B145" s="270"/>
      <c r="C145" s="271"/>
      <c r="D145" s="209" t="s">
        <v>157</v>
      </c>
      <c r="E145" s="204"/>
      <c r="F145" s="192"/>
      <c r="G145" s="824"/>
      <c r="H145" s="857"/>
      <c r="I145" s="814"/>
      <c r="J145" s="858"/>
      <c r="K145" s="843"/>
    </row>
    <row r="146" spans="1:11" ht="30">
      <c r="A146" s="196">
        <v>140</v>
      </c>
      <c r="B146" s="270"/>
      <c r="C146" s="271">
        <v>20</v>
      </c>
      <c r="D146" s="195" t="s">
        <v>158</v>
      </c>
      <c r="E146" s="204" t="s">
        <v>400</v>
      </c>
      <c r="F146" s="192"/>
      <c r="G146" s="824"/>
      <c r="H146" s="857">
        <v>7800</v>
      </c>
      <c r="I146" s="814">
        <v>-7800</v>
      </c>
      <c r="J146" s="858">
        <f>SUM(H146:I146)</f>
        <v>0</v>
      </c>
      <c r="K146" s="845"/>
    </row>
    <row r="147" spans="1:11" s="207" customFormat="1" ht="19.5" customHeight="1">
      <c r="A147" s="196">
        <v>141</v>
      </c>
      <c r="B147" s="270"/>
      <c r="C147" s="271"/>
      <c r="D147" s="209" t="s">
        <v>159</v>
      </c>
      <c r="E147" s="204"/>
      <c r="F147" s="192"/>
      <c r="G147" s="824"/>
      <c r="H147" s="857"/>
      <c r="I147" s="814"/>
      <c r="J147" s="858">
        <f>SUM(H147:I147)</f>
        <v>0</v>
      </c>
      <c r="K147" s="843"/>
    </row>
    <row r="148" spans="1:11" ht="15">
      <c r="A148" s="196">
        <v>142</v>
      </c>
      <c r="B148" s="270"/>
      <c r="C148" s="271">
        <v>21</v>
      </c>
      <c r="D148" s="533" t="s">
        <v>160</v>
      </c>
      <c r="E148" s="203" t="s">
        <v>400</v>
      </c>
      <c r="F148" s="534"/>
      <c r="G148" s="828"/>
      <c r="H148" s="869">
        <v>3000</v>
      </c>
      <c r="I148" s="820">
        <v>-3000</v>
      </c>
      <c r="J148" s="858">
        <f>SUM(H148:I148)</f>
        <v>0</v>
      </c>
      <c r="K148" s="845"/>
    </row>
    <row r="149" spans="1:11" s="207" customFormat="1" ht="19.5" customHeight="1">
      <c r="A149" s="196">
        <v>143</v>
      </c>
      <c r="B149" s="270"/>
      <c r="C149" s="271"/>
      <c r="D149" s="209" t="s">
        <v>161</v>
      </c>
      <c r="E149" s="204"/>
      <c r="F149" s="192"/>
      <c r="G149" s="824"/>
      <c r="H149" s="857"/>
      <c r="I149" s="814"/>
      <c r="J149" s="858"/>
      <c r="K149" s="843"/>
    </row>
    <row r="150" spans="1:11" ht="15">
      <c r="A150" s="196">
        <v>144</v>
      </c>
      <c r="B150" s="270"/>
      <c r="C150" s="271">
        <v>22</v>
      </c>
      <c r="D150" s="195" t="s">
        <v>162</v>
      </c>
      <c r="E150" s="204" t="s">
        <v>400</v>
      </c>
      <c r="F150" s="515"/>
      <c r="G150" s="825"/>
      <c r="H150" s="862">
        <v>990</v>
      </c>
      <c r="I150" s="818">
        <v>-990</v>
      </c>
      <c r="J150" s="858">
        <f>SUM(H150:I150)</f>
        <v>0</v>
      </c>
      <c r="K150" s="845"/>
    </row>
    <row r="151" spans="1:11" s="207" customFormat="1" ht="19.5" customHeight="1">
      <c r="A151" s="196">
        <v>145</v>
      </c>
      <c r="B151" s="270"/>
      <c r="C151" s="271"/>
      <c r="D151" s="209" t="s">
        <v>163</v>
      </c>
      <c r="E151" s="204"/>
      <c r="F151" s="192"/>
      <c r="G151" s="824"/>
      <c r="H151" s="857"/>
      <c r="I151" s="814"/>
      <c r="J151" s="858"/>
      <c r="K151" s="843"/>
    </row>
    <row r="152" spans="1:11" ht="15">
      <c r="A152" s="196">
        <v>146</v>
      </c>
      <c r="B152" s="270"/>
      <c r="C152" s="271">
        <v>23</v>
      </c>
      <c r="D152" s="195" t="s">
        <v>164</v>
      </c>
      <c r="E152" s="203" t="s">
        <v>400</v>
      </c>
      <c r="F152" s="193"/>
      <c r="G152" s="827"/>
      <c r="H152" s="860">
        <v>6000</v>
      </c>
      <c r="I152" s="816">
        <v>-6000</v>
      </c>
      <c r="J152" s="858">
        <f>SUM(H152:I152)</f>
        <v>0</v>
      </c>
      <c r="K152" s="845"/>
    </row>
    <row r="153" spans="1:11" s="207" customFormat="1" ht="19.5" customHeight="1">
      <c r="A153" s="196">
        <v>147</v>
      </c>
      <c r="B153" s="270"/>
      <c r="C153" s="271"/>
      <c r="D153" s="209" t="s">
        <v>459</v>
      </c>
      <c r="E153" s="204"/>
      <c r="F153" s="192"/>
      <c r="G153" s="824"/>
      <c r="H153" s="857"/>
      <c r="I153" s="814"/>
      <c r="J153" s="858"/>
      <c r="K153" s="843"/>
    </row>
    <row r="154" spans="1:11" ht="15">
      <c r="A154" s="196">
        <v>148</v>
      </c>
      <c r="B154" s="270"/>
      <c r="C154" s="271">
        <v>24</v>
      </c>
      <c r="D154" s="195" t="s">
        <v>165</v>
      </c>
      <c r="E154" s="204" t="s">
        <v>400</v>
      </c>
      <c r="F154" s="515"/>
      <c r="G154" s="825"/>
      <c r="H154" s="862">
        <v>565</v>
      </c>
      <c r="I154" s="818">
        <v>-565</v>
      </c>
      <c r="J154" s="858">
        <f>SUM(H154:I154)</f>
        <v>0</v>
      </c>
      <c r="K154" s="845"/>
    </row>
    <row r="155" spans="1:11" ht="15">
      <c r="A155" s="196">
        <v>149</v>
      </c>
      <c r="B155" s="270"/>
      <c r="C155" s="271">
        <v>25</v>
      </c>
      <c r="D155" s="195" t="s">
        <v>184</v>
      </c>
      <c r="E155" s="204" t="s">
        <v>400</v>
      </c>
      <c r="F155" s="515"/>
      <c r="G155" s="825"/>
      <c r="H155" s="862">
        <v>488</v>
      </c>
      <c r="I155" s="818">
        <v>-488</v>
      </c>
      <c r="J155" s="858">
        <f>SUM(H155:I155)</f>
        <v>0</v>
      </c>
      <c r="K155" s="845"/>
    </row>
    <row r="156" spans="1:11" s="207" customFormat="1" ht="19.5" customHeight="1">
      <c r="A156" s="196">
        <v>150</v>
      </c>
      <c r="B156" s="270"/>
      <c r="C156" s="271"/>
      <c r="D156" s="209" t="s">
        <v>185</v>
      </c>
      <c r="E156" s="204"/>
      <c r="F156" s="192"/>
      <c r="G156" s="824"/>
      <c r="H156" s="857"/>
      <c r="I156" s="814"/>
      <c r="J156" s="858"/>
      <c r="K156" s="843"/>
    </row>
    <row r="157" spans="1:11" ht="15">
      <c r="A157" s="196">
        <v>151</v>
      </c>
      <c r="B157" s="270"/>
      <c r="C157" s="271">
        <v>26</v>
      </c>
      <c r="D157" s="533" t="s">
        <v>186</v>
      </c>
      <c r="E157" s="204" t="s">
        <v>400</v>
      </c>
      <c r="F157" s="534"/>
      <c r="G157" s="828"/>
      <c r="H157" s="869">
        <v>1500</v>
      </c>
      <c r="I157" s="820">
        <v>-1500</v>
      </c>
      <c r="J157" s="858">
        <f>SUM(H157:I157)</f>
        <v>0</v>
      </c>
      <c r="K157" s="845"/>
    </row>
    <row r="158" spans="1:11" s="207" customFormat="1" ht="19.5" customHeight="1">
      <c r="A158" s="196">
        <v>152</v>
      </c>
      <c r="B158" s="270"/>
      <c r="C158" s="271"/>
      <c r="D158" s="209" t="s">
        <v>1105</v>
      </c>
      <c r="E158" s="204"/>
      <c r="F158" s="192"/>
      <c r="G158" s="824"/>
      <c r="H158" s="857"/>
      <c r="I158" s="814"/>
      <c r="J158" s="858"/>
      <c r="K158" s="843"/>
    </row>
    <row r="159" spans="1:11" ht="30">
      <c r="A159" s="196">
        <v>153</v>
      </c>
      <c r="B159" s="270"/>
      <c r="C159" s="271">
        <v>27</v>
      </c>
      <c r="D159" s="195" t="s">
        <v>187</v>
      </c>
      <c r="E159" s="203" t="s">
        <v>400</v>
      </c>
      <c r="F159" s="192"/>
      <c r="G159" s="824"/>
      <c r="H159" s="857">
        <v>1065</v>
      </c>
      <c r="I159" s="814">
        <v>-1065</v>
      </c>
      <c r="J159" s="858">
        <f>SUM(H159:I159)</f>
        <v>0</v>
      </c>
      <c r="K159" s="843"/>
    </row>
    <row r="160" spans="1:11" ht="15">
      <c r="A160" s="196">
        <v>154</v>
      </c>
      <c r="B160" s="270"/>
      <c r="C160" s="271">
        <v>28</v>
      </c>
      <c r="D160" s="195" t="s">
        <v>188</v>
      </c>
      <c r="E160" s="204" t="s">
        <v>400</v>
      </c>
      <c r="F160" s="192"/>
      <c r="G160" s="824"/>
      <c r="H160" s="857">
        <v>1500</v>
      </c>
      <c r="I160" s="814">
        <v>-1500</v>
      </c>
      <c r="J160" s="858">
        <f>SUM(H160:I160)</f>
        <v>0</v>
      </c>
      <c r="K160" s="843"/>
    </row>
    <row r="161" spans="1:11" s="207" customFormat="1" ht="19.5" customHeight="1">
      <c r="A161" s="196">
        <v>155</v>
      </c>
      <c r="B161" s="270"/>
      <c r="C161" s="271"/>
      <c r="D161" s="209" t="s">
        <v>427</v>
      </c>
      <c r="E161" s="204"/>
      <c r="F161" s="192"/>
      <c r="G161" s="824"/>
      <c r="H161" s="857"/>
      <c r="I161" s="814"/>
      <c r="J161" s="858"/>
      <c r="K161" s="843"/>
    </row>
    <row r="162" spans="1:11" ht="15">
      <c r="A162" s="196">
        <v>156</v>
      </c>
      <c r="B162" s="270"/>
      <c r="C162" s="271">
        <v>29</v>
      </c>
      <c r="D162" s="195" t="s">
        <v>190</v>
      </c>
      <c r="E162" s="204" t="s">
        <v>400</v>
      </c>
      <c r="F162" s="515"/>
      <c r="G162" s="825"/>
      <c r="H162" s="862">
        <v>7600</v>
      </c>
      <c r="I162" s="818">
        <v>-7600</v>
      </c>
      <c r="J162" s="858">
        <f>SUM(H162:I162)</f>
        <v>0</v>
      </c>
      <c r="K162" s="845"/>
    </row>
    <row r="163" spans="1:11" ht="15">
      <c r="A163" s="196">
        <v>157</v>
      </c>
      <c r="B163" s="270"/>
      <c r="C163" s="271">
        <v>30</v>
      </c>
      <c r="D163" s="195" t="s">
        <v>191</v>
      </c>
      <c r="E163" s="203" t="s">
        <v>400</v>
      </c>
      <c r="F163" s="515"/>
      <c r="G163" s="825"/>
      <c r="H163" s="862">
        <v>7000</v>
      </c>
      <c r="I163" s="818">
        <v>-7000</v>
      </c>
      <c r="J163" s="858">
        <f>SUM(H163:I163)</f>
        <v>0</v>
      </c>
      <c r="K163" s="845"/>
    </row>
    <row r="164" spans="1:11" ht="15">
      <c r="A164" s="196">
        <v>158</v>
      </c>
      <c r="B164" s="270"/>
      <c r="C164" s="271">
        <v>31</v>
      </c>
      <c r="D164" s="195" t="s">
        <v>192</v>
      </c>
      <c r="E164" s="204" t="s">
        <v>400</v>
      </c>
      <c r="F164" s="515"/>
      <c r="G164" s="825"/>
      <c r="H164" s="862">
        <v>9350</v>
      </c>
      <c r="I164" s="818">
        <v>-9350</v>
      </c>
      <c r="J164" s="858">
        <f>SUM(H164:I164)</f>
        <v>0</v>
      </c>
      <c r="K164" s="845"/>
    </row>
    <row r="165" spans="1:11" s="207" customFormat="1" ht="19.5" customHeight="1">
      <c r="A165" s="196">
        <v>159</v>
      </c>
      <c r="B165" s="270"/>
      <c r="C165" s="271"/>
      <c r="D165" s="209" t="s">
        <v>426</v>
      </c>
      <c r="E165" s="204"/>
      <c r="F165" s="192"/>
      <c r="G165" s="824"/>
      <c r="H165" s="857"/>
      <c r="I165" s="814"/>
      <c r="J165" s="858"/>
      <c r="K165" s="843"/>
    </row>
    <row r="166" spans="1:11" ht="15">
      <c r="A166" s="196">
        <v>160</v>
      </c>
      <c r="B166" s="270"/>
      <c r="C166" s="271">
        <v>32</v>
      </c>
      <c r="D166" s="533" t="s">
        <v>193</v>
      </c>
      <c r="E166" s="203" t="s">
        <v>400</v>
      </c>
      <c r="F166" s="514"/>
      <c r="G166" s="830"/>
      <c r="H166" s="871">
        <v>1800</v>
      </c>
      <c r="I166" s="822">
        <v>-1800</v>
      </c>
      <c r="J166" s="858">
        <f>SUM(H166:I166)</f>
        <v>0</v>
      </c>
      <c r="K166" s="845"/>
    </row>
    <row r="167" spans="1:11" s="207" customFormat="1" ht="19.5" customHeight="1">
      <c r="A167" s="196">
        <v>161</v>
      </c>
      <c r="B167" s="270"/>
      <c r="C167" s="271"/>
      <c r="D167" s="209" t="s">
        <v>429</v>
      </c>
      <c r="E167" s="204"/>
      <c r="F167" s="192"/>
      <c r="G167" s="824"/>
      <c r="H167" s="857"/>
      <c r="I167" s="814"/>
      <c r="J167" s="858"/>
      <c r="K167" s="843"/>
    </row>
    <row r="168" spans="1:11" ht="15">
      <c r="A168" s="196">
        <v>162</v>
      </c>
      <c r="B168" s="270"/>
      <c r="C168" s="271">
        <v>33</v>
      </c>
      <c r="D168" s="533" t="s">
        <v>194</v>
      </c>
      <c r="E168" s="204" t="s">
        <v>400</v>
      </c>
      <c r="F168" s="514"/>
      <c r="G168" s="830"/>
      <c r="H168" s="871">
        <v>4500</v>
      </c>
      <c r="I168" s="822">
        <v>-4500</v>
      </c>
      <c r="J168" s="858">
        <f>SUM(H168:I168)</f>
        <v>0</v>
      </c>
      <c r="K168" s="845"/>
    </row>
    <row r="169" spans="1:11" s="207" customFormat="1" ht="19.5" customHeight="1">
      <c r="A169" s="196">
        <v>163</v>
      </c>
      <c r="B169" s="270"/>
      <c r="C169" s="271"/>
      <c r="D169" s="209" t="s">
        <v>432</v>
      </c>
      <c r="E169" s="204"/>
      <c r="F169" s="192"/>
      <c r="G169" s="824"/>
      <c r="H169" s="857"/>
      <c r="I169" s="814"/>
      <c r="J169" s="858"/>
      <c r="K169" s="843"/>
    </row>
    <row r="170" spans="1:11" ht="15">
      <c r="A170" s="196">
        <v>164</v>
      </c>
      <c r="B170" s="270"/>
      <c r="C170" s="271">
        <v>34</v>
      </c>
      <c r="D170" s="195" t="s">
        <v>197</v>
      </c>
      <c r="E170" s="204" t="s">
        <v>400</v>
      </c>
      <c r="F170" s="515"/>
      <c r="G170" s="825"/>
      <c r="H170" s="862">
        <v>5000</v>
      </c>
      <c r="I170" s="818">
        <v>-5000</v>
      </c>
      <c r="J170" s="858">
        <f>SUM(H170:I170)</f>
        <v>0</v>
      </c>
      <c r="K170" s="845"/>
    </row>
    <row r="171" spans="1:11" s="207" customFormat="1" ht="19.5" customHeight="1">
      <c r="A171" s="196">
        <v>165</v>
      </c>
      <c r="B171" s="270"/>
      <c r="C171" s="271"/>
      <c r="D171" s="209" t="s">
        <v>435</v>
      </c>
      <c r="E171" s="204"/>
      <c r="F171" s="192"/>
      <c r="G171" s="824"/>
      <c r="H171" s="857"/>
      <c r="I171" s="814"/>
      <c r="J171" s="858"/>
      <c r="K171" s="843"/>
    </row>
    <row r="172" spans="1:11" ht="15" customHeight="1">
      <c r="A172" s="196">
        <v>166</v>
      </c>
      <c r="B172" s="270"/>
      <c r="C172" s="271">
        <v>35</v>
      </c>
      <c r="D172" s="195" t="s">
        <v>198</v>
      </c>
      <c r="E172" s="203" t="s">
        <v>400</v>
      </c>
      <c r="F172" s="192"/>
      <c r="G172" s="824"/>
      <c r="H172" s="857">
        <v>2000</v>
      </c>
      <c r="I172" s="814">
        <v>-2000</v>
      </c>
      <c r="J172" s="858">
        <f>SUM(H172:I172)</f>
        <v>0</v>
      </c>
      <c r="K172" s="845"/>
    </row>
    <row r="173" spans="1:11" s="207" customFormat="1" ht="19.5" customHeight="1">
      <c r="A173" s="196">
        <v>167</v>
      </c>
      <c r="B173" s="270"/>
      <c r="C173" s="271"/>
      <c r="D173" s="209" t="s">
        <v>200</v>
      </c>
      <c r="E173" s="204"/>
      <c r="F173" s="192"/>
      <c r="G173" s="824"/>
      <c r="H173" s="857"/>
      <c r="I173" s="814"/>
      <c r="J173" s="858"/>
      <c r="K173" s="843"/>
    </row>
    <row r="174" spans="1:11" ht="30">
      <c r="A174" s="196">
        <v>168</v>
      </c>
      <c r="B174" s="270"/>
      <c r="C174" s="271">
        <v>36</v>
      </c>
      <c r="D174" s="195" t="s">
        <v>202</v>
      </c>
      <c r="E174" s="204" t="s">
        <v>400</v>
      </c>
      <c r="F174" s="192"/>
      <c r="G174" s="824"/>
      <c r="H174" s="857">
        <v>2000</v>
      </c>
      <c r="I174" s="814">
        <v>-2000</v>
      </c>
      <c r="J174" s="858">
        <f>SUM(H174:I174)</f>
        <v>0</v>
      </c>
      <c r="K174" s="845"/>
    </row>
    <row r="175" spans="1:11" s="207" customFormat="1" ht="19.5" customHeight="1">
      <c r="A175" s="196">
        <v>169</v>
      </c>
      <c r="B175" s="270"/>
      <c r="C175" s="271"/>
      <c r="D175" s="209" t="s">
        <v>450</v>
      </c>
      <c r="E175" s="204"/>
      <c r="F175" s="192"/>
      <c r="G175" s="824"/>
      <c r="H175" s="857"/>
      <c r="I175" s="814"/>
      <c r="J175" s="858"/>
      <c r="K175" s="843"/>
    </row>
    <row r="176" spans="1:11" ht="15">
      <c r="A176" s="196">
        <v>170</v>
      </c>
      <c r="B176" s="270"/>
      <c r="C176" s="271">
        <v>37</v>
      </c>
      <c r="D176" s="533" t="s">
        <v>203</v>
      </c>
      <c r="E176" s="204" t="s">
        <v>400</v>
      </c>
      <c r="F176" s="534"/>
      <c r="G176" s="828"/>
      <c r="H176" s="869">
        <v>5000</v>
      </c>
      <c r="I176" s="820">
        <v>-5000</v>
      </c>
      <c r="J176" s="858">
        <f>SUM(H176:I176)</f>
        <v>0</v>
      </c>
      <c r="K176" s="845"/>
    </row>
    <row r="177" spans="1:11" s="207" customFormat="1" ht="19.5" customHeight="1">
      <c r="A177" s="196">
        <v>171</v>
      </c>
      <c r="B177" s="270"/>
      <c r="C177" s="271"/>
      <c r="D177" s="209" t="s">
        <v>204</v>
      </c>
      <c r="E177" s="204"/>
      <c r="F177" s="192"/>
      <c r="G177" s="824"/>
      <c r="H177" s="857"/>
      <c r="I177" s="814"/>
      <c r="J177" s="858"/>
      <c r="K177" s="843"/>
    </row>
    <row r="178" spans="1:11" ht="15">
      <c r="A178" s="196">
        <v>172</v>
      </c>
      <c r="B178" s="270"/>
      <c r="C178" s="271">
        <v>38</v>
      </c>
      <c r="D178" s="195" t="s">
        <v>205</v>
      </c>
      <c r="E178" s="203" t="s">
        <v>400</v>
      </c>
      <c r="F178" s="515"/>
      <c r="G178" s="825"/>
      <c r="H178" s="862">
        <v>3500</v>
      </c>
      <c r="I178" s="818">
        <v>-3500</v>
      </c>
      <c r="J178" s="858">
        <f>SUM(H178:I178)</f>
        <v>0</v>
      </c>
      <c r="K178" s="845"/>
    </row>
    <row r="179" spans="1:11" s="207" customFormat="1" ht="19.5" customHeight="1">
      <c r="A179" s="196">
        <v>173</v>
      </c>
      <c r="B179" s="270"/>
      <c r="C179" s="271"/>
      <c r="D179" s="209" t="s">
        <v>206</v>
      </c>
      <c r="E179" s="204"/>
      <c r="F179" s="192"/>
      <c r="G179" s="824"/>
      <c r="H179" s="857"/>
      <c r="I179" s="814"/>
      <c r="J179" s="858"/>
      <c r="K179" s="843"/>
    </row>
    <row r="180" spans="1:11" s="207" customFormat="1" ht="19.5" customHeight="1">
      <c r="A180" s="196">
        <v>174</v>
      </c>
      <c r="B180" s="270"/>
      <c r="C180" s="271"/>
      <c r="D180" s="209" t="s">
        <v>207</v>
      </c>
      <c r="E180" s="204"/>
      <c r="F180" s="192"/>
      <c r="G180" s="824"/>
      <c r="H180" s="857"/>
      <c r="I180" s="814"/>
      <c r="J180" s="858"/>
      <c r="K180" s="843"/>
    </row>
    <row r="181" spans="1:11" ht="30">
      <c r="A181" s="196">
        <v>175</v>
      </c>
      <c r="B181" s="270"/>
      <c r="C181" s="271">
        <v>39</v>
      </c>
      <c r="D181" s="195" t="s">
        <v>208</v>
      </c>
      <c r="E181" s="203" t="s">
        <v>400</v>
      </c>
      <c r="F181" s="192"/>
      <c r="G181" s="824"/>
      <c r="H181" s="857">
        <v>9707</v>
      </c>
      <c r="I181" s="814">
        <v>-9707</v>
      </c>
      <c r="J181" s="858">
        <f>SUM(H181:I181)</f>
        <v>0</v>
      </c>
      <c r="K181" s="845"/>
    </row>
    <row r="182" spans="1:11" s="207" customFormat="1" ht="19.5" customHeight="1">
      <c r="A182" s="196">
        <v>176</v>
      </c>
      <c r="B182" s="270"/>
      <c r="C182" s="271"/>
      <c r="D182" s="209" t="s">
        <v>209</v>
      </c>
      <c r="E182" s="204"/>
      <c r="F182" s="192"/>
      <c r="G182" s="824"/>
      <c r="H182" s="857"/>
      <c r="I182" s="814"/>
      <c r="J182" s="858"/>
      <c r="K182" s="843"/>
    </row>
    <row r="183" spans="1:11" ht="30.75" thickBot="1">
      <c r="A183" s="196">
        <v>177</v>
      </c>
      <c r="B183" s="274"/>
      <c r="C183" s="275">
        <v>40</v>
      </c>
      <c r="D183" s="210" t="s">
        <v>210</v>
      </c>
      <c r="E183" s="531" t="s">
        <v>400</v>
      </c>
      <c r="F183" s="532"/>
      <c r="G183" s="826"/>
      <c r="H183" s="868">
        <v>3500</v>
      </c>
      <c r="I183" s="819">
        <v>-3500</v>
      </c>
      <c r="J183" s="858">
        <f>SUM(H183:I183)</f>
        <v>0</v>
      </c>
      <c r="K183" s="851"/>
    </row>
    <row r="184" spans="1:11" s="206" customFormat="1" ht="30" customHeight="1" thickBot="1" thickTop="1">
      <c r="A184" s="196">
        <v>178</v>
      </c>
      <c r="B184" s="272"/>
      <c r="C184" s="273"/>
      <c r="D184" s="1148" t="s">
        <v>491</v>
      </c>
      <c r="E184" s="211"/>
      <c r="F184" s="212">
        <f aca="true" t="shared" si="6" ref="F184:K184">SUM(F115:F183)</f>
        <v>0</v>
      </c>
      <c r="G184" s="808">
        <f t="shared" si="6"/>
        <v>0</v>
      </c>
      <c r="H184" s="863">
        <f t="shared" si="6"/>
        <v>216675</v>
      </c>
      <c r="I184" s="810">
        <f t="shared" si="6"/>
        <v>-216675</v>
      </c>
      <c r="J184" s="864">
        <f t="shared" si="6"/>
        <v>0</v>
      </c>
      <c r="K184" s="850">
        <f t="shared" si="6"/>
        <v>195000</v>
      </c>
    </row>
    <row r="185" spans="1:11" s="206" customFormat="1" ht="30" customHeight="1" thickBot="1" thickTop="1">
      <c r="A185" s="196">
        <v>179</v>
      </c>
      <c r="B185" s="276"/>
      <c r="C185" s="277"/>
      <c r="D185" s="1150" t="s">
        <v>492</v>
      </c>
      <c r="E185" s="213"/>
      <c r="F185" s="214">
        <f aca="true" t="shared" si="7" ref="F185:K185">SUM(F105,F113)+F184</f>
        <v>915652</v>
      </c>
      <c r="G185" s="809">
        <f t="shared" si="7"/>
        <v>49952</v>
      </c>
      <c r="H185" s="963">
        <f t="shared" si="7"/>
        <v>440290</v>
      </c>
      <c r="I185" s="964">
        <f t="shared" si="7"/>
        <v>220410</v>
      </c>
      <c r="J185" s="965">
        <f t="shared" si="7"/>
        <v>660700</v>
      </c>
      <c r="K185" s="852">
        <f t="shared" si="7"/>
        <v>205000</v>
      </c>
    </row>
    <row r="186" spans="1:11" s="207" customFormat="1" ht="30" customHeight="1">
      <c r="A186" s="201"/>
      <c r="B186" s="516" t="s">
        <v>402</v>
      </c>
      <c r="C186" s="535"/>
      <c r="D186" s="279"/>
      <c r="E186" s="199"/>
      <c r="F186" s="536"/>
      <c r="G186" s="536"/>
      <c r="H186" s="536"/>
      <c r="I186" s="823"/>
      <c r="J186" s="537"/>
      <c r="K186" s="536"/>
    </row>
    <row r="187" spans="2:4" ht="15">
      <c r="B187" s="517" t="s">
        <v>494</v>
      </c>
      <c r="C187" s="493"/>
      <c r="D187" s="502"/>
    </row>
    <row r="188" spans="2:4" ht="15">
      <c r="B188" s="517" t="s">
        <v>495</v>
      </c>
      <c r="C188" s="493"/>
      <c r="D188" s="502"/>
    </row>
  </sheetData>
  <sheetProtection/>
  <mergeCells count="4">
    <mergeCell ref="B1:D1"/>
    <mergeCell ref="B2:K2"/>
    <mergeCell ref="B3:K3"/>
    <mergeCell ref="H4:K4"/>
  </mergeCells>
  <printOptions horizontalCentered="1"/>
  <pageMargins left="0" right="0" top="0.7874015748031497" bottom="0.7874015748031497" header="0.5118110236220472" footer="0.5118110236220472"/>
  <pageSetup fitToHeight="3" fitToWidth="1" horizontalDpi="600" verticalDpi="600" orientation="portrait" paperSize="9" scale="55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bszabo</cp:lastModifiedBy>
  <cp:lastPrinted>2014-04-15T11:48:52Z</cp:lastPrinted>
  <dcterms:created xsi:type="dcterms:W3CDTF">2011-11-09T10:58:30Z</dcterms:created>
  <dcterms:modified xsi:type="dcterms:W3CDTF">2014-04-29T13:04:41Z</dcterms:modified>
  <cp:category/>
  <cp:version/>
  <cp:contentType/>
  <cp:contentStatus/>
</cp:coreProperties>
</file>