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65491" windowWidth="13365" windowHeight="10545" tabRatio="875" activeTab="0"/>
  </bookViews>
  <sheets>
    <sheet name="Összefoglaló" sheetId="1" r:id="rId1"/>
    <sheet name="1.Onbe" sheetId="2" r:id="rId2"/>
    <sheet name="2.Onki" sheetId="3" r:id="rId3"/>
    <sheet name="3.Inbe" sheetId="4" r:id="rId4"/>
    <sheet name="4.Inbe" sheetId="5" r:id="rId5"/>
    <sheet name="5.Inki" sheetId="6" r:id="rId6"/>
    <sheet name="6.Önk.műk." sheetId="7" r:id="rId7"/>
    <sheet name="7.Beruh." sheetId="8" r:id="rId8"/>
    <sheet name="8.Felúj." sheetId="9" r:id="rId9"/>
    <sheet name="9.Mérleg" sheetId="10" r:id="rId10"/>
    <sheet name="10.Létszám" sheetId="11" r:id="rId11"/>
    <sheet name="11.Hitel" sheetId="12" r:id="rId12"/>
    <sheet name="12.Felhalm.hitel" sheetId="13" r:id="rId13"/>
    <sheet name="13.képv" sheetId="14" r:id="rId14"/>
  </sheets>
  <externalReferences>
    <externalReference r:id="rId17"/>
  </externalReferences>
  <definedNames>
    <definedName name="_4._sz._sor_részletezése" localSheetId="10">#REF!</definedName>
    <definedName name="_4._sz._sor_részletezése" localSheetId="12">#REF!</definedName>
    <definedName name="_4._sz._sor_részletezése" localSheetId="4">#REF!</definedName>
    <definedName name="_4._sz._sor_részletezése">#REF!</definedName>
    <definedName name="_xlnm.Print_Titles" localSheetId="1">'1.Onbe'!$5:$7</definedName>
    <definedName name="_xlnm.Print_Titles" localSheetId="10">'10.Létszám'!$5:$5</definedName>
    <definedName name="_xlnm.Print_Titles" localSheetId="13">'13.képv'!$4:$7</definedName>
    <definedName name="_xlnm.Print_Titles" localSheetId="2">'2.Onki'!$5:$7</definedName>
    <definedName name="_xlnm.Print_Titles" localSheetId="3">'3.Inbe'!$4:$7</definedName>
    <definedName name="_xlnm.Print_Titles" localSheetId="4">'4.Inbe'!$4:$7</definedName>
    <definedName name="_xlnm.Print_Titles" localSheetId="5">'5.Inki'!$5:$8</definedName>
    <definedName name="_xlnm.Print_Titles" localSheetId="6">'6.Önk.műk.'!$3:$6</definedName>
    <definedName name="_xlnm.Print_Titles" localSheetId="7">'7.Beruh.'!$4:$7</definedName>
    <definedName name="_xlnm.Print_Titles" localSheetId="8">'8.Felúj.'!$4:$6</definedName>
    <definedName name="_xlnm.Print_Titles" localSheetId="0">'Összefoglaló'!$4:$6</definedName>
    <definedName name="_xlnm.Print_Area" localSheetId="1">'1.Onbe'!$A$1:$M$81</definedName>
    <definedName name="_xlnm.Print_Area" localSheetId="10">'10.Létszám'!$A$1:$H$39</definedName>
    <definedName name="_xlnm.Print_Area" localSheetId="12">'12.Felhalm.hitel'!$A$1:$E$39</definedName>
    <definedName name="_xlnm.Print_Area" localSheetId="13">'13.képv'!$A$1:$Q$59</definedName>
    <definedName name="_xlnm.Print_Area" localSheetId="2">'2.Onki'!$A$1:$M$44</definedName>
    <definedName name="_xlnm.Print_Area" localSheetId="3">'3.Inbe'!$A$1:$O$243</definedName>
    <definedName name="_xlnm.Print_Area" localSheetId="4">'4.Inbe'!$A$1:$I$38</definedName>
    <definedName name="_xlnm.Print_Area" localSheetId="5">'5.Inki'!$A$1:$Q$450</definedName>
    <definedName name="_xlnm.Print_Area" localSheetId="6">'6.Önk.műk.'!$A$1:$N$794</definedName>
    <definedName name="_xlnm.Print_Area" localSheetId="7">'7.Beruh.'!$A$1:$N$1590</definedName>
    <definedName name="_xlnm.Print_Area" localSheetId="8">'8.Felúj.'!$A$1:$L$137</definedName>
    <definedName name="_xlnm.Print_Area" localSheetId="9">'9.Mérleg'!$A$1:$H$32</definedName>
    <definedName name="_xlnm.Print_Area" localSheetId="0">'Összefoglaló'!$A$1:$E$235</definedName>
  </definedNames>
  <calcPr fullCalcOnLoad="1"/>
</workbook>
</file>

<file path=xl/sharedStrings.xml><?xml version="1.0" encoding="utf-8"?>
<sst xmlns="http://schemas.openxmlformats.org/spreadsheetml/2006/main" count="4854" uniqueCount="1299">
  <si>
    <t>Ipari Szakközépiskola és  Gimnázium</t>
  </si>
  <si>
    <t>Dohnányi E. Zeneművészeti Szakközépiskola és Diákotthon</t>
  </si>
  <si>
    <t>Veszprémi Zeneművészeti Szakközépiskola és Alaptokú Művészetoktatási Intézmény</t>
  </si>
  <si>
    <t>Ukrán Nemzetiségi Önkormányzat</t>
  </si>
  <si>
    <t>Kittenberger K. Növény- és Vadaspark KHT működéséhez hozzájárulás</t>
  </si>
  <si>
    <t>TDM Irodától szolgáltatás vásárlása</t>
  </si>
  <si>
    <t xml:space="preserve">          - Vivace</t>
  </si>
  <si>
    <t>Filharmónia koncertek támogatás</t>
  </si>
  <si>
    <t>Előir. csop. szám</t>
  </si>
  <si>
    <t>Kie-melt előir. szám</t>
  </si>
  <si>
    <t>Közhatalmi bevételek</t>
  </si>
  <si>
    <t>ÁROP-1.A.6-2013-2013-0050 Bízzunk az új nemzedékben</t>
  </si>
  <si>
    <t>2014. Európa parlamenti választások</t>
  </si>
  <si>
    <t>eltérés 32406 e ft. pénzmaradvány</t>
  </si>
  <si>
    <t>Iparűzési adó</t>
  </si>
  <si>
    <t>ÁFA befizetés</t>
  </si>
  <si>
    <t>Kölcsönök visszatérülése</t>
  </si>
  <si>
    <t>Önkormányzat (Vetési A. G. Természett.Labor)</t>
  </si>
  <si>
    <t>Likvid hitelfelvétel</t>
  </si>
  <si>
    <t>Helyi Önkormányzatok általános működéséhez és ágazati feladataihoz kapcsolódó támogatás</t>
  </si>
  <si>
    <t>Építményadó</t>
  </si>
  <si>
    <t>Idegenforgalmi adó</t>
  </si>
  <si>
    <t>Kommunális adó</t>
  </si>
  <si>
    <t>Telekadó</t>
  </si>
  <si>
    <t>Egyéb pótlékok, bírságok</t>
  </si>
  <si>
    <t>SZJA helyben maradó része</t>
  </si>
  <si>
    <t>Egyéb sajátos bevételek</t>
  </si>
  <si>
    <t xml:space="preserve">Helyi önkormányzatok működési támogatásai </t>
  </si>
  <si>
    <t>Egyéb működési célú támogatások</t>
  </si>
  <si>
    <t>Kabóca Bábszínház</t>
  </si>
  <si>
    <t>Igazgatás</t>
  </si>
  <si>
    <t>Befektetésösztönzési kiadványok (részvétel a Renexpo ingatlanfejlesztési vásáron, marketingakciók)</t>
  </si>
  <si>
    <t>Méz Rádió támogatása</t>
  </si>
  <si>
    <t>Intézményüzemeltetési szolgáltatások díja (karbantartók, portások bére)</t>
  </si>
  <si>
    <t>Működési célú átvett pénzeszköz</t>
  </si>
  <si>
    <t>Nemzeti ünnepek kiadásaira</t>
  </si>
  <si>
    <t xml:space="preserve">          - Gizella Napok</t>
  </si>
  <si>
    <t xml:space="preserve">          - Veszprémi Utcazene Fesztivál</t>
  </si>
  <si>
    <t>2013. évi tény</t>
  </si>
  <si>
    <t>DAT térképfrissítés, közműnyilvántartás</t>
  </si>
  <si>
    <t>Veszprémi Futball Club Utánpótlás Sportegyesület fejlesztéseihez hozzájárulás</t>
  </si>
  <si>
    <t>Kittenberger Kálmán Növény és Vadaskert Kft törzstőke emelés, tőketartalékba helyezés</t>
  </si>
  <si>
    <t>Veszprém TV Kft. törzstőke emelés és tőketartalékba helyezés</t>
  </si>
  <si>
    <t>Vezprémi Programiroda Kft. törzstőke-emelés, tőketartalékba helyezés</t>
  </si>
  <si>
    <t xml:space="preserve">Városi Művelődési Központ </t>
  </si>
  <si>
    <t>Haász István műalkotás</t>
  </si>
  <si>
    <t>Swing-Swing Kft. törzstőke emelés Hangvilla projekt, 5043/2. hrsz-ú ingatlan</t>
  </si>
  <si>
    <t>Csarnok Kft. törzstőkeemelés, tőketartalékba helyezés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</si>
  <si>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</si>
  <si>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</si>
  <si>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 xml:space="preserve">A veszprémi Hősi kapu rekonstrukciója turisztikai vonzerőfejlesztés céljából KDOP 2.1.1/B-09-2010-0024 </t>
  </si>
  <si>
    <t>Felújítási kiadások</t>
  </si>
  <si>
    <t>Játszóhelyek karbantartása</t>
  </si>
  <si>
    <t>Köztisztasági feladatok ellátására szolgáló speciális gép beszerzésére</t>
  </si>
  <si>
    <t>Vízgazd.szóló 1995. LVII.tv.16.§.Helyi Önk. szóló 1990. LXV.tv.8.§.(1),bek.alapján Árkok felújítása (Látóhegyi árok)</t>
  </si>
  <si>
    <t>Nyílászáró csere tornaterem</t>
  </si>
  <si>
    <t>Halle u. 5. Felnőtt fogorvosi ügyelet - felnőtt rendelő nyílászáró csere</t>
  </si>
  <si>
    <t>Járda, támfal építés</t>
  </si>
  <si>
    <t>Önkormányzati bérlakások felújítása</t>
  </si>
  <si>
    <t>Nemesvámos-Veszprém közötti kerékpárforgalmi út kiépítése KDOP 4.2.2-11-2011-0010</t>
  </si>
  <si>
    <t>Tüzér u. - Házgyári u. forgalomba helyezés meghosszabbítása</t>
  </si>
  <si>
    <t>Veszprém közösségi élettér létrehozása és közpark rendezése (Bakonyalja városrész)</t>
  </si>
  <si>
    <t>Gyalogátkelőhelyek kijelölése</t>
  </si>
  <si>
    <t>Karacs T. u. járdaépítés</t>
  </si>
  <si>
    <t>Járda, közvilágítás Magyar Nagyasszonyok Templom mögött</t>
  </si>
  <si>
    <t>Belterületi út fejlesztése</t>
  </si>
  <si>
    <t>Pápai u. - Jutasi u. belső körút szakasz</t>
  </si>
  <si>
    <t>Gyepmesteri telepre 3 db chipolvasó</t>
  </si>
  <si>
    <t>Veszprém Kazán - Sorompó u. járdatervezés, engedélyezés</t>
  </si>
  <si>
    <t>1. melléklet a ……/2014. (……) Önkormányzati rendelethez</t>
  </si>
  <si>
    <r>
      <t>Cholnoky Jenő Általános Iskola</t>
    </r>
    <r>
      <rPr>
        <sz val="10"/>
        <rFont val="Palatino Linotype"/>
        <family val="1"/>
      </rPr>
      <t xml:space="preserve"> - Gázkazán csere</t>
    </r>
  </si>
  <si>
    <r>
      <t>Városi Művelődési Központ</t>
    </r>
    <r>
      <rPr>
        <sz val="10"/>
        <rFont val="Palatino Linotype"/>
        <family val="1"/>
      </rPr>
      <t xml:space="preserve"> - Kádártai Közösségi Ház átépítése</t>
    </r>
  </si>
  <si>
    <t>Fenntartható városfejlesztés Veszprémben KDOP-3.1.1/E-13-002</t>
  </si>
  <si>
    <t>Rekultivációt megelőző telephely fenntartási költségek</t>
  </si>
  <si>
    <t>módosítás -</t>
  </si>
  <si>
    <t>Veszprém Város Vegyeskar utánpótlás</t>
  </si>
  <si>
    <t>Eseti rendezvények</t>
  </si>
  <si>
    <t>Közművelődési szolgált.</t>
  </si>
  <si>
    <t>Kiemelt művészeti együttesek tám.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</si>
  <si>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</si>
  <si>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</si>
  <si>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</si>
  <si>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</si>
  <si>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Rendsz. gyermekvéd. tám. (Kieg. csal. pótlék)</t>
  </si>
  <si>
    <t>Óvodáztatási támogatás</t>
  </si>
  <si>
    <t>Rendszeres szoc. segély</t>
  </si>
  <si>
    <t>Foglalkoztatást helyettesítő támogatás</t>
  </si>
  <si>
    <t>Lelkisegély szolgálat</t>
  </si>
  <si>
    <t>Közgyógyellátási igazolv.</t>
  </si>
  <si>
    <t>Szenvedélybetegek működési kiadása</t>
  </si>
  <si>
    <t>Lakásfenntartási támogatás</t>
  </si>
  <si>
    <t xml:space="preserve">Közcélú és közhasznú foglalkoztatás </t>
  </si>
  <si>
    <t>Adósságkezelés</t>
  </si>
  <si>
    <t>Máltai Szeretetszolgálatnak pénzeszköz átadás (ellátási szerződés)</t>
  </si>
  <si>
    <t>Veszprémi Kistérségi Társulásnak pénzeszköz átadás(Egyesített Szoc.)</t>
  </si>
  <si>
    <t>Családi ünnepek szervezése</t>
  </si>
  <si>
    <t>Oktatási szolgáltatás</t>
  </si>
  <si>
    <t>Munkavédelmi feladatok</t>
  </si>
  <si>
    <t>Verseny és élsport</t>
  </si>
  <si>
    <t>Sportpálya fenntartás, ill. fenntartói tám.</t>
  </si>
  <si>
    <t>Sportcélok és feladatok (sportigazgatás)</t>
  </si>
  <si>
    <t>Szabadidő- és diáksport</t>
  </si>
  <si>
    <t>Városi TV közszolgálati műsorok támogatása</t>
  </si>
  <si>
    <t>Településfejlesztési feladatok</t>
  </si>
  <si>
    <t>Közüzemi Zrt. által ellátott feladatok</t>
  </si>
  <si>
    <t>Települési hulladék</t>
  </si>
  <si>
    <t>Városgazdálkodási szolg.</t>
  </si>
  <si>
    <t>Közmű nyilvántartás</t>
  </si>
  <si>
    <t>Közvilágítás</t>
  </si>
  <si>
    <t>Díszkivilágítás törlesztés</t>
  </si>
  <si>
    <t>Közműalagút működtetése</t>
  </si>
  <si>
    <t>Közterület Felügyelet, gyepmesteri telep</t>
  </si>
  <si>
    <t>Városépítészeti feladatok</t>
  </si>
  <si>
    <t>Polgármesteri keret</t>
  </si>
  <si>
    <t>Hittudományi Főiskola támogatása</t>
  </si>
  <si>
    <t>Városi civil keret</t>
  </si>
  <si>
    <t xml:space="preserve"> - Normatíva elszámolás</t>
  </si>
  <si>
    <t xml:space="preserve"> - Pénzmaradványból képzett tartalék:átszervezéssel megszűnt int.pénzmaradványa</t>
  </si>
  <si>
    <t>Önkormányzatok felhalmozási célú támogatása - adósságkonszolidáció</t>
  </si>
  <si>
    <t>Beruházási kiadások</t>
  </si>
  <si>
    <t>Kulturális és közművelődési int. Összesen</t>
  </si>
  <si>
    <r>
      <t>Ebből</t>
    </r>
    <r>
      <rPr>
        <i/>
        <sz val="10"/>
        <rFont val="Palatino Linotype"/>
        <family val="1"/>
      </rPr>
      <t>: normatív állami támogatás</t>
    </r>
  </si>
  <si>
    <t>Ingatlanok értékesítése</t>
  </si>
  <si>
    <t>Önkormányzati Intézmények  működési célú támogatások Áht-on belülről</t>
  </si>
  <si>
    <t>Intézményi egyéb sajátos bevételek</t>
  </si>
  <si>
    <t>Önkormányzati Intézmények működési bevételek</t>
  </si>
  <si>
    <t>Önkormányzati Intézmények felhalmozási célú átvett pénzeszközök</t>
  </si>
  <si>
    <t>Önkormányzati Intézmények felhalmozási bevételei</t>
  </si>
  <si>
    <t>Önkormányzati Intézmények felhalmozási célú támogatások Áht-on belülről</t>
  </si>
  <si>
    <t>Önkormányzati Intézmények működési célú átvett pénzeszközök</t>
  </si>
  <si>
    <t>Egyéb közhatalmi bevételek (bírságok, igazgatási szolgáltatási díjak)</t>
  </si>
  <si>
    <t>Kopácsi utca irányában megcsúszott rézsű szakértői vizsgálat anyagának elkészítése</t>
  </si>
  <si>
    <t>ebből: Szolgáltatások ellenértéke</t>
  </si>
  <si>
    <t>ebből: Tulajdonosi bevételek</t>
  </si>
  <si>
    <t>Összesen</t>
  </si>
  <si>
    <t>adatok eFt-ban</t>
  </si>
  <si>
    <t>Megnevezés</t>
  </si>
  <si>
    <t>Összesen:</t>
  </si>
  <si>
    <t>Lakásalap</t>
  </si>
  <si>
    <t xml:space="preserve"> - Intézményi</t>
  </si>
  <si>
    <t xml:space="preserve">Cím  </t>
  </si>
  <si>
    <t>Általános tartalék</t>
  </si>
  <si>
    <t>Lakásalap kiadása</t>
  </si>
  <si>
    <t>Kiegyenlítő, függő, átfutó kiadások</t>
  </si>
  <si>
    <t xml:space="preserve"> - Hiteltörlesztés</t>
  </si>
  <si>
    <t xml:space="preserve"> - Lakásalap hiteltörlesztése</t>
  </si>
  <si>
    <t>A</t>
  </si>
  <si>
    <t>B</t>
  </si>
  <si>
    <t>C</t>
  </si>
  <si>
    <t>D</t>
  </si>
  <si>
    <t>E</t>
  </si>
  <si>
    <t>F</t>
  </si>
  <si>
    <t>G</t>
  </si>
  <si>
    <t>2014. évi előirányzat</t>
  </si>
  <si>
    <t>Veszprém TV Kft. Pályázathoz fejlesztési önrész</t>
  </si>
  <si>
    <t>Panaszkezelő online rendszer éves  jogdíja IBM</t>
  </si>
  <si>
    <t>6. melléklet a ……/2014. (……) Önkormányzati rendelethez</t>
  </si>
  <si>
    <t>Megszépül a Városom</t>
  </si>
  <si>
    <t xml:space="preserve">Veszprém- Csopak kerékpárút I. ütemének előkészítése. (tervezés) 201/2013. (VI.27.) Kh alapján 28.000 eFt </t>
  </si>
  <si>
    <t>Programiroda szolgáltatás vásárlás</t>
  </si>
  <si>
    <t>TÁMOP-3.2.1.12-12/1-2012-0037. Kulturális szakemberek továbbképzése</t>
  </si>
  <si>
    <t>TÁMOP-3.2.12-12/1-2012-0002. Virtualitás és többnyelvűség a megújuló múzeumpedagógiában</t>
  </si>
  <si>
    <t>Kulturális Kínálat bővítése</t>
  </si>
  <si>
    <t>Csapadékcsatornák üzemeltetési szolgáltatásai (eddig Bakonykarszt)</t>
  </si>
  <si>
    <t>Környezetvédelmi feladat (városüzemeltetés feladatai)</t>
  </si>
  <si>
    <t>Környezetvédelmi feladat (Közigazgatási Iroda feladatai)</t>
  </si>
  <si>
    <t>VKSZ Zrt. Intézményüzemeltetés járulékos költségei</t>
  </si>
  <si>
    <t>Nem lakáscélú helyiségek üzemeltetési költségei</t>
  </si>
  <si>
    <t>Bérlakások üzemeltetési költségeihez hozzájárulás</t>
  </si>
  <si>
    <t>Veszprém Város Közlekedésfejlesztéséért Közalapítvány támogatása (nyugdíjas bérletek)</t>
  </si>
  <si>
    <t>Peres ügyek, Kártérítési díjak kifizetése ingatlantulajdonosok részére</t>
  </si>
  <si>
    <t>Jutasi úti műfüves pálya fenntartása (LUC)</t>
  </si>
  <si>
    <t>Vertikális Közösségi Integrációs Program TÁMOP-5.3.6-11/1-2012-0004</t>
  </si>
  <si>
    <t>Óvodafejlesztés, az óvodapedagógia strukturális feltételrendszerének továbbfejlesztése TIOP-3.1.11-12/2-2012-0026</t>
  </si>
  <si>
    <t>ebből: Társadalombizt. Alapból származó támogatás</t>
  </si>
  <si>
    <t>Természettudományos közoktatatási laboratórium kialakítása a veszprémi Ipari Szakközépiskola és Gimnáziumban TÁMOP-3.1.3-11/2-2012-0061</t>
  </si>
  <si>
    <t>Kulturális szakemberek továbbképzése a szolgálatfejlesztés érdekében TÁMOP-3.2.12-12/1-2012-0021</t>
  </si>
  <si>
    <t>Működési bevételek</t>
  </si>
  <si>
    <t xml:space="preserve"> ebből: Roma Nemzetiségi Önkormányzat</t>
  </si>
  <si>
    <t xml:space="preserve"> ebből : - Nyugdíjas szervezetek számára pályázati keret</t>
  </si>
  <si>
    <t>Települési szilárdhulladék szállítás ártámogatás</t>
  </si>
  <si>
    <t>Pannon TISZK működtetése</t>
  </si>
  <si>
    <t>Művészetek Háza</t>
  </si>
  <si>
    <t>Kabóca Bábszínház és Gyermek Közművelődési Intézmény</t>
  </si>
  <si>
    <t>INTÉZMÉNYEK ÖSSZESEN:</t>
  </si>
  <si>
    <t>Nemzetközi kapcsolatok</t>
  </si>
  <si>
    <t>Városi rendezvények, kitüntetések</t>
  </si>
  <si>
    <t>Mihály-napi Búcsú</t>
  </si>
  <si>
    <t>Marketing tevékenység, marketing stratégia</t>
  </si>
  <si>
    <t>Felhalmozási bevételek</t>
  </si>
  <si>
    <t>Pénzügyi befektetések bevétele</t>
  </si>
  <si>
    <t>Tárgyi eszközök, immateriális javak értékesítése</t>
  </si>
  <si>
    <t>Önkormányzati sajátos felhalmozási és tőkebevételek</t>
  </si>
  <si>
    <t>Működési célú átvett pénzeszközök</t>
  </si>
  <si>
    <t>Felhalmozási célú átvett pénzeszközök</t>
  </si>
  <si>
    <t>Családsegítő és Gyermekjóléti Alapszolgáltatási Intézményfenntartó Társulás</t>
  </si>
  <si>
    <t>Költségvetési bevételek összesen</t>
  </si>
  <si>
    <t>2012. évi         tény</t>
  </si>
  <si>
    <t>2013. évi eredeti előirányzat</t>
  </si>
  <si>
    <t>2012. évi           tény</t>
  </si>
  <si>
    <t>(Csillagvár Waldorf Tagóvoda, Vadvirág Óvoda)</t>
  </si>
  <si>
    <t>(Hársfa Tagóvoda, Bóbita Óvoda)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</si>
  <si>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</si>
  <si>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</si>
  <si>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</si>
  <si>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</si>
  <si>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TÁMOP-3.2.4.A-11/1-2012-0035. Okt. kapcs. szövegért. fejl. pr. digitális írástudás jegyében</t>
  </si>
  <si>
    <t>2013-BAN ÁTALAKULÁS MIATT MEGSZŰNT INTÉZMÉNYEK ÖSSZESEN:</t>
  </si>
  <si>
    <t>Veszprém Megyei Jogú Város Önkormányzata Intézményeinek</t>
  </si>
  <si>
    <t>P</t>
  </si>
  <si>
    <t>2012. évi tény</t>
  </si>
  <si>
    <t xml:space="preserve">Egységben az erő! - Óvodafejlesztés Veszprémben TÁMOP-3.1.11.12/2-2012-0026 </t>
  </si>
  <si>
    <t xml:space="preserve">  - Civil -iroda működési költsége</t>
  </si>
  <si>
    <t xml:space="preserve">  - Pályázati keret</t>
  </si>
  <si>
    <t xml:space="preserve">  - Civil-díj, Civil nap költségei</t>
  </si>
  <si>
    <t xml:space="preserve"> - Ifjúsági információs feladatok</t>
  </si>
  <si>
    <t>TÁMOP-3.2.13.12/1-2012-0121. Tanórán kívüli nevelés, szakkörök és témahét megvalósítása</t>
  </si>
  <si>
    <t>TÁMOP-3.2.13-12/1-2012-0130. Történelmi, irodalmi, néprajzi értékeink nyomában</t>
  </si>
  <si>
    <t>TÁMOP-3.2.13-12/1. Ünnepek és hétköznapok a Bakonyi Házban</t>
  </si>
  <si>
    <t xml:space="preserve">előző évi pénzmaradvány </t>
  </si>
  <si>
    <t>TÁMOP 3.1.3.10/2-2010-0002 (Vetési A. Gimnázium Természettud. Labor)</t>
  </si>
  <si>
    <t>TIOP-1.1.1-07/1-2008-0986. számú Korszerű IKT eszközökkel a színvonalas oktatásért</t>
  </si>
  <si>
    <t>Vertikális közösségi Integrációs Program TÁMOP-5.3.6-11/1-2012-0004</t>
  </si>
  <si>
    <t>Egységben az erő! - Óvodafejlesztés Veszprémben          TÁMOP-3.1.11-12/2-2012-0026</t>
  </si>
  <si>
    <t>Kulturális szakemberek továbbképzése a szolgálat-fejlesztés érdekében TÁMOP-3.2.12-12/1-2012-0021</t>
  </si>
  <si>
    <t xml:space="preserve">Természettudományos közoktatási laboratórium kialakítása a veszprémi Ipari Szakközépiskola és Gimnáziumban TÁMOP-3.1.3-11/2-2012-0061      </t>
  </si>
  <si>
    <t>Rendőrségi körzeti megbízotti iroda kialakítására a Stromfeld u. 9.sz. alatti önkormányzati helyiségekben  vk.</t>
  </si>
  <si>
    <t>Göllesz Viktor Fogyatékos Személyek Nappali Intézmény</t>
  </si>
  <si>
    <t>Számítógép beszerzése a  Stromfeld A. u. 9. alatti KMB irodába - 2.vk.</t>
  </si>
  <si>
    <t>Csererdei út - adásvétel</t>
  </si>
  <si>
    <t>Mártírok útja 11. fűtéskorszerűsítése</t>
  </si>
  <si>
    <t>Veszprémi Tiszti Kaszinó Hagyományőrző Egyesület</t>
  </si>
  <si>
    <t>Veszprémi Szemle Közhasznú Alapítvány</t>
  </si>
  <si>
    <t xml:space="preserve">Veszprém Megyei Levéltár </t>
  </si>
  <si>
    <t>módosítás-</t>
  </si>
  <si>
    <t>Beruházási kiadások összesen:</t>
  </si>
  <si>
    <t>Fenntartható városfejlesztési programok előkészítése KDOP-3.1.1/E-13</t>
  </si>
  <si>
    <t>A gyermekvédelmi szolgáltatások fejlesztése Veszprémben TIOP-3.4.1.B-11/1-2012-0005</t>
  </si>
  <si>
    <t>Veszprém Város Intermodális pályaudvar kialakítása és kapcsolódó közösségi közlekedési fejlesztések KÖZOP-5.5.0-09-11</t>
  </si>
  <si>
    <t>TÁMOP-2.4.5-12/7-2012-0474 Rugalmas foglalkoztatási lehetőségek megvalósítása Veszprém Megyei Jogú Város Polgármesteri Hivatalában</t>
  </si>
  <si>
    <t>Rendkívüli gyermekvéd. tám.</t>
  </si>
  <si>
    <t>Átmeneti szoc. segély</t>
  </si>
  <si>
    <t>Polgárvédelem</t>
  </si>
  <si>
    <t>Közüzemi Zrt. jutaléka</t>
  </si>
  <si>
    <t>Szociális Alapítvány támogatása</t>
  </si>
  <si>
    <t>2012. évi pénzmaradvány</t>
  </si>
  <si>
    <t xml:space="preserve">Veszprémi Ifjúsági Közalapítvány </t>
  </si>
  <si>
    <t>Veszprém Városi TV Somody Séd film</t>
  </si>
  <si>
    <t>Fészekrakó program</t>
  </si>
  <si>
    <t>Veszprém város ösztöndíjasa</t>
  </si>
  <si>
    <t>Választókerületi keretből civil szervezetek támogatása</t>
  </si>
  <si>
    <t>Igazgatás - Állam felé befizetési kötelezettség</t>
  </si>
  <si>
    <t>Erdő- és mezőgazdasági feladatok</t>
  </si>
  <si>
    <t>Vagyonkezelői díj fizetése az MNV Zrt-nek a 6438/2, 6438/4. hrsz-ú ingatlanok után (Kolostorok és Kertek projekt)</t>
  </si>
  <si>
    <t>Balaton Volán fejlesztési támogatása</t>
  </si>
  <si>
    <t>INTENSE pályázat</t>
  </si>
  <si>
    <t>TIOP-1.1.1-07/1-2008-0986. sz.Korszerű IKT eszközökkel a színvonalas oktatásért</t>
  </si>
  <si>
    <t>TÁMOP 3.1.3.10/2-2010-0002 (Vetési G. Természettud.Labor)</t>
  </si>
  <si>
    <t>Forrás SQL fejlesztése</t>
  </si>
  <si>
    <t>"Ne Felejts" Közhasznú Alapítvány Gyulafirátót</t>
  </si>
  <si>
    <t>Kövirózsa Alapítvány Gyulafirátót</t>
  </si>
  <si>
    <t>Közösség Kádártáért Egyesület</t>
  </si>
  <si>
    <t>Ficánka Alapítvány Kádárta</t>
  </si>
  <si>
    <t>KEOP-6.1.0/A/11-2012-0114 "Zöld kisokos" projekt</t>
  </si>
  <si>
    <t>Fűtéskorszerűsítés Szociális Gondozási Központ</t>
  </si>
  <si>
    <t>Választókerületi keretből díjak, kitüntetések</t>
  </si>
  <si>
    <t>Média Szolgáltató</t>
  </si>
  <si>
    <t>Szennyvíz és Hulladék Társulás, Tűzoltóság</t>
  </si>
  <si>
    <t>Autómentes Nap</t>
  </si>
  <si>
    <t>Veszprémi Hősi Kapu Rekonstrukciója turisztikai vonzerő fejlesztés céljából KDOP-2.1.1/B-09-2011-0024.</t>
  </si>
  <si>
    <t>Műhelyház felújítása</t>
  </si>
  <si>
    <t>Műhelyház gépköltözés</t>
  </si>
  <si>
    <t>Vis Maior támogatás visszafizetése</t>
  </si>
  <si>
    <t>Mozgáskorl. közlekedési támogatása</t>
  </si>
  <si>
    <t>Bursa Hungarica</t>
  </si>
  <si>
    <t>Méhnyakrák elleni védőoltás</t>
  </si>
  <si>
    <t>2014. évi eredeti előirányzat</t>
  </si>
  <si>
    <t xml:space="preserve">Vadvirág Körzeti Óvoda </t>
  </si>
  <si>
    <t>Időskorúak járadéka (rendszeres szoc. segély)</t>
  </si>
  <si>
    <t>Ápolási díj</t>
  </si>
  <si>
    <t>Gyermektartásdíj megelőlegezése</t>
  </si>
  <si>
    <t>Otthonteremtési támogatás</t>
  </si>
  <si>
    <t>Gyermekvédelmi szakellátás (ellátási szerződés)</t>
  </si>
  <si>
    <t>Családi pótlék természetbeni juttatása</t>
  </si>
  <si>
    <t>Tótvázsony körjegyzőség - 2012. december havi bérkompenzációja</t>
  </si>
  <si>
    <t>Herendi Általános Iskola - 2012. december havi bérkompenzációja</t>
  </si>
  <si>
    <t>Magyar Államkincstár - 2012. évi normatív támogatás ellenőrzése</t>
  </si>
  <si>
    <t>Egységben az erő! - Óvodafejlesztés Veszprémben TÁMOP-3.1.11-12/2-2012-0026.</t>
  </si>
  <si>
    <t>Szociális városrehabilitáció Veszprémben KDOP-3.1.1/D2-13-k2-2013-0002</t>
  </si>
  <si>
    <t>ÁROP-1.A.5-2013-2013-0070. Szervezetfejlesztés a Veszprémi Önkormányzatnál</t>
  </si>
  <si>
    <t>Veszprém Megyei Jogú Város Egészségre nevelő és szemléletformáló programjai TÁMOP-6.1.2-11/1-2012-1626 pályázat előlege</t>
  </si>
  <si>
    <t>Civil szervezetek támogatása</t>
  </si>
  <si>
    <t>Időarányos normatíva átadása Kozmutza Flóra Óvoda, Ált. Iskola és Spec. Szakiskola és Kollégium és Medgyaszay István Szakképző Isk. részére</t>
  </si>
  <si>
    <t>Teljes költség</t>
  </si>
  <si>
    <t>2014. utáni javaslat</t>
  </si>
  <si>
    <t>Veszprém - Márkó - Bánd kerékpárút területét érintő településrendezési eszközök módosítása a 222/2013.(IX.13.) VMJVÖK határozatban foglaltak alapján</t>
  </si>
  <si>
    <t xml:space="preserve">Veszprém- Csopak kerékpárút I. területét érintő településrendezési eszközök módosítása a 266/2013.(X.31.)VMJVÖK határozatban foglaltak szerint </t>
  </si>
  <si>
    <t xml:space="preserve">Udvari játszóvár telepítéssel </t>
  </si>
  <si>
    <t>Bóbita Körzeti Óvoda (Bóbita Óvoda)</t>
  </si>
  <si>
    <t>145 l hűtőgép beszerzés</t>
  </si>
  <si>
    <t>porszívó 2 db.</t>
  </si>
  <si>
    <t>vasaló 2 db.</t>
  </si>
  <si>
    <t>robotgép 1 db.</t>
  </si>
  <si>
    <t>turmixgép 1 db.</t>
  </si>
  <si>
    <t>monitor 1 db.</t>
  </si>
  <si>
    <t>hűtő kombinált 1 db.</t>
  </si>
  <si>
    <t>nyomtató 1 db.</t>
  </si>
  <si>
    <t>Bóbita Körzati Óvoda (Hársfa Tagóvoda)</t>
  </si>
  <si>
    <t>190 l hűtő beszerzés</t>
  </si>
  <si>
    <t>Fénymásológép beszerzése</t>
  </si>
  <si>
    <t>porszívó 10 db.</t>
  </si>
  <si>
    <t>Ringató Körzeti Óvoda (Erdei Kuckó Tagóvodák)</t>
  </si>
  <si>
    <t>számítógép beszerzés</t>
  </si>
  <si>
    <t>Hűtőszekrény, csepegtető és konyhai robotgép beszerzés</t>
  </si>
  <si>
    <t>porszívó</t>
  </si>
  <si>
    <t>hűtőszekrény</t>
  </si>
  <si>
    <t>mosógép</t>
  </si>
  <si>
    <t>gáztűzhely</t>
  </si>
  <si>
    <t xml:space="preserve">Csillag úti Körzeti Óvoda </t>
  </si>
  <si>
    <t>mósógép 1 db.</t>
  </si>
  <si>
    <t>Csillag úti Körzeti Óvoda (Cholnoky Jenő  Tagóvod)</t>
  </si>
  <si>
    <t>Udvari mozgásfejlesztő eszközök beszerzése</t>
  </si>
  <si>
    <t>monitor beszerzés</t>
  </si>
  <si>
    <t>Katélykert Körzeti Óvoda (Ficánka Tagóvoda)</t>
  </si>
  <si>
    <t>Aspire V3-551G laptop beszerzés</t>
  </si>
  <si>
    <t>Fogászati ügyelet orvosi szék</t>
  </si>
  <si>
    <t>Napsugár Bölcsőde</t>
  </si>
  <si>
    <t>Fagyasztóláda</t>
  </si>
  <si>
    <t>Hóvirág Bölcsőde</t>
  </si>
  <si>
    <t>automata mosógép</t>
  </si>
  <si>
    <t>fagyasztószekrény</t>
  </si>
  <si>
    <t>Vackor Bölcsőde</t>
  </si>
  <si>
    <t>Módszertani Bölcsőde</t>
  </si>
  <si>
    <t>Udvari házikó</t>
  </si>
  <si>
    <t>Aprófalvi Bölcsőde</t>
  </si>
  <si>
    <t>Városi Művelődési Központ (Táborállás park 1.)</t>
  </si>
  <si>
    <t>Hang és videó rendszer kiépítése</t>
  </si>
  <si>
    <t>Kistelepülési könyvtári célú kiegészítő támogatásból eszközbeszerzés</t>
  </si>
  <si>
    <t>NKA pályázat - Bakonyi Ház Alpha pályázat - multimédiás fejlesztés, elektromos hálózat, fűtéscélú fejlesztés, kerítés, udvari kemence</t>
  </si>
  <si>
    <t>Kabóca Bábszínház és GYKI</t>
  </si>
  <si>
    <t xml:space="preserve"> 3 db Acer E1-571G-3311G75MNKS notebook</t>
  </si>
  <si>
    <t>14 db Senheiser EW513 G3 mikroport beszerzése</t>
  </si>
  <si>
    <t>20 db Mobil POS terminál</t>
  </si>
  <si>
    <t>Informatikai eszközbeszerzések</t>
  </si>
  <si>
    <t>Öltözőszekrények cseréjének folytatása</t>
  </si>
  <si>
    <t>Gázkazán csere</t>
  </si>
  <si>
    <t>Városi Művelődési Központ</t>
  </si>
  <si>
    <t>Halle utca 9/C. felnőtt rendelő akadálymentesítése</t>
  </si>
  <si>
    <t>Költségvetési egyenleg összege:</t>
  </si>
  <si>
    <t>Finanszírozási bevételek</t>
  </si>
  <si>
    <t>Működési célú Pénzmaradvány igénybevétele</t>
  </si>
  <si>
    <t>Intézmények</t>
  </si>
  <si>
    <t>Felhalmozási célú Pénzmaradvány igénybevétele</t>
  </si>
  <si>
    <t>Működési célú hitelfelvétel</t>
  </si>
  <si>
    <t>Beruházási hitelfelvétel</t>
  </si>
  <si>
    <t>Előző évi hitelszerződéseken alapuló felvétel</t>
  </si>
  <si>
    <t>Kiegyenlítő, függő, átfutó</t>
  </si>
  <si>
    <t>Bevételi főösszeg</t>
  </si>
  <si>
    <t>VMJV Polgármesteri Hivatala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</si>
  <si>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</si>
  <si>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</si>
  <si>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</si>
  <si>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</si>
  <si>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</si>
  <si>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Veszprémi Petőfi Színház</t>
  </si>
  <si>
    <t>VMJV Polgármesteri Hivatal</t>
  </si>
  <si>
    <t>Alsófokú oktatási intézmények összesen:</t>
  </si>
  <si>
    <t>Ipari Szakközépiskola és Gimnázium</t>
  </si>
  <si>
    <t>ISO 9001 minőségbiztosítás karbantartás</t>
  </si>
  <si>
    <t xml:space="preserve"> - Önkormányzat</t>
  </si>
  <si>
    <t xml:space="preserve"> - Beruházások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</si>
  <si>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</si>
  <si>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</si>
  <si>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</si>
  <si>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</si>
  <si>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</si>
  <si>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VMJV Önkormányzata és VMJV Polgármesteri Hiv.</t>
  </si>
  <si>
    <t>Foglalkoztatás eü. szolg.</t>
  </si>
  <si>
    <t>Városi Közbiztonság Keret</t>
  </si>
  <si>
    <t>Közbeszerzési eljárások költségei</t>
  </si>
  <si>
    <t>Többfunkciós csarnok szolgált. vásárlás</t>
  </si>
  <si>
    <t>ÖSSZEFOGLALÓ TÁBLA</t>
  </si>
  <si>
    <t>a bevételi és kiadási előirányzatok módosításáról</t>
  </si>
  <si>
    <t xml:space="preserve">                </t>
  </si>
  <si>
    <t>Költségvetési többlet/hiány összege</t>
  </si>
  <si>
    <t>BEVÉTELEK</t>
  </si>
  <si>
    <t>BEVÉTELEK ÖSSZESEN:</t>
  </si>
  <si>
    <t>KIADÁSOK</t>
  </si>
  <si>
    <t>Bevételi többlet és feladatok közötti átcsoportosítás összesen</t>
  </si>
  <si>
    <t xml:space="preserve">VMJV Egyesített Bölcsőde </t>
  </si>
  <si>
    <t>VMJV Önkormányzata működési kiadás összesen</t>
  </si>
  <si>
    <t xml:space="preserve">Felhalmozási kiadások </t>
  </si>
  <si>
    <t>Felhalmozási kiadások összesen:</t>
  </si>
  <si>
    <t>INTÉZMÉNYI KIADÁSOK</t>
  </si>
  <si>
    <t xml:space="preserve">VMJV Polgármesteri Hivatal </t>
  </si>
  <si>
    <t>Polgármesteri Hivatal működési költségvetés összesen:</t>
  </si>
  <si>
    <t>Választókerületi keret felosztása</t>
  </si>
  <si>
    <t>Választókerületi keret összesen</t>
  </si>
  <si>
    <t>Céltartalék összesen</t>
  </si>
  <si>
    <t>Kiadások összesen</t>
  </si>
  <si>
    <t>2014. évi bevételeinek módosítása</t>
  </si>
  <si>
    <t>2. melléklet a ……/2014. (……) Önkormányzati rendelethez</t>
  </si>
  <si>
    <t>2014. évi kiadásainak módosítása</t>
  </si>
  <si>
    <t>eredeti előirányzat</t>
  </si>
  <si>
    <t>módosított előirányzat</t>
  </si>
  <si>
    <t xml:space="preserve">módosítás - 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</si>
  <si>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</si>
  <si>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</si>
  <si>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</si>
  <si>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</si>
  <si>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</si>
  <si>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Vadvirág Körzeti Óvoda (Csillagvár Waldorf Tagóvoda, Vadvirág Óvoda)</t>
  </si>
  <si>
    <t>Igazgatási tevékenység</t>
  </si>
  <si>
    <t>Gondnokság</t>
  </si>
  <si>
    <t>Informatikai kiadások</t>
  </si>
  <si>
    <t>Temetők üzemeltetésével kapcsolatos feladatok</t>
  </si>
  <si>
    <t>Parkfenntartás</t>
  </si>
  <si>
    <t>Veszprém Megyei Jogú Város Önkormányzata Intézményei</t>
  </si>
  <si>
    <t>Alcím</t>
  </si>
  <si>
    <t>Vadvirág Körzeti Óvoda</t>
  </si>
  <si>
    <t>Bóbita Körzeti Óvoda</t>
  </si>
  <si>
    <t>Ringató Körzeti Óvoda</t>
  </si>
  <si>
    <t>Egry úti Körzeti Óvoda</t>
  </si>
  <si>
    <t>Informatikai szolgáltatások</t>
  </si>
  <si>
    <t>7.</t>
  </si>
  <si>
    <t>Csillag úti Körzeti Óvoda</t>
  </si>
  <si>
    <t>Kastélykert Körzeti Óvoda</t>
  </si>
  <si>
    <t>Költségvetési kiadások összesen</t>
  </si>
  <si>
    <t>Kertek és Kolostorok működtetése</t>
  </si>
  <si>
    <t>Városi kiemelt fesztiválok</t>
  </si>
  <si>
    <t>Városi lap kiadásai</t>
  </si>
  <si>
    <t>MINDÖSSZESEN:</t>
  </si>
  <si>
    <t>Kamatkiadások</t>
  </si>
  <si>
    <t>Telefonközpont</t>
  </si>
  <si>
    <t>Magas lábos, serpenyő</t>
  </si>
  <si>
    <t>Kerti játékok, udvari játékok</t>
  </si>
  <si>
    <t>Felmosó szett</t>
  </si>
  <si>
    <t>Iratmegsemmisítő, iratspirálozó</t>
  </si>
  <si>
    <t>Gépkocsi</t>
  </si>
  <si>
    <t>NKA pályázat - fúró-, csizsoló-,köszörű gépek és egyéb szerszámok</t>
  </si>
  <si>
    <t>lombfűrész, lombszívó, fűnyíró</t>
  </si>
  <si>
    <t>Hőmennyiségmérő - Erzsébet Sétány kiállítóhely</t>
  </si>
  <si>
    <t>Mobiltelefonok, asztali telefonok, lézer távmérő</t>
  </si>
  <si>
    <t>Felnőtt öltözőszekrény</t>
  </si>
  <si>
    <t>tornapad</t>
  </si>
  <si>
    <t>pelenkázószekrény 5 db.</t>
  </si>
  <si>
    <t>Szőnyeg 3 db.</t>
  </si>
  <si>
    <t>cipőspolc 3 db.</t>
  </si>
  <si>
    <t>PH laserjet</t>
  </si>
  <si>
    <t>CD lejátszó</t>
  </si>
  <si>
    <t>Stormfeld utcai parkoló építése, tervezése</t>
  </si>
  <si>
    <t>Fényképezőgép</t>
  </si>
  <si>
    <t>Tiltótáblák</t>
  </si>
  <si>
    <t>Kádárta orvosi rendelő járda felújítás, külső akadálymentesítés, babakocsi tároló</t>
  </si>
  <si>
    <t>Telefonközpont csere</t>
  </si>
  <si>
    <t>Aulich u. - Aradi u. csomópont végleges forgalomba helyezéséhez szükséges ingatlanrendezés</t>
  </si>
  <si>
    <t>Ford Tranzit lízing</t>
  </si>
  <si>
    <t>Monitor</t>
  </si>
  <si>
    <t>Irodai és egyéb felszerelésekIrodaszék (mobil telefon, video lejátszó, spirálózó gép, mikrohullámú sütő,mosogató)</t>
  </si>
  <si>
    <t>Bútorzat, székek, asztalok, babaház</t>
  </si>
  <si>
    <t>Veszprém Megyei Jogú Város Önkormányzata</t>
  </si>
  <si>
    <t>Egyéb   eszköz beszerzések</t>
  </si>
  <si>
    <t xml:space="preserve">Veszprém integrált településfejlesztés, belváros funkcióbővítő rehabilitációja I/B ütem </t>
  </si>
  <si>
    <t>1-17</t>
  </si>
  <si>
    <t>17-18</t>
  </si>
  <si>
    <t>18</t>
  </si>
  <si>
    <t>Veszprémi multifunkcionális közösségi központ kialakítása - AGÓRA Veszprém TIOP-1.2.1.A-12/1-2013-0001</t>
  </si>
  <si>
    <t>Észak-déli közlekedési főtengely kialakítása - Új gyűjtő út kiépítése Veszprémben KDOP-4.2.1/B-11-2012-0032.</t>
  </si>
  <si>
    <t>A gyermekvédelmi szolgáltatások fejlesztése Veszprémben TIOP-3.4.1.B-11/1-2012-0005.</t>
  </si>
  <si>
    <t>Szociális városrehabilitáció Veszprémben KDOP-3.1.1/D2-13-k2-2013-0002.</t>
  </si>
  <si>
    <t>Veszprém város intermodális pályaudvar kialakítás és kapcsolódó közösségi közlekedési fejlesztések (KÖZOP -5.5.0-09-11.)</t>
  </si>
  <si>
    <t>Térfigyelő rendszer bővítése  II. ütem</t>
  </si>
  <si>
    <t>„Hivatásforgalmi kerékpárút hálózat fejlesztése a térségi elérhetőség javításához a 8. sz. főközlekedési út tehermentesítése érdekében” KÖZOP-3.2.0/C-08-11-2012-0022</t>
  </si>
  <si>
    <t>nem elszámolható költség</t>
  </si>
  <si>
    <t>V á l a s z t ó k e r ü l e t</t>
  </si>
  <si>
    <t>Beruh.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</si>
  <si>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</si>
  <si>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</si>
  <si>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</si>
  <si>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</si>
  <si>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</si>
  <si>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</si>
  <si>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</si>
  <si>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</si>
  <si>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</si>
  <si>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</si>
  <si>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</si>
  <si>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</si>
  <si>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</si>
  <si>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</si>
  <si>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</si>
  <si>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</si>
  <si>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</si>
  <si>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</si>
  <si>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</si>
  <si>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</si>
  <si>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>eredeti ei. + pénzmaradvány</t>
  </si>
  <si>
    <t>módosítás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</si>
  <si>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</si>
  <si>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</si>
  <si>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</si>
  <si>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</si>
  <si>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</si>
  <si>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</si>
  <si>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</si>
  <si>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</si>
  <si>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A 2014. évi választókerületi alap megoszlása feladatonként</t>
  </si>
  <si>
    <t>Alsóvárosi temető I. világháborús kegyeleti emlékpark II. ütem</t>
  </si>
  <si>
    <t>Budapest út-Bajcsy Zs. u.-Mártírok útja-Brusznyai u. jelzőlámpás közl. csomópont körforgalmú csomóponttá történő átalakítása kiviteli- és közbeszerzési terveinek elkészítése</t>
  </si>
  <si>
    <t>Remete utcai híd átépítésének tervezése engedélyezése és kivitelezése</t>
  </si>
  <si>
    <t>Fenyves u.-Erdész u. közötti gyalogos átkötés kialakítása</t>
  </si>
  <si>
    <t>Játszótérépítések</t>
  </si>
  <si>
    <t>Varga u. - Kalmár tér parkoló építése</t>
  </si>
  <si>
    <t>Veszprém külterület 0231-8. hrsz-ú reptér melletti ingatlan tőrlesztő részlet</t>
  </si>
  <si>
    <t>Műhelyház céljára ingatlan vásárlása</t>
  </si>
  <si>
    <t>I.</t>
  </si>
  <si>
    <t>II.</t>
  </si>
  <si>
    <t>15 db Szoftver Office8-Win8</t>
  </si>
  <si>
    <t>28 db Takarító kocsi (2 vödrös)</t>
  </si>
  <si>
    <t>10 db Porszívó</t>
  </si>
  <si>
    <t>Szárítógép</t>
  </si>
  <si>
    <t>2 db hűtőszekrény</t>
  </si>
  <si>
    <t>2 db tálalókocsi</t>
  </si>
  <si>
    <t>Hűtőszekrény</t>
  </si>
  <si>
    <t>Színészház kazán javítás</t>
  </si>
  <si>
    <t>Pergola és kerti bútor 6. vk.</t>
  </si>
  <si>
    <t>Bakonyi Ház Alpha pályázat önrész</t>
  </si>
  <si>
    <t>ebből: ÁFA bevételek és visszatérülések</t>
  </si>
  <si>
    <t>NKA pályázat - Elektrotechnikai tárgyak vásárlása</t>
  </si>
  <si>
    <t>NKA pályázat - Gyűjtemény gyarapítás</t>
  </si>
  <si>
    <t>Intézményi költségvetési kiadások</t>
  </si>
  <si>
    <t>Veszprém MJV településrendezési eszközeinek átfogó felülvizsgálata a 48/2012.(II.24.) VMJVÖK határozatban foglaltak alapján</t>
  </si>
  <si>
    <t>Vámosi úti temető bővítése II. ütem</t>
  </si>
  <si>
    <t>Padok beszerzése, régi betonvázas padok lecserélése</t>
  </si>
  <si>
    <t>Méhes u. támfalépítés</t>
  </si>
  <si>
    <t>Közvilágítás bővítések</t>
  </si>
  <si>
    <t>Kertváros csapadékvízelvezetése, kivitelezés</t>
  </si>
  <si>
    <t xml:space="preserve">Erdőtervezés és telepítés </t>
  </si>
  <si>
    <t>Közterületen kivágott fák pótlása</t>
  </si>
  <si>
    <t>Járdák akadálymentesítése</t>
  </si>
  <si>
    <t xml:space="preserve">Utcanévtáblák </t>
  </si>
  <si>
    <t>Közműalagútban lévő közművezeték tartószerkezeteinek cseréje</t>
  </si>
  <si>
    <t>Mobil WC csatlakozások kiépítése</t>
  </si>
  <si>
    <t>Programiroda Kft. Törzstőke befizetés és emelés</t>
  </si>
  <si>
    <t>Lóczy u. 40. garázs elöntésének megszüntetése</t>
  </si>
  <si>
    <t>Haszkovó u. - Fecske u. csapadékvíz átkötés</t>
  </si>
  <si>
    <t>Kiskukta melletti játszótér kerítés építése</t>
  </si>
  <si>
    <t>Óváros tér rendezvény csatlakozó teljesítménybővítés</t>
  </si>
  <si>
    <t>Pápai u.-Jutasi u. belső krt mellékkötelezettségek</t>
  </si>
  <si>
    <t>Henger u. I.ütem</t>
  </si>
  <si>
    <t>Egry úti Körzeti Óvoda (Nárcisz Tagóvoda)</t>
  </si>
  <si>
    <t>VMJV EÜ. Alapellátási Intézmény</t>
  </si>
  <si>
    <t>Halle utca 5. felnőtt rendelő akadálymentesítése</t>
  </si>
  <si>
    <t>Önkormányzati beruházási kiadások összesen</t>
  </si>
  <si>
    <t>Vadvirág Körzeti Óvoda (Csillagvár Waldorf Tagóvoda)</t>
  </si>
  <si>
    <t>120 l bojler beszerzés</t>
  </si>
  <si>
    <t>3 db számítógép cseréje</t>
  </si>
  <si>
    <t>Takarítógép beszerzés</t>
  </si>
  <si>
    <t>Mosógép beszerzés</t>
  </si>
  <si>
    <t>150 db. gyerekágy</t>
  </si>
  <si>
    <t>5 db. gyerek fektető ágytároló</t>
  </si>
  <si>
    <t>60 db. gyerekszék</t>
  </si>
  <si>
    <t>5 db. gyerekasztal</t>
  </si>
  <si>
    <t>6 db. ételszállító kocsi</t>
  </si>
  <si>
    <t>CD-s magnó 3 db.</t>
  </si>
  <si>
    <t>150 l-es hűtőszekrény beszerzés</t>
  </si>
  <si>
    <t>Önkormányzati Intézmények működési célú támogatásai Áht-on belülről</t>
  </si>
  <si>
    <t>Önkormányzati Intézmények működési céltú átvett pénzeszközök</t>
  </si>
  <si>
    <t>Önkormányzati Intézmények működési bevétele</t>
  </si>
  <si>
    <t>Téli és Nyári Közfoglalkoztatottak létszáma</t>
  </si>
  <si>
    <t>Téli közfoglalkoztatottak létszáma</t>
  </si>
  <si>
    <t>közfoglalkoztatottak létszáma</t>
  </si>
  <si>
    <t>2014. Európa parlamenti képviselő választások</t>
  </si>
  <si>
    <t>10. melléklet a ……/2014. (……) Önkormányzati rendelethez</t>
  </si>
  <si>
    <t>módosított előirányzat 4.</t>
  </si>
  <si>
    <t>Fenntartható városfejlesztés Veszprémben KDOP-3.1.1/E-13-2013-0002.</t>
  </si>
  <si>
    <t>2014. évi engedélyezett létszám módosított (3)</t>
  </si>
  <si>
    <t>Super Cool Projector diavetítő beszerzés</t>
  </si>
  <si>
    <t>2 db Homokozó takaróponyva beszerzés</t>
  </si>
  <si>
    <t>Fogászati röntgen ólomkötény</t>
  </si>
  <si>
    <t>Ügyelet Otoskop</t>
  </si>
  <si>
    <t>4 db PC védőnőknek</t>
  </si>
  <si>
    <t>22 l hőlégsterilizáló fogászati ügyelet</t>
  </si>
  <si>
    <t>Veszprém MJV Egyesített Bölcsődéje</t>
  </si>
  <si>
    <t>Mikrobusz vásárlás</t>
  </si>
  <si>
    <t>14 db mikrofon a microportokhoz</t>
  </si>
  <si>
    <t>Ügyelői rendszer kialakítása</t>
  </si>
  <si>
    <t>Intézményi beruházási kiadások összesen</t>
  </si>
  <si>
    <t xml:space="preserve">Hulladéklerakó rekultivációja </t>
  </si>
  <si>
    <t>Csapadékvíz elvezetési problémák megoldása</t>
  </si>
  <si>
    <t>Holokauszt emlékmű</t>
  </si>
  <si>
    <t>Pulpitus</t>
  </si>
  <si>
    <t>Cholnoky Jenő Iskolai Alapítvány</t>
  </si>
  <si>
    <t>"Alapítvány a Magyar Műemléki Topográfia Támogatására"</t>
  </si>
  <si>
    <t xml:space="preserve">KEOP-2014-4.10.0/N Fotovoltaikus rendszerek kialakítása </t>
  </si>
  <si>
    <t>KEOP-2014-4.10.0/F Önkormányzatok és intézményeik épületenergetikei fejlesztése megújuló energiaforrás hasznosításával kombinálva a konvergencia régiókban</t>
  </si>
  <si>
    <t>Kossuth utcai kiegészítő info táblák</t>
  </si>
  <si>
    <t>Intézmények kétcsatornás tűzjelző rendszer kiépítése</t>
  </si>
  <si>
    <t>Kulturális szakemberek továbbképzése a szolgáltatásfejlesztés érdekében TÁMOP 3.2.12-12/1-2012-0021</t>
  </si>
  <si>
    <t>Családbarát pályázat CSP-CSBM-14-18811</t>
  </si>
  <si>
    <t>Játszóeszközök kopásból, elhasználódásból adódó felújítás</t>
  </si>
  <si>
    <t>Nagyfelületű útfelújítások</t>
  </si>
  <si>
    <t>Gyepmesteri telepen régi kenelek tetőcseréje, hátfal és válaszfal</t>
  </si>
  <si>
    <t>Elhasználódott labdapályák felújítása és balesetveszély elhárítás</t>
  </si>
  <si>
    <t>Aradi V. úti garázstelepi utak felújítása</t>
  </si>
  <si>
    <t>Toborzó u. 2. felújítás  lakásalap</t>
  </si>
  <si>
    <t xml:space="preserve">"Veszprém Virágváros" verseny </t>
  </si>
  <si>
    <t xml:space="preserve">Kertészeti felújítások    </t>
  </si>
  <si>
    <t>Járda, támfal  felújítás</t>
  </si>
  <si>
    <t>Veszprém Evangélikus óvodában (Veszprém, Aradi vértanúk útja 2/A) - 3 csoport elhelyezése</t>
  </si>
  <si>
    <t>Veszprém, Fecske u. 10 szám alatt betonyp épületben - 4 csoportos óvoda kialakítása</t>
  </si>
  <si>
    <t>Eötvös Károly Megyei Könyvtárban keletkezett vis maior károk helyreállítása</t>
  </si>
  <si>
    <t>Bakonyi ház tűzeset utáni helyreállítása /359/2013. (XII.19) határozat/</t>
  </si>
  <si>
    <t>Járási hivatal (Budapest út 3-5. sz.) előtti terület felújítása</t>
  </si>
  <si>
    <t>Szennyvíztisztító telep felújítása</t>
  </si>
  <si>
    <t>Védett sírok megőrzése</t>
  </si>
  <si>
    <t>Bejárati ajtó cseréje</t>
  </si>
  <si>
    <t xml:space="preserve">Terasz felújítás </t>
  </si>
  <si>
    <t>Bóbita Körzeti Óvoda (Hársfa Tagóvoda)</t>
  </si>
  <si>
    <t>WC blokk felújítás hátsó épületben</t>
  </si>
  <si>
    <t>Kémény külső felújítás</t>
  </si>
  <si>
    <t>Elektromos hálózat felújítása</t>
  </si>
  <si>
    <t>Terasz felújítás befejezése</t>
  </si>
  <si>
    <t>Nyílászáró csere utolsó ütem</t>
  </si>
  <si>
    <t>Csillag úti Körzeti Óvoda (Cholnoky ltp-i Tagóvoda)</t>
  </si>
  <si>
    <t>Lapostető szigetelésjavítás</t>
  </si>
  <si>
    <t>Statikai szakvélemény készítése a bejárat előtti tartópillér dőléséről</t>
  </si>
  <si>
    <t>Gazdasági terasz felújítása és ajtó cseréje</t>
  </si>
  <si>
    <t xml:space="preserve">Budapesti u. 9 rendelő </t>
  </si>
  <si>
    <t>Tető felújítás</t>
  </si>
  <si>
    <t>Jutasi u. 59. Gyermekorvosi rendelő</t>
  </si>
  <si>
    <t>Jutasi u. 59. Gyermekorvosi rendelő felülvilágító ablakcsere</t>
  </si>
  <si>
    <t>felülvilágító kupolák cseréje</t>
  </si>
  <si>
    <t>Halle u. 5/E. Felnőtt orvosi rendelő</t>
  </si>
  <si>
    <t>Rendelő komplett felújítása (vizesblokk, rendelő, váró: burkolat, szaniter, álmennyezet csere)</t>
  </si>
  <si>
    <t>Halle u. 9/C. felnőtt orvosi rendelő</t>
  </si>
  <si>
    <t>nyílászáró csere</t>
  </si>
  <si>
    <t>Március 15 .u. 4/B. Felnőtt orvosi rendelő</t>
  </si>
  <si>
    <t>Rendelő nyílászáró csere, befejező ütem</t>
  </si>
  <si>
    <t>VMJV Egyesített Bölcsődéje (Aprófalvi Bölcsőde)</t>
  </si>
  <si>
    <t>Szivattyú automatika pótlása</t>
  </si>
  <si>
    <t>Kittenberger Kálmán Növény és Vadaskert Kft. törzstőke emelés és tőketartalékba helyezés</t>
  </si>
  <si>
    <t>Kis és nagy hőközponti felújítási munkák</t>
  </si>
  <si>
    <t xml:space="preserve">Dózsavárosi könyvtár  </t>
  </si>
  <si>
    <t>Villámvédelmi rendszer felújítása</t>
  </si>
  <si>
    <t>Főépület, "B" épület felöli oldal tetőrész csatornát burkoló lambéria csere, csatornázás javítás</t>
  </si>
  <si>
    <t>Gondnokság: tető lambériázás</t>
  </si>
  <si>
    <t>Általános iskolák</t>
  </si>
  <si>
    <t>Nyílászáró és panel csere (aula, étterem) II. ütem</t>
  </si>
  <si>
    <t>Nyílászáró csere (K-i oldalon I. ütem)</t>
  </si>
  <si>
    <t>Burkolat felújítás aulában</t>
  </si>
  <si>
    <t>Nyílászáró csere konyha étkezőnél</t>
  </si>
  <si>
    <t xml:space="preserve">Beruházási kiadások </t>
  </si>
  <si>
    <t>Veszprém Virágváros verseny</t>
  </si>
  <si>
    <t>"A" épület konyha lapostető szigetelés</t>
  </si>
  <si>
    <t>Bárczi Gusztáv Általános Iskola</t>
  </si>
  <si>
    <t>Nyílászáró csere (Gasztroker)</t>
  </si>
  <si>
    <t>Támfal javítás</t>
  </si>
  <si>
    <t>Vizesblokkok felújítása (1 db)</t>
  </si>
  <si>
    <t>Nemenkénti zuhanyzó kialakítása tornatermi öltözőben</t>
  </si>
  <si>
    <t>Szakértői vélemény tornaterem épületszárny süllyedésére és helyreállítás</t>
  </si>
  <si>
    <t>Híradó épület DNY-i homlokzatnál szennyvízvezeték felújítás</t>
  </si>
  <si>
    <t>Nyílászárók és falelem csere</t>
  </si>
  <si>
    <t>Középiskolai Kollégium</t>
  </si>
  <si>
    <t>"A" épület wc fürdő felújítás I.ütem</t>
  </si>
  <si>
    <t>Középfokú Nevelési Központ</t>
  </si>
  <si>
    <t>Iskola épület</t>
  </si>
  <si>
    <t>Villámvédelmi rendszer felújítása iskola, tanműhely, csarnok, uszoda</t>
  </si>
  <si>
    <t xml:space="preserve">Uszoda </t>
  </si>
  <si>
    <t>Uszoda földszinti női zuhanyozó felújítás a felette lévő fiú zuhanyozó szig-vel</t>
  </si>
  <si>
    <t>Önkormányzati felújítási kiadások összesen</t>
  </si>
  <si>
    <t>Színpad padozat csere borovi fenyőből</t>
  </si>
  <si>
    <t>Teher lift teljes felújítás</t>
  </si>
  <si>
    <t>Főépület, fűtési rendszer alagsori felszálló ágak kiváltása</t>
  </si>
  <si>
    <t>VESZPRÉM MEGYEI JOGÚ VÁROS ÖNKORMÁNYZATÁNAK MŰKÖDÉSI ÉS FELHALMOZÁSI</t>
  </si>
  <si>
    <t>KÖLTSÉGVETÉSI BEVÉTELEI ÉS KIADÁSAI 2014. ÉVBEN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</si>
  <si>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</si>
  <si>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</si>
  <si>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</si>
  <si>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</si>
  <si>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4.</t>
  </si>
  <si>
    <t>Ellátottak pénzbeli juttatásai</t>
  </si>
  <si>
    <t>5.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</si>
  <si>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</si>
  <si>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</si>
  <si>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</si>
  <si>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</si>
  <si>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</si>
  <si>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</si>
  <si>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</si>
  <si>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</si>
  <si>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Felhalmozási célú tartalék</t>
  </si>
  <si>
    <t>konyhai szeletelő, vasaló 2 db.</t>
  </si>
  <si>
    <t>Porszívó</t>
  </si>
  <si>
    <t>Rúdmixer</t>
  </si>
  <si>
    <t>Bőrfotel</t>
  </si>
  <si>
    <t>Polifoam</t>
  </si>
  <si>
    <t>Egyéni fejlesztést szolgáló eszközü, SNI-s gyermek fejlesztéséhez tükör</t>
  </si>
  <si>
    <t>Logopédiai alapkészlet</t>
  </si>
  <si>
    <t xml:space="preserve">módosítás- </t>
  </si>
  <si>
    <t>Excelltel CDX-CS208 - telefonközpont</t>
  </si>
  <si>
    <t>Élősarok állvány</t>
  </si>
  <si>
    <t>Diavetítő</t>
  </si>
  <si>
    <t>Hallásvizsgáló és hallókészülék tesztelő készülék, vezetékes vagy vezeték nélküli egyéni ill. csop. Adó-vevő készülék</t>
  </si>
  <si>
    <t xml:space="preserve">Szőnyegek </t>
  </si>
  <si>
    <t xml:space="preserve">Kültéri játszóeszköz </t>
  </si>
  <si>
    <t>Kerti asztalok és padok</t>
  </si>
  <si>
    <t>Gyermek játszóházak kültéri</t>
  </si>
  <si>
    <t>Gumitéglák</t>
  </si>
  <si>
    <t>Varrógép</t>
  </si>
  <si>
    <t xml:space="preserve">Számítógép </t>
  </si>
  <si>
    <t>konyhai szeletelő 1 db., vasaló</t>
  </si>
  <si>
    <t>Szerszámok - fúró-csavarhúzó, tűzőgép, lámpa</t>
  </si>
  <si>
    <t>Felmosó kocsi vödörrel 5 db.</t>
  </si>
  <si>
    <t xml:space="preserve">Szőnyeg </t>
  </si>
  <si>
    <t>Hinta állvánnyal, gumitéglával</t>
  </si>
  <si>
    <t>Játékok, társasjátékok pótlása</t>
  </si>
  <si>
    <t>2 db. tároló polc csoportszobákba</t>
  </si>
  <si>
    <t>Játékok pótlása</t>
  </si>
  <si>
    <t>Elektromos minitűzhely</t>
  </si>
  <si>
    <t>Irodai székek</t>
  </si>
  <si>
    <t>Mobiltelefon 4 db.</t>
  </si>
  <si>
    <t>Kerti asztal 3 db.</t>
  </si>
  <si>
    <t>Udvari játszóeszköz - rugós játék 2 db.</t>
  </si>
  <si>
    <t>módosított előirányat 4.</t>
  </si>
  <si>
    <t>Udvari játszóeszköz-Hunyadi bővített kombinált játszóvár</t>
  </si>
  <si>
    <t>Többfunkciós gyermek játszóház</t>
  </si>
  <si>
    <t xml:space="preserve">Ütéscsillapító burkolat </t>
  </si>
  <si>
    <t>Udvari játszóeszköz-Katica kétpályás hintaállvány</t>
  </si>
  <si>
    <t>Vasaló 4 db.</t>
  </si>
  <si>
    <t>Hangszóró</t>
  </si>
  <si>
    <t>Mikrosütő</t>
  </si>
  <si>
    <t>Virágláda 2 db.</t>
  </si>
  <si>
    <t>Pecsenyetál 8 db.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</si>
  <si>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</si>
  <si>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</si>
  <si>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</si>
  <si>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</si>
  <si>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</si>
  <si>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</si>
  <si>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Költségvetési maradvány, vállalkozási maradvány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</si>
  <si>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</si>
  <si>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</si>
  <si>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</si>
  <si>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</si>
  <si>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</si>
  <si>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</si>
  <si>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</si>
  <si>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</si>
  <si>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</si>
  <si>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</si>
  <si>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</si>
  <si>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</si>
  <si>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</si>
  <si>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</si>
  <si>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Rendszámfelismerő alapszoftver beszerzése (Városi Rendőrkapitányság részére történő használatba adásra) 2., 3., 4., 5., 9. vk.</t>
  </si>
  <si>
    <t>Pöltenberg utcai játszótér fejlesztésre - 2. vk.</t>
  </si>
  <si>
    <t>Pergola építése és kerti bútor telepítése a pergola alá (Haszkovó u. 16. elé) 4. vk.</t>
  </si>
  <si>
    <t>Homokozó létesítése a választókerületben - 11. vk.</t>
  </si>
  <si>
    <t>Szeletelőgép</t>
  </si>
  <si>
    <t>Udvari játékok beszerzése - 4. vk.</t>
  </si>
  <si>
    <t>Udvari játszóeszközök korszerűsítésére - 10. vk.</t>
  </si>
  <si>
    <t>Szekrény készítésére - 9. vk.</t>
  </si>
  <si>
    <t>Intézményi felújítási kiadások összesen</t>
  </si>
  <si>
    <t>Ebből:</t>
  </si>
  <si>
    <t>Önkormányzat által önként vállalt feladatokat ellátó intézmények összesen</t>
  </si>
  <si>
    <t>VMJV Polgármesteri Hivatal által ellátott kötelező és államigazgatási feladatok összesen</t>
  </si>
  <si>
    <t xml:space="preserve">          - Tánc Fesztivál </t>
  </si>
  <si>
    <t>Á</t>
  </si>
  <si>
    <t>Önkormányzati segély</t>
  </si>
  <si>
    <t>Köztemetés</t>
  </si>
  <si>
    <t>Központi orvosi ügyelet (önkormányzatok hozzájárulása)</t>
  </si>
  <si>
    <t>Önkormányzat igazgatási tevékenysége (megbízási díjak, tagdíjak)</t>
  </si>
  <si>
    <t>Intézményüzemeltetéssel kapcsolatos kiadások</t>
  </si>
  <si>
    <t xml:space="preserve">Kéményseprési tevékenység támogatása </t>
  </si>
  <si>
    <t xml:space="preserve">Balaton Volán Zrt. helyi közösségi közlekedés közszolgáltatás és veszteségkiegyenlítés </t>
  </si>
  <si>
    <t>Fenntartható városfejlesztési programok előkészítése KDOP-3.1.1/E-13.</t>
  </si>
  <si>
    <t>Ebből: Önkormányzat által ellátott kötelező feladatok összesen:</t>
  </si>
  <si>
    <t>Ebből: Önkormányzat által ellátott önként vállalt feladatok összesen:</t>
  </si>
  <si>
    <t>Á= Állami (államigazgatási) feladatok</t>
  </si>
  <si>
    <t>Társadalmi tudatformálási kampányok (mobilitási hét, "Te Szedd", kerékpárral munkába)</t>
  </si>
  <si>
    <t>Ebből: Önkormányzat által ellátott állami (államigazgatási) feladatok összesen:</t>
  </si>
  <si>
    <t>7. melléklet a ……/2014. (……) Önkormányzati rendelethez</t>
  </si>
  <si>
    <t>4. melléklet a ……/2014. (……) Önkormányzati rendelethez</t>
  </si>
  <si>
    <t>5. melléklet a ……/2014. (……) Önkormányzati rendelethez</t>
  </si>
  <si>
    <t>Polgármesteri Hivatal összesen:</t>
  </si>
  <si>
    <t xml:space="preserve">KDOP-3.1.1/D2-13-k2-2013-0002. Szociális Városrehabilitáció Veszprémben </t>
  </si>
  <si>
    <t>Bevételek összesen</t>
  </si>
  <si>
    <t>Önkormányzati kötelező feladatokat ellátó intézmények összesen</t>
  </si>
  <si>
    <t>Veszprém Megyei Jogú Város Önkormányzatának</t>
  </si>
  <si>
    <t>Cím</t>
  </si>
  <si>
    <t>1.</t>
  </si>
  <si>
    <t>2.</t>
  </si>
  <si>
    <t>3.</t>
  </si>
  <si>
    <t>Gépjárműadó</t>
  </si>
  <si>
    <t>Illetékek</t>
  </si>
  <si>
    <t>Kulturális és közművelődési int. összesen</t>
  </si>
  <si>
    <t>INTÉZMÉNYEK ÖSSZESEN</t>
  </si>
  <si>
    <t>VMJV Polgármesteri Hivatal összesen</t>
  </si>
  <si>
    <t>NK</t>
  </si>
  <si>
    <t>Feladatellátás jellege*</t>
  </si>
  <si>
    <t>* Feladatellátás jellege:</t>
  </si>
  <si>
    <t>8.</t>
  </si>
  <si>
    <t>11.</t>
  </si>
  <si>
    <t>12.</t>
  </si>
  <si>
    <t>Működési célú központosított előirányzatok</t>
  </si>
  <si>
    <t xml:space="preserve"> - Egyéb felhalmozási célú kiadások</t>
  </si>
  <si>
    <t>Működési finanszírozási kiadások</t>
  </si>
  <si>
    <t>Felhalmozási finanszírozási kiadások</t>
  </si>
  <si>
    <t>Egyéb felhalmozási célú kiadások</t>
  </si>
  <si>
    <t>Helyi önkormányzatok kiegészítő támogatásai</t>
  </si>
  <si>
    <t>Műk.célú visszatér.tám. kölcs. visszatérülése, igénybevétele</t>
  </si>
  <si>
    <t>Egyéb működési célú támogatások bevételei</t>
  </si>
  <si>
    <t>Önkormányzatok működési támogatásai</t>
  </si>
  <si>
    <t>Önkormányzatok felhalmozási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</si>
  <si>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</si>
  <si>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</si>
  <si>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</si>
  <si>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Működési hitelfelvétel</t>
  </si>
  <si>
    <t>Óvodák összesen:</t>
  </si>
  <si>
    <t>Kossuth Lajos Általános Iskola</t>
  </si>
  <si>
    <t>Cholnoky Jenő Általános Iskola</t>
  </si>
  <si>
    <t>Báthory István Általános Iskola</t>
  </si>
  <si>
    <t>Deák Ferenc Általános Iskola</t>
  </si>
  <si>
    <t>Szökőkutak, ivókutak szolgáltatási díjai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</si>
  <si>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</si>
  <si>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</si>
  <si>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</si>
  <si>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</si>
  <si>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</si>
  <si>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</si>
  <si>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</si>
  <si>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</si>
  <si>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</si>
  <si>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VMJV Eü. Alapellátási Intézmény</t>
  </si>
  <si>
    <t>Felúj. és karbantartás</t>
  </si>
  <si>
    <t>VMJV Egyesített Bölcsődéje</t>
  </si>
  <si>
    <t>Egészségügyi és szoc. int. összesen: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</si>
  <si>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</si>
  <si>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</si>
  <si>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</si>
  <si>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</si>
  <si>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</si>
  <si>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</si>
  <si>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</si>
  <si>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</si>
  <si>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</si>
  <si>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</si>
  <si>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</si>
  <si>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</si>
  <si>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</si>
  <si>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Intézményi Szolgáltató Szervezet</t>
  </si>
  <si>
    <t>Eötvös Károly Megyei Könyvtár</t>
  </si>
  <si>
    <t>Laczkó Dezső Múzeum</t>
  </si>
  <si>
    <t>Göllesz Viktor Fogyatékos Személyek Nappali Intézménye</t>
  </si>
  <si>
    <t>VMJV Polgármesteri Hivatal által ellátott kötelező és önként vállalt feladatok</t>
  </si>
  <si>
    <t>Veszprémi Zeneművészeti Szakközépiskola és Alapfokú Művészetoktatási Intézmény</t>
  </si>
  <si>
    <t>Közcélú és közhasznú foglalkoztatás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</si>
  <si>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</si>
  <si>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</si>
  <si>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</si>
  <si>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</si>
  <si>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</si>
  <si>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</si>
  <si>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</si>
  <si>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</si>
  <si>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</si>
  <si>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</si>
  <si>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Intézmények összesen:</t>
  </si>
  <si>
    <t>Személyi juttatások</t>
  </si>
  <si>
    <t>Dologi kiadások</t>
  </si>
  <si>
    <t>Egyéb működési kiadások</t>
  </si>
  <si>
    <t>Felhalmozási célú átvett pénzeszköz</t>
  </si>
  <si>
    <t>Módosítás</t>
  </si>
  <si>
    <t>Petőfi Színház</t>
  </si>
  <si>
    <t>O</t>
  </si>
  <si>
    <t>Beruházási kiadásokra képzett céltartalék összesen:</t>
  </si>
  <si>
    <t>Önkormányzati beruházási kiadások</t>
  </si>
  <si>
    <t>Intézményi beruházási kiadások</t>
  </si>
  <si>
    <t>Önkormányzati felújítási kiadások</t>
  </si>
  <si>
    <t>Intézményi felújítási kiadások</t>
  </si>
  <si>
    <t>Felújítási kiadásokra képzett céltartalék összesen:</t>
  </si>
  <si>
    <t>Ipari pórszívó</t>
  </si>
  <si>
    <t>Felújítási kiadások mindösszesen:</t>
  </si>
  <si>
    <t>Viola köz rekonstrukció I. ütem</t>
  </si>
  <si>
    <t>K= Magyarország helyi önkormányzatairól szóló 2011. évi CLXXXIX. törvény 13. § (1) bekezdése szerinti kötelező feladatok</t>
  </si>
  <si>
    <t>NK= Önkormányzat által önként vállalt feladatok</t>
  </si>
  <si>
    <t>Ellátottak pénzbeli. juttatásai</t>
  </si>
  <si>
    <t>Működési költségvetési kiadások</t>
  </si>
  <si>
    <t>Felújítási kiadások összesen: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</si>
  <si>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</si>
  <si>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</si>
  <si>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</si>
  <si>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</si>
  <si>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</si>
  <si>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</si>
  <si>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3. melléklet a ……/2014. (……) Önkormányzati rendelethez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</si>
  <si>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</si>
  <si>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</si>
  <si>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</si>
  <si>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</si>
  <si>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</si>
  <si>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</si>
  <si>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Cholnoky szobor</t>
  </si>
  <si>
    <t>Köztéri szobrok, emléktáblák, lektorátus</t>
  </si>
  <si>
    <t>Kiadványok, folyóiratok támogatása</t>
  </si>
  <si>
    <t>Hulladéklerakó utógondozása</t>
  </si>
  <si>
    <t>Aluljárók csapadékvíz átemelőinek üzemeltetése</t>
  </si>
  <si>
    <t>VMJV Egészségügyi Alapellátási Intézmény</t>
  </si>
  <si>
    <t>Árkok felújítása (Látóhegyi árok) III. ütem</t>
  </si>
  <si>
    <t>Göllesz Viktor Fogyatékos Személyek Nappali Intézmények</t>
  </si>
  <si>
    <t>H</t>
  </si>
  <si>
    <t>I</t>
  </si>
  <si>
    <t>VMJV Önkormányzata</t>
  </si>
  <si>
    <t>ebből: - Veszprémi Ünnepi Játékok</t>
  </si>
  <si>
    <t>Turisztikai feladatok Gizella Múzeum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</si>
  <si>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</si>
  <si>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</si>
  <si>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</si>
  <si>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</si>
  <si>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</si>
  <si>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</si>
  <si>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</si>
  <si>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</si>
  <si>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2014. évi országgyűlési képviselő választások</t>
  </si>
  <si>
    <t>8. melléklet a ……/2014. (……) Önkormányzati rendelethez</t>
  </si>
  <si>
    <t>9. melléklet az .../2014. (…...) önkormányzati rendelethez</t>
  </si>
  <si>
    <t>Cserhát ltp-i központi orvosi ügyelet felújítása, átalakítása házi orvosi rendelőkké</t>
  </si>
  <si>
    <t>Deák F. utcai forgalom csillapítás kivitelezése - 10. vk.</t>
  </si>
  <si>
    <r>
      <t>Báthory István Általános Iskola</t>
    </r>
    <r>
      <rPr>
        <sz val="10"/>
        <rFont val="Palatino Linotype"/>
        <family val="1"/>
      </rPr>
      <t xml:space="preserve"> - Sporteszközök 3.vk.</t>
    </r>
  </si>
  <si>
    <r>
      <t>H. Botev Általános Iskola</t>
    </r>
    <r>
      <rPr>
        <sz val="10"/>
        <rFont val="Palatino Linotype"/>
        <family val="1"/>
      </rPr>
      <t xml:space="preserve"> - Iskolabútorok 8., 9. vk.</t>
    </r>
  </si>
  <si>
    <r>
      <t>Rózsa úti Általános Iskola</t>
    </r>
    <r>
      <rPr>
        <sz val="10"/>
        <rFont val="Palatino Linotype"/>
        <family val="1"/>
      </rPr>
      <t xml:space="preserve"> - Iskolabútorok 8. vk.</t>
    </r>
  </si>
  <si>
    <t>Játékok beszerzése - 7.  vk.</t>
  </si>
  <si>
    <t>Intézményi működési költségvetési kiadások összesen:</t>
  </si>
  <si>
    <t>Belső átalakítás</t>
  </si>
  <si>
    <t>2014. évi engedélyezett létszám eredeti</t>
  </si>
  <si>
    <t>1 db. Sennheiser touring rack</t>
  </si>
  <si>
    <t>pénztárgép</t>
  </si>
  <si>
    <t>Számítógépek, szoftverek</t>
  </si>
  <si>
    <t>módosított előriányzat 3.</t>
  </si>
  <si>
    <t>Simonyi Zsigmond Általános Iskola</t>
  </si>
  <si>
    <t>Járdajavítás  Egry J. u. 7-9 között - 9. sz.vk.</t>
  </si>
  <si>
    <t>Játszóeszközök beszerzése - 6, 8, 10, 12 sz.vk.</t>
  </si>
  <si>
    <t>Köztisztasági feladatok ellátására szolgáló speciális gép beszerzése</t>
  </si>
  <si>
    <t>Szabadság tér 15. Adóhivatal ügyfélszolgálat kialakítása</t>
  </si>
  <si>
    <t>KIMUTATÁS</t>
  </si>
  <si>
    <t>a 2014. évi engedélyezett létszámról</t>
  </si>
  <si>
    <t>Megjegyzés</t>
  </si>
  <si>
    <t>Városi Művelődési Központ és Könyvtár</t>
  </si>
  <si>
    <t>2014. évi saját bevételei</t>
  </si>
  <si>
    <t>2014. évi módosított előirányzat</t>
  </si>
  <si>
    <t>VMJV Egészségügyi Alapellátás</t>
  </si>
  <si>
    <t>Veszprémi Futball Club Utánpótlás Sportegyesület fejleszéseihez hozzájárulás</t>
  </si>
  <si>
    <t>2014. évi önkormányzati és nemzetiségi önkormányzati képviselők választása</t>
  </si>
  <si>
    <r>
      <t>Csoportszobai berendezés</t>
    </r>
    <r>
      <rPr>
        <sz val="8"/>
        <rFont val="Palatino Linotype"/>
        <family val="1"/>
      </rPr>
      <t xml:space="preserve"> (ágy, gyerekszék, gyerekasztal mozgássérültnek)</t>
    </r>
  </si>
  <si>
    <t>módosítás - összevezetés</t>
  </si>
  <si>
    <t>2014. évi módosított 5.</t>
  </si>
  <si>
    <t>módosított előirányzat 5.</t>
  </si>
  <si>
    <t>2014. évi engedélyezett létszám módosított (4)</t>
  </si>
  <si>
    <t>Önkormányzatok felhalmozási célú támogatásai</t>
  </si>
  <si>
    <t>Egyéb felhalmozási célú bevétel</t>
  </si>
  <si>
    <t>Pénzügyi Bizottság döntése alapján</t>
  </si>
  <si>
    <t>I. Világháborús Centenáriumi Emlékezés költségei</t>
  </si>
  <si>
    <t>Informatikai hálózat újratelepítése</t>
  </si>
  <si>
    <t>Konyhai mosogatógép</t>
  </si>
  <si>
    <t>Pendrivok</t>
  </si>
  <si>
    <t>számítógép, laptop, nyomtató</t>
  </si>
  <si>
    <t>ételszállító badella, polcok</t>
  </si>
  <si>
    <t>Laptop, office program, számítógép</t>
  </si>
  <si>
    <t>módosítás-átcsoportosítás</t>
  </si>
  <si>
    <t>Gyógyszeres szekrény</t>
  </si>
  <si>
    <t>Mobiltelefonok</t>
  </si>
  <si>
    <t>Babaház, udvari játék</t>
  </si>
  <si>
    <t>Szintetizátor</t>
  </si>
  <si>
    <t>mikrohullámú sütő</t>
  </si>
  <si>
    <t>Amerikai Kuckó - szőnyeg, tároló szekrény</t>
  </si>
  <si>
    <t>Amerikai Kuckó - számítógépek, Ipad, szoftver</t>
  </si>
  <si>
    <t>Amerikai Kuckó - másológép, árnyékoló berendezés</t>
  </si>
  <si>
    <t>Iratmegsemmisítő</t>
  </si>
  <si>
    <t>Philips mini hifi rendszer, hordozható hifi</t>
  </si>
  <si>
    <t>Konyhai gépek ( dagasztógép, szeletelőgép, ipari konzervnyitó, mérleg)</t>
  </si>
  <si>
    <t>Szennytaszító damaszt, kéztörlő</t>
  </si>
  <si>
    <t>Tartós játékok ( legó,dupló)</t>
  </si>
  <si>
    <t>Dombornyomó prés, kivágás, szélmintázó</t>
  </si>
  <si>
    <t xml:space="preserve">Mikrohullámú sütő </t>
  </si>
  <si>
    <t>Fénymásoló</t>
  </si>
  <si>
    <t>Homokozó-tetővel</t>
  </si>
  <si>
    <t>Konyhai szeletelő</t>
  </si>
  <si>
    <t>Vasalók</t>
  </si>
  <si>
    <t>Irodaszékek</t>
  </si>
  <si>
    <t>Lamináló gép</t>
  </si>
  <si>
    <t>Bojler</t>
  </si>
  <si>
    <t>Turmixgép, robotgép</t>
  </si>
  <si>
    <t>monitor</t>
  </si>
  <si>
    <t>Számítógép konfiguráció, ruter, winschester</t>
  </si>
  <si>
    <t>Ipari lábtörlő 4 db.</t>
  </si>
  <si>
    <t>számológép 2db.</t>
  </si>
  <si>
    <t>Fax készülék, szünetmentes tápegység</t>
  </si>
  <si>
    <t>Vezeték nélküli telefon, mobil telefon 2.db.</t>
  </si>
  <si>
    <t>Számológép 3 db.</t>
  </si>
  <si>
    <t>Ipari lábtörlő 5 db.</t>
  </si>
  <si>
    <t>Felmosó kocsi 2 db.</t>
  </si>
  <si>
    <t>Gumitéglák (udvari játszóeszközök korsz.) - 10.vk.</t>
  </si>
  <si>
    <t>módosítás -átcsoportosítás</t>
  </si>
  <si>
    <t>Laptop, monitor</t>
  </si>
  <si>
    <t>Mikro hifi 4 db.</t>
  </si>
  <si>
    <t>Építő és konstrukciós játékok 8 db.</t>
  </si>
  <si>
    <t>Mikrohullámú sütő 2 db.</t>
  </si>
  <si>
    <t>porszívó 4 db.</t>
  </si>
  <si>
    <t>Vasaló 1 db., vasalódeszka 2 db.</t>
  </si>
  <si>
    <t>Asztal 3 db.</t>
  </si>
  <si>
    <t>módosított előriányzat 5.</t>
  </si>
  <si>
    <t>Laminálógép, iratmegsemmisítő,spirálózógép</t>
  </si>
  <si>
    <t>Asztal</t>
  </si>
  <si>
    <t>Építő- és konstrukciós játék 8 db.</t>
  </si>
  <si>
    <t>porszívó 7 db.</t>
  </si>
  <si>
    <t>vasaló 4 db., vasalódeszka 2 db.</t>
  </si>
  <si>
    <t>mosógép 2 db.</t>
  </si>
  <si>
    <t>Projektor, laptop</t>
  </si>
  <si>
    <t>Mikro hifi 6 db.</t>
  </si>
  <si>
    <t>Mikrohullámú sütő 2db., kávéfőző 1db.</t>
  </si>
  <si>
    <t>Felsőörsi raktárbázis felújítása</t>
  </si>
  <si>
    <t>Illemhelyek (férfi/női) felújítása</t>
  </si>
  <si>
    <t>Interaktív vártörténeti kiállítás 3D plasztika, LCD kijelzők, monitorok</t>
  </si>
  <si>
    <t>Előtér átalakítás</t>
  </si>
  <si>
    <t>Foglalkoztató helyiség felújítása</t>
  </si>
  <si>
    <t>On-line pénztárgépek beszerzése</t>
  </si>
  <si>
    <t>Számítógép, szoftver</t>
  </si>
  <si>
    <t>Mikroszkópok, elszívók restaurátori munkához</t>
  </si>
  <si>
    <t>módosíott előirányzat 5.</t>
  </si>
  <si>
    <t>Fotóberendezések beszerzése (reflektorok, fényképezőgép, kártya)</t>
  </si>
  <si>
    <t>Régészeti berendezések, felszerelése</t>
  </si>
  <si>
    <t>CD lejátszók</t>
  </si>
  <si>
    <t>Nevelői székek</t>
  </si>
  <si>
    <t>Mosógép</t>
  </si>
  <si>
    <t>porszívók</t>
  </si>
  <si>
    <t>átcsoportosítás padbeszerzésre</t>
  </si>
  <si>
    <t>Közfoglalkoztatottak létszáma</t>
  </si>
  <si>
    <t>Informatika - Mikrovoks rendszer felújítása</t>
  </si>
  <si>
    <t>Mosógép, vasaló, ruhaszárító állvány, informatikai eszközök</t>
  </si>
  <si>
    <t>Városépítészeti feladatok - tablet</t>
  </si>
  <si>
    <t>6 db. Mikroport-mikrofon</t>
  </si>
  <si>
    <t>Vis maior, egyéb felhalmozási támogatás</t>
  </si>
  <si>
    <t>módosítás - bérkompenzáció</t>
  </si>
  <si>
    <t>automata mosógép 2 db.</t>
  </si>
  <si>
    <t>Salgó polcok</t>
  </si>
  <si>
    <t>módosítás - bevételből</t>
  </si>
  <si>
    <t>Szerszámok - szúrüfűrész, fúrócsavarozó, nyomtató, szőnyeg</t>
  </si>
  <si>
    <t>9.</t>
  </si>
  <si>
    <t>10.</t>
  </si>
  <si>
    <t>Swing-Swing Kft. Szolgáltatás vásárlás</t>
  </si>
  <si>
    <t>Ingatlanhasznosítással összefüggő hatósági és igazgatási díjak (Földhivatali eljárások)</t>
  </si>
  <si>
    <t>Természettudományos közoktatási laboratórium kialakítása a veszprémi Ipari Szakközépiskola és Gimnáziumban TÁMOP-3.1.3-11/2-2012-0061</t>
  </si>
  <si>
    <t>Gyulafirátótért Közhasznú Egyesület</t>
  </si>
  <si>
    <t>Gyulafirátóti Német Nemzetiségi Egyesület</t>
  </si>
  <si>
    <t>Szennyvíz elvezető és tisztító víziközmű rendszer vagyonértékelése</t>
  </si>
  <si>
    <t>Március 15. utcai int. Komplexum vízhálózat rekonstrukció</t>
  </si>
  <si>
    <t>Támfal statikai szakvélemény, tervezés kivitelezés</t>
  </si>
  <si>
    <t xml:space="preserve"> Pavilon bölcsődei célra történő átalakítása</t>
  </si>
  <si>
    <t>Kolostorok és Kertek villamos mérőhely áthelyezés</t>
  </si>
  <si>
    <t>Tereprendezés Török Ignác u. 7. ill. Erzsébet sétány 1.</t>
  </si>
  <si>
    <t>2014. december hó</t>
  </si>
  <si>
    <t>2014. évi bevételeinek módosítása - 2014. december hó</t>
  </si>
  <si>
    <t>Önkormányzati feladatok és egyéb kötelezettségek 2014. évi működési költségvetési kiadásainak módosítása - 2014. december hó</t>
  </si>
  <si>
    <t>2014. évi beruházások és egyéb felhalmozási kiadások módosítása - 2014. december hó</t>
  </si>
  <si>
    <t>2014. évi felújítási kiadások módosítása - 2014. december hó</t>
  </si>
  <si>
    <t>2014. évi módosított 6.</t>
  </si>
  <si>
    <t>módosított előirányzat 6.</t>
  </si>
  <si>
    <t xml:space="preserve">módosítás -  </t>
  </si>
  <si>
    <t>módosítás -  működési kiadásokra</t>
  </si>
  <si>
    <t>Mobil garázs, átmeneti raktározás megoldása (hajókonténer)</t>
  </si>
  <si>
    <t>Bérkompenzáció (október hónap)</t>
  </si>
  <si>
    <t>bérkompenzáció (október)</t>
  </si>
  <si>
    <t>bérkompenzáci (október) Egyesített Szociális Intézménynek</t>
  </si>
  <si>
    <t>módosítás - bérkompenzáció október</t>
  </si>
  <si>
    <t>Prémium évek</t>
  </si>
  <si>
    <t>Egyes szociális feladatok támogatása</t>
  </si>
  <si>
    <t>Eötvös Károly Megyei Könyvtárban keletkezett vis maior károk helyreállításának támogatása</t>
  </si>
  <si>
    <t>Állam felé befizetési kötelezettség</t>
  </si>
  <si>
    <t>módosítás - gyermekétkeztetésre megítélt támogatás</t>
  </si>
  <si>
    <t>módosítás - átcsoportosítás</t>
  </si>
  <si>
    <t>2014. évi szociális nyári gyermekétkeztetésre megítélt utólagos támogatás</t>
  </si>
  <si>
    <t>módosítás - átcsoportosítás önkormányzati feladatokra</t>
  </si>
  <si>
    <t>átcsoportosítás önkormányzati feladatokra</t>
  </si>
  <si>
    <t>Egységben az erő! - Óvodafejlesztés Veszprémben TÁMOP-3.1.11-12/2-2012-0026</t>
  </si>
  <si>
    <t>módosítás - átcsoportosítás intézményekhez</t>
  </si>
  <si>
    <t>átcsoportosítás önkormányzati feladatokról</t>
  </si>
  <si>
    <t>átcsoportosítás</t>
  </si>
  <si>
    <t>módosítás - átcsoportosítás beruházási kiadásokra</t>
  </si>
  <si>
    <t xml:space="preserve">módosítás - átcsoportosítás </t>
  </si>
  <si>
    <t>átcsoportosítás személyi kiadásokról</t>
  </si>
  <si>
    <t>dologi kiadásokra</t>
  </si>
  <si>
    <t>átcsoportosítás dologi kiadásokról</t>
  </si>
  <si>
    <t>módosítás - átcsoportosítás felhalmozási kiadásokra</t>
  </si>
  <si>
    <t>módosítás - biztosító kártérítése</t>
  </si>
  <si>
    <t>Raktármérleg</t>
  </si>
  <si>
    <t>átcsoportosítás felhalmozási kiadásokra</t>
  </si>
  <si>
    <t>biztosító kártérítéséből - jelzőlámpás csomópontok villámcsapás miatti meghibásodás helyreállításának költsége</t>
  </si>
  <si>
    <t>Signál Biztosító kártérítése - jelzőlámpás csomópontok villámcsapás helyreállításának költsége</t>
  </si>
  <si>
    <t>Közlekedésbiztonsági kerékpárút pályázat (Kerékpárforgalmi hálózat fejlesztésére KDOP-4.2.2-09-2009-0009</t>
  </si>
  <si>
    <t>módosítás -  bevételi többletből, átcsoportosításból</t>
  </si>
  <si>
    <r>
      <t>Önkormányzati segély</t>
    </r>
    <r>
      <rPr>
        <sz val="11"/>
        <rFont val="Palatino Linotype"/>
        <family val="1"/>
      </rPr>
      <t xml:space="preserve"> </t>
    </r>
  </si>
  <si>
    <t xml:space="preserve">átcsoportosítás személyi kiadásokról </t>
  </si>
  <si>
    <t>szociális hozzájárulási adó kiadásaira</t>
  </si>
  <si>
    <t>átcsoportosítás dologi kiadásokról felhalmozási kiadásokra</t>
  </si>
  <si>
    <t>4 db. udvari fa játéktároló 4.sz.vk.</t>
  </si>
  <si>
    <t>Vadvirág Körzeti Óvoda - étkezési térítési díj, áfa visszatérülés</t>
  </si>
  <si>
    <t>bevételi többlet</t>
  </si>
  <si>
    <t>módosítás- átcsoportosítás</t>
  </si>
  <si>
    <t>Udvari játszóvár telepítéssel 3 db</t>
  </si>
  <si>
    <t>Udvari játéktároló</t>
  </si>
  <si>
    <t>módosított előriányzat 6.</t>
  </si>
  <si>
    <t>1 db. komplett irodabútor, 2 db. Forgószék</t>
  </si>
  <si>
    <t>Cipős szekrény 3 db., ruhafogas 1 db.</t>
  </si>
  <si>
    <t>Vezetékes Philips telefon, CD lejátszó, fényképezőgép, video</t>
  </si>
  <si>
    <t>Digitális fénymásoló</t>
  </si>
  <si>
    <t>Étkező sarok elválasztásához paraván, 2 db. Étkezőasztal</t>
  </si>
  <si>
    <t>Irodabútorok, óvónői öltözőbe polcok, kisszekrények</t>
  </si>
  <si>
    <t>Laptop szoftverrel</t>
  </si>
  <si>
    <t>(udvari játéktároló, irodabútorok, mini konyha-tűzhely, CD lejátszó, udvari játékok)</t>
  </si>
  <si>
    <t>átcsoportosítás dologi kiadásokról felhalmozási kiadásokra (kötelező eszközjegyzékben szereplő tételek beszerzésére)</t>
  </si>
  <si>
    <t xml:space="preserve">átcsoportosítás dologi kiadásokról </t>
  </si>
  <si>
    <t>VMJV Egyesített Bölcsődéje - étkezési térítési díj, áfa visszatérülés</t>
  </si>
  <si>
    <t>egyéb működési célú kiadásokra</t>
  </si>
  <si>
    <t>VMJV Egyesített Bölcsőde</t>
  </si>
  <si>
    <t>Konyhai berendezések, felszerelések, szakmai eszközök vásárlása</t>
  </si>
  <si>
    <t>Konyhai berendezések, felszerelések, szakmai eszközök</t>
  </si>
  <si>
    <t>Számítógép, TV, nyomtatók</t>
  </si>
  <si>
    <t>átcsoportosítás dologi kiadásokról - nyomtatók vásárlására</t>
  </si>
  <si>
    <t>térítési díj bevétel</t>
  </si>
  <si>
    <t>bevételi többletből</t>
  </si>
  <si>
    <t>Felmentési idő, jubileumi jutalom, végkielégítés</t>
  </si>
  <si>
    <t>Jubileumi jutalom</t>
  </si>
  <si>
    <t>jubileumi jutalom</t>
  </si>
  <si>
    <t>Nemzetközi szervezettől - Amerikai Kuckó támogatása</t>
  </si>
  <si>
    <t>Amerikai Kuckó támogatatásából dologi kiadásokra</t>
  </si>
  <si>
    <t>Amerikai Kuckó támogatásából - szőnyeg, tároló szekrény</t>
  </si>
  <si>
    <t>bevételi többletből - dologi kiadásokra</t>
  </si>
  <si>
    <t>átcsoportosítás - pénztárgép kiadásaira</t>
  </si>
  <si>
    <t>Amerikai Kuckó támogatása</t>
  </si>
  <si>
    <t>Eötvös Károly Megyei Könyvtár - biztosítótól kapott bevétel</t>
  </si>
  <si>
    <t>járulékok kiadásaira</t>
  </si>
  <si>
    <t>régészeti szolgáltatás ellenértéke</t>
  </si>
  <si>
    <t>beruházási hitel forráshiány miatt</t>
  </si>
  <si>
    <t>beruházási hitel forrás hiány miatt</t>
  </si>
  <si>
    <t>átcsoportosítás saját forrásból történő megvalósítás</t>
  </si>
  <si>
    <t>Egyes szociális feladatok támogatása - átcsoportosítás</t>
  </si>
  <si>
    <t>Egyes szociális feladatok támogatása - bevétel rendezés</t>
  </si>
  <si>
    <r>
      <t>Köztemetés</t>
    </r>
    <r>
      <rPr>
        <sz val="11"/>
        <rFont val="Palatino Linotype"/>
        <family val="1"/>
      </rPr>
      <t xml:space="preserve"> - bevételrendezés miatt, valamint átcsoportosítás</t>
    </r>
  </si>
  <si>
    <r>
      <t>Kamatkiadások</t>
    </r>
    <r>
      <rPr>
        <sz val="11"/>
        <rFont val="Palatino Linotype"/>
        <family val="1"/>
      </rPr>
      <t xml:space="preserve"> - átcsoportosítás</t>
    </r>
  </si>
  <si>
    <r>
      <t>Adósságkezelés</t>
    </r>
    <r>
      <rPr>
        <sz val="11"/>
        <rFont val="Palatino Linotype"/>
        <family val="1"/>
      </rPr>
      <t xml:space="preserve"> - bevételrendezés miatt, valamint átcsoportosítás</t>
    </r>
  </si>
  <si>
    <r>
      <t>Peres ügyek, kártérítési díjak kifizetése</t>
    </r>
    <r>
      <rPr>
        <sz val="11"/>
        <rFont val="Palatino Linotype"/>
        <family val="1"/>
      </rPr>
      <t xml:space="preserve"> - átcsoportosítás</t>
    </r>
  </si>
  <si>
    <t>Városgazdálkodási feladatok</t>
  </si>
  <si>
    <r>
      <t>Intézményüzemeltetéssel kapcsolatos kiadások</t>
    </r>
    <r>
      <rPr>
        <sz val="11"/>
        <rFont val="Palatino Linotype"/>
        <family val="1"/>
      </rPr>
      <t xml:space="preserve"> - átcsoportosítás</t>
    </r>
  </si>
  <si>
    <t>Munkaügyi Központ - közfogalkoztatás támogatása</t>
  </si>
  <si>
    <t>2015. január 1-től</t>
  </si>
  <si>
    <t>Ficánka tagóvoda képviselői keret átcsoportosítás dologi kiadásokról felhalmozási kiadásokra</t>
  </si>
  <si>
    <t>Csúszda, kerti pad</t>
  </si>
  <si>
    <t>Itthon vagy Magyarország szeretlek pályázat</t>
  </si>
  <si>
    <r>
      <t>Eseti rendezvények</t>
    </r>
    <r>
      <rPr>
        <sz val="11"/>
        <rFont val="Palatino Linotype"/>
        <family val="1"/>
      </rPr>
      <t xml:space="preserve"> - átcsoportosítás</t>
    </r>
  </si>
  <si>
    <t>2014 május 1-től -  2014. december 31</t>
  </si>
  <si>
    <t>2 db. minikonyha-tűzhely (Pedagógiai programhoz)</t>
  </si>
  <si>
    <t>átcsoportosítás többfunkciós nyomtató-másoló gép</t>
  </si>
  <si>
    <t>Többfunkciós nyomtató-másológép</t>
  </si>
  <si>
    <t>ki nem fizetett jubileumi jutalom</t>
  </si>
  <si>
    <t>Díszlet vásárlás - bútorok</t>
  </si>
  <si>
    <t>átcsoportosításból - kötelező eszközjegyzékben szereplő eszközök vásárlására</t>
  </si>
  <si>
    <t>átcsoportosítás dologi kiadásokról beruházási hitel forráshiányának rendezésére</t>
  </si>
  <si>
    <t>Polgármesteri Hivatal - átcsoportosítás önkormányzati bevételekről</t>
  </si>
  <si>
    <r>
      <t>Működési célú átvett pénzeszközök</t>
    </r>
    <r>
      <rPr>
        <sz val="11"/>
        <rFont val="Palatino Linotype"/>
        <family val="1"/>
      </rPr>
      <t xml:space="preserve"> - egyéb civil szervezetektől</t>
    </r>
  </si>
  <si>
    <t>Egyéb működési bevételek - átcsoportosítás polgármesteri hivatali feladatokra és átvett pénzeszközökre</t>
  </si>
  <si>
    <t>NKA pályázat</t>
  </si>
  <si>
    <t>Adók -iparűzési adó</t>
  </si>
  <si>
    <t>Laczkó Dezső Múzeum - régészeti szolgáltatások ellenértéke</t>
  </si>
  <si>
    <t>régészeti szolgáltatás ellenértékéből, pályázati forrásból</t>
  </si>
  <si>
    <t>régészeti szolgáltatások ellenértékéből</t>
  </si>
  <si>
    <t>Notebook, nyomtató (speciális jegykiadó)</t>
  </si>
  <si>
    <t>díszlet vásárlás - bútorok (székek, vitrin, íves kisasztalok, szekreter, gyertyatartók), valamint speciális jegykiadó nyomtató beszerzésére</t>
  </si>
  <si>
    <t xml:space="preserve">pályázati bevételből dologi kiadásokra </t>
  </si>
  <si>
    <t>felújítás hitelfedezete</t>
  </si>
  <si>
    <t>felújítás hitelfdezete</t>
  </si>
  <si>
    <t>átcsoportosítás felhalmozási célú átvett pénzeszközökre</t>
  </si>
  <si>
    <t>Felhalmozási célú átvett pénzeszközök - munkáltatói kölcsön törlesztés</t>
  </si>
  <si>
    <t>átcsoportosítás eseti rendezvényekre 150 eFt, közfoglalkoztatottak kiadásaira 215 eFt</t>
  </si>
  <si>
    <t>átcsoportosítás átmeneti segélyekről 3.300 eFt, temetési segélyekről 500 eFt, rendkívüli gyermekvédelmi segélyekről 1.000 eFt</t>
  </si>
  <si>
    <r>
      <t>Lakásfenntartási támogatás</t>
    </r>
    <r>
      <rPr>
        <sz val="11"/>
        <rFont val="Palatino Linotype"/>
        <family val="1"/>
      </rPr>
      <t xml:space="preserve"> - bevételrendezés miatt, valamint átcsoportosítás</t>
    </r>
  </si>
  <si>
    <r>
      <t>Foglalkoztatást helyettesítő támogatás</t>
    </r>
    <r>
      <rPr>
        <sz val="11"/>
        <rFont val="Palatino Linotype"/>
        <family val="1"/>
      </rPr>
      <t xml:space="preserve"> - bevételrendezés miatt, valamint átcsoportosítás</t>
    </r>
  </si>
  <si>
    <t>bevételi többletből és belső átcsoportosításból személyi kiadásokra 1.968 eFt, járulékok kiadásairól -15 eFt, dologi kiadásokról -350 eFt</t>
  </si>
  <si>
    <t>Henger u. I. ütem</t>
  </si>
  <si>
    <t>Közlekedésbiztonsági kerékpárút pályázat (Kerékpárforgalmi hálózat fejlesztésére KDOP-4.2.2-09-2009-0009)</t>
  </si>
  <si>
    <t>bevételi többletből személyi kiadásokra 1.850 eFt, járulékok kiadásaira 1.420 eFt</t>
  </si>
  <si>
    <t>közfoglalkoztatottak személyi kiadásaira 5.000 eFt, járulékok kiadásaira 2.000 eFt</t>
  </si>
  <si>
    <t>Közfoglalkoztatottak személyi kiadásaira 464 eFt, járulékok kiadásaira 63 eFt</t>
  </si>
  <si>
    <t>Prémium évek - személyi kiadásokra 1.044 eFt, járulékok kiadásaira 282 eFt</t>
  </si>
  <si>
    <t>5. vk. Nyugdíjas karácsony rendezvény költségeire</t>
  </si>
  <si>
    <t>közfoglalkoztatottak személyi kiadásaira 1.000 eFt, járukékok kiadásaira 150 eFt</t>
  </si>
  <si>
    <t>személyi kiadásokra 500 eFt, járulékok kiadásaira 50 eFt</t>
  </si>
  <si>
    <t>átcsoportosítás dologi kiadásokról - 4 db. udvari fa játéktároló 4. vk.</t>
  </si>
  <si>
    <t>5. vk.</t>
  </si>
  <si>
    <r>
      <t>Felhalmozási finanszírozási kiadások</t>
    </r>
    <r>
      <rPr>
        <sz val="11"/>
        <rFont val="Palatino Linotype"/>
        <family val="1"/>
      </rPr>
      <t xml:space="preserve"> - hiteltörlesztés</t>
    </r>
  </si>
  <si>
    <t>módosítás - bérkompenzáció október, bevételi többlet</t>
  </si>
  <si>
    <t>módosítás - bérkompenzáció október, ki nem fizetett jub.jutalom</t>
  </si>
  <si>
    <t>módosítás - bérkompenzáció október, átcsoportosítás, jubileumi jutalom bevételi többlet, támogatás</t>
  </si>
  <si>
    <t>átcsoportosítás önkormányzati feladatokra Egységben az erő! Óvodaprojekt</t>
  </si>
  <si>
    <t>átcsoportosítás önkormányzati feladatokról Kulturális szakemberek továbbképz.projekt</t>
  </si>
  <si>
    <t>módosítás - bérkompenzáció október, átcsoportosítás</t>
  </si>
  <si>
    <t>bevételi többletből, átcsoportosítás</t>
  </si>
  <si>
    <t>Veszprém Megyei Jogú Város Önkormányzatának 2014. évi</t>
  </si>
  <si>
    <t>felhalmozási célú  hitelfelvétele fejlesztési célonként, kormány engedélyhez kötöttség szerinti megbontásban</t>
  </si>
  <si>
    <t xml:space="preserve"> Kormány engedélyéhez nem kötött hitelfelvétel a Magyarország stabilitásáról szóló 2011. évi CXCIV. törvény 10.§. (2) a) pontja szerinti Európai Uniós és a (2) d) pontja szerint a 100 millió forintot meg nem haladó fejlesztési ügyletek</t>
  </si>
  <si>
    <t>A fejlesztés megnevezése</t>
  </si>
  <si>
    <t>Az igényelt hitel összege 2014. évben ezer Ft-ban</t>
  </si>
  <si>
    <t>AZ MFB Önkormányzati Infrastruktúra fejlesztési Hitelprogram által támogatott fejlesztési célok</t>
  </si>
  <si>
    <t>Az Észak-déli közlekedési főtengely kialakítása -Új gyűjtő út kiépítése Veszprémben 
KDOP 4.2.1/B-11-2012-0032</t>
  </si>
  <si>
    <t>I. Az MFB Önkormányzati Infrastruktúra fejlesztési Hitelprogram által támogatott fejlesztési célok összesen:</t>
  </si>
  <si>
    <t xml:space="preserve">Kormány engedélyhez kötött ügyletek a Magyarország gazdasági stabilitásáról szóló 2011. évi CXCIV. törvény 10.§. (1) és (3) bekezdésében foglaltak alapján </t>
  </si>
  <si>
    <t>Fejlesztési célhitel egyéb beruházásokhoz</t>
  </si>
  <si>
    <t>Veszprémi Petőfi Színház színpad padozat csere, lift teljes felújítás, kazán javítás</t>
  </si>
  <si>
    <t>Deák Ferenc Általános Iskola nyílászáró és panelcsere, burkolatfelújítás</t>
  </si>
  <si>
    <t>Egyéb intézményi beruházások és felújítások</t>
  </si>
  <si>
    <t>Kommunális beruházások</t>
  </si>
  <si>
    <t>Kádártai Közössségi ház átépítése</t>
  </si>
  <si>
    <t>Kommunális felújítások</t>
  </si>
  <si>
    <t>Toborzó u. 2. felújítás lakásalap</t>
  </si>
  <si>
    <t>Út-, járdépítés</t>
  </si>
  <si>
    <t>II. Fejlesztési célhitel egyéb beruházásokhoz összesen:</t>
  </si>
  <si>
    <t>Mindösszesen</t>
  </si>
  <si>
    <t>módosítás - bérkompenzáció október, átcsoportosítás, bevételi többlet, támogatás</t>
  </si>
  <si>
    <t>módosítás - bérkompenzáció október, átcsoportosítás, bevételi többlet, ki nem fizetett jub. Jutalom</t>
  </si>
  <si>
    <t>módosítás - bérkompenzáció, átcsoportosítás</t>
  </si>
  <si>
    <t>módosítás - átcsoportosítás, támogatás, bevételi többlet</t>
  </si>
  <si>
    <r>
      <t>Művészetek Háza</t>
    </r>
    <r>
      <rPr>
        <sz val="10"/>
        <rFont val="Palatino Linotype"/>
        <family val="1"/>
      </rPr>
      <t xml:space="preserve"> - NKA pályázat - techn. eszközfejl.</t>
    </r>
  </si>
  <si>
    <t>Irodabútorok és felsz., forgószékek, asztali számológépek</t>
  </si>
  <si>
    <t>2014. december 1-től 2015. február 28-ig</t>
  </si>
  <si>
    <t>hiteltörlesztésének, hitelállományának és egyéb kötelezettségeinek alakulásáról</t>
  </si>
  <si>
    <t>Q</t>
  </si>
  <si>
    <t>R</t>
  </si>
  <si>
    <t>S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</si>
  <si>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</si>
  <si>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</si>
  <si>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</si>
  <si>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</si>
  <si>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</si>
  <si>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2013.12.31</t>
  </si>
  <si>
    <t>Konszolidáció 2014 Támogatással</t>
  </si>
  <si>
    <t>Konszolidáció 2014 Átvállalással</t>
  </si>
  <si>
    <t>Hitelfelvétel 2014</t>
  </si>
  <si>
    <t>Tőke-törlesztés 2014</t>
  </si>
  <si>
    <t>Hitel-állomány  2014.12.31</t>
  </si>
  <si>
    <t>Kamat  és kamat jellegű kiadások 2014 várható</t>
  </si>
  <si>
    <t>Tőke-törlesztés 2015</t>
  </si>
  <si>
    <t>Tőke-törlesztés 2016</t>
  </si>
  <si>
    <t>Tőke-törlesztés 2017</t>
  </si>
  <si>
    <t>Tőke-törlesztés 2018-tól</t>
  </si>
  <si>
    <t>Kamat  és kamat jellegű kiadások 2015</t>
  </si>
  <si>
    <t>Kamat  és kamat jellegű kiadások 2016</t>
  </si>
  <si>
    <t>Kamat  és kamat jellegű kiadások 2017</t>
  </si>
  <si>
    <t>Rövid lejáratú hitel (1500/450 M Ft)</t>
  </si>
  <si>
    <t>OTP</t>
  </si>
  <si>
    <t>Beruházási hitel SMO 2005.</t>
  </si>
  <si>
    <t>Beruházási hitel - Célhitel 2006.</t>
  </si>
  <si>
    <t>K&amp;H Bank Rt.</t>
  </si>
  <si>
    <t>Beruházási hitel - SMO 2006.</t>
  </si>
  <si>
    <t>Beruházási hitel - Panel 2006.</t>
  </si>
  <si>
    <t>Beruházási hitel - Panel 2007.</t>
  </si>
  <si>
    <t>Sberbank</t>
  </si>
  <si>
    <t>Beruházási hitel - Célhitel 2007.</t>
  </si>
  <si>
    <t>CIB</t>
  </si>
  <si>
    <t>Beruházási hitel - SMO 2008.</t>
  </si>
  <si>
    <t>Beruházási hitel - SMO 2009.</t>
  </si>
  <si>
    <t>Beruházási hitel - Panel 2009.</t>
  </si>
  <si>
    <t>Takarékbank</t>
  </si>
  <si>
    <t>Beruházási hitel - SMO 2010.</t>
  </si>
  <si>
    <t>Beruházási hitel - Célhitel 2010.</t>
  </si>
  <si>
    <t>Beruházási hitel - SMO 2011.</t>
  </si>
  <si>
    <t>UniCredit Bank</t>
  </si>
  <si>
    <t>Beruházási hitel - Célhitel 2011.</t>
  </si>
  <si>
    <t xml:space="preserve">Beruházási hitel - Célhitel 2013. </t>
  </si>
  <si>
    <t>Beruházási hitel - MFB 2013.</t>
  </si>
  <si>
    <t>Beruházási hitel  - MFB 2014</t>
  </si>
  <si>
    <t>2014.</t>
  </si>
  <si>
    <t>2034.</t>
  </si>
  <si>
    <t>Beruházási hitel - Célhitel 2014</t>
  </si>
  <si>
    <t>OTP Bank</t>
  </si>
  <si>
    <t>2024.</t>
  </si>
  <si>
    <t>Pénzintézetekkel szemben fenálló kötelezettségek összesen</t>
  </si>
  <si>
    <t>11. melléklet az ……/2014. (…...) Önkormányzati rendelethez</t>
  </si>
  <si>
    <t>12. melléklet az ….../2014. (…...)  Önkormányzati rendelethez</t>
  </si>
  <si>
    <t>13. melléklet a ……/2014. (…...) Önkormányzati rendelethez</t>
  </si>
  <si>
    <t>Munkaügyi Központ - közfoglalkoztatás támogatása</t>
  </si>
  <si>
    <t>Veszprémi Kistérség Többcélú Társulásnak pénzeszköz átadás</t>
  </si>
  <si>
    <t>nyári gyermekétkeztetésre megítélt utólagos támogatás</t>
  </si>
  <si>
    <t>Veszprém integrált településfejlesztés, belváros funkcióbővítő rehabilitációja I/B ütem (pályázati bevételből dologi kiadásokra)</t>
  </si>
  <si>
    <t>átcsoportosítás dologi kiadásokra</t>
  </si>
  <si>
    <t>bevételi többletből digitális fénymásoló, fényképezőgép, video, étkező asztal vásárlására</t>
  </si>
  <si>
    <t>átcsoportosítás többfunkciós nyomtató- másológép beszerzésére</t>
  </si>
  <si>
    <t>átcsoportosítás - csúszda, kerti pad beszerzésére</t>
  </si>
  <si>
    <t>átcsoportosítás babaházra, udvari játékokra</t>
  </si>
  <si>
    <t>pályázati bevétel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</si>
</sst>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"/>
    <numFmt numFmtId="166" formatCode="#,##0.0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b/>
      <i/>
      <sz val="11"/>
      <name val="Palatino Linotype"/>
      <family val="1"/>
    </font>
    <font>
      <b/>
      <u val="single"/>
      <sz val="10"/>
      <name val="Palatino Linotype"/>
      <family val="1"/>
    </font>
    <font>
      <b/>
      <sz val="9"/>
      <color indexed="18"/>
      <name val="Palatino Linotype"/>
      <family val="1"/>
    </font>
    <font>
      <b/>
      <sz val="8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b/>
      <u val="single"/>
      <sz val="11"/>
      <name val="Palatino Linotype"/>
      <family val="1"/>
    </font>
    <font>
      <sz val="9"/>
      <color indexed="18"/>
      <name val="Palatino Linotype"/>
      <family val="1"/>
    </font>
    <font>
      <i/>
      <sz val="12"/>
      <name val="Palatino Linotype"/>
      <family val="1"/>
    </font>
    <font>
      <b/>
      <i/>
      <sz val="9"/>
      <name val="Palatino Linotype"/>
      <family val="1"/>
    </font>
    <font>
      <sz val="10.5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"/>
      <color indexed="16"/>
      <name val="Palatino Linotype"/>
      <family val="1"/>
    </font>
    <font>
      <sz val="9"/>
      <color indexed="16"/>
      <name val="Palatino Linotype"/>
      <family val="1"/>
    </font>
    <font>
      <i/>
      <sz val="9"/>
      <color indexed="16"/>
      <name val="Palatino Linotype"/>
      <family val="1"/>
    </font>
    <font>
      <sz val="11"/>
      <color indexed="16"/>
      <name val="Palatino Linotype"/>
      <family val="1"/>
    </font>
    <font>
      <i/>
      <sz val="11"/>
      <color indexed="16"/>
      <name val="Palatino Linotype"/>
      <family val="1"/>
    </font>
    <font>
      <b/>
      <sz val="11"/>
      <color indexed="16"/>
      <name val="Palatino Linotype"/>
      <family val="1"/>
    </font>
    <font>
      <sz val="10"/>
      <color indexed="16"/>
      <name val="Arial CE"/>
      <family val="0"/>
    </font>
    <font>
      <sz val="12"/>
      <color indexed="16"/>
      <name val="Palatino Linotype"/>
      <family val="1"/>
    </font>
    <font>
      <b/>
      <sz val="12"/>
      <color indexed="16"/>
      <name val="Palatino Linotype"/>
      <family val="1"/>
    </font>
    <font>
      <b/>
      <i/>
      <sz val="12"/>
      <name val="Palatino Linotype"/>
      <family val="1"/>
    </font>
    <font>
      <sz val="10"/>
      <name val="Times New Roman"/>
      <family val="1"/>
    </font>
    <font>
      <sz val="7"/>
      <name val="Palatino Linotype"/>
      <family val="1"/>
    </font>
    <font>
      <sz val="10"/>
      <color indexed="10"/>
      <name val="Palatino Linotype"/>
      <family val="1"/>
    </font>
    <font>
      <sz val="10"/>
      <color theme="5" tint="-0.4999699890613556"/>
      <name val="Palatino Linotype"/>
      <family val="1"/>
    </font>
    <font>
      <sz val="10"/>
      <color theme="5" tint="-0.4999699890613556"/>
      <name val="Arial CE"/>
      <family val="0"/>
    </font>
    <font>
      <i/>
      <sz val="10"/>
      <color theme="5" tint="-0.4999699890613556"/>
      <name val="Palatino Linotype"/>
      <family val="1"/>
    </font>
    <font>
      <b/>
      <sz val="10"/>
      <color theme="5" tint="-0.4999699890613556"/>
      <name val="Palatino Linotype"/>
      <family val="1"/>
    </font>
    <font>
      <i/>
      <sz val="11"/>
      <color rgb="FF341312"/>
      <name val="Palatino Linotype"/>
      <family val="1"/>
    </font>
    <font>
      <i/>
      <sz val="9"/>
      <color rgb="FF341312"/>
      <name val="Palatino Linotype"/>
      <family val="1"/>
    </font>
    <font>
      <sz val="10"/>
      <color rgb="FFFF0000"/>
      <name val="Palatino Linotyp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2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thin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uble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double"/>
      <bottom style="double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double"/>
      <bottom style="double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dotted"/>
      <right style="dotted"/>
      <top style="double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uble"/>
      <bottom style="dotted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/>
      <bottom style="double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dotted"/>
      <right style="medium"/>
      <top style="dotted"/>
      <bottom style="double"/>
    </border>
    <border>
      <left style="dotted"/>
      <right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/>
      <top style="double"/>
      <bottom style="dotted"/>
    </border>
    <border>
      <left style="dotted"/>
      <right/>
      <top style="dotted"/>
      <bottom/>
    </border>
    <border>
      <left style="dotted"/>
      <right/>
      <top style="medium"/>
      <bottom style="dotted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/>
    </border>
    <border>
      <left style="double"/>
      <right style="dotted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medium"/>
    </border>
    <border>
      <left style="dotted"/>
      <right/>
      <top style="dotted"/>
      <bottom style="double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double"/>
    </border>
    <border>
      <left/>
      <right style="medium"/>
      <top style="dotted"/>
      <bottom style="thin"/>
    </border>
    <border>
      <left style="double"/>
      <right style="hair"/>
      <top style="hair"/>
      <bottom style="medium"/>
    </border>
    <border>
      <left style="dotted"/>
      <right style="double"/>
      <top style="medium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uble"/>
      <right style="dotted"/>
      <top style="dotted"/>
      <bottom style="thin"/>
    </border>
    <border>
      <left style="dotted"/>
      <right style="double"/>
      <top style="dotted"/>
      <bottom style="double"/>
    </border>
    <border>
      <left style="dotted"/>
      <right style="double"/>
      <top style="thin"/>
      <bottom style="dotted"/>
    </border>
    <border>
      <left style="hair"/>
      <right/>
      <top style="medium"/>
      <bottom style="medium"/>
    </border>
    <border>
      <left style="hair"/>
      <right/>
      <top style="double"/>
      <bottom style="double"/>
    </border>
    <border>
      <left style="hair"/>
      <right/>
      <top style="hair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medium"/>
      <top style="hair"/>
      <bottom style="hair"/>
    </border>
    <border>
      <left/>
      <right style="medium"/>
      <top style="double"/>
      <bottom style="double"/>
    </border>
    <border>
      <left/>
      <right style="medium"/>
      <top style="hair"/>
      <bottom/>
    </border>
    <border>
      <left style="hair"/>
      <right style="double"/>
      <top style="medium"/>
      <bottom style="medium"/>
    </border>
    <border>
      <left/>
      <right style="double"/>
      <top/>
      <bottom/>
    </border>
    <border>
      <left style="hair"/>
      <right style="double"/>
      <top style="hair"/>
      <bottom style="hair"/>
    </border>
    <border>
      <left style="hair"/>
      <right style="double"/>
      <top style="double"/>
      <bottom style="double"/>
    </border>
    <border>
      <left style="hair"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medium"/>
      <bottom/>
    </border>
    <border>
      <left style="double"/>
      <right/>
      <top style="medium"/>
      <bottom style="medium"/>
    </border>
    <border>
      <left style="dotted"/>
      <right/>
      <top style="dotted"/>
      <bottom style="medium"/>
    </border>
    <border>
      <left style="thin"/>
      <right/>
      <top style="medium"/>
      <bottom style="medium"/>
    </border>
    <border>
      <left style="dotted"/>
      <right style="double"/>
      <top style="dotted"/>
      <bottom style="thin"/>
    </border>
    <border>
      <left style="dotted"/>
      <right style="dotted"/>
      <top style="thin"/>
      <bottom style="dotted"/>
    </border>
    <border>
      <left/>
      <right style="medium"/>
      <top style="thin"/>
      <bottom style="dotted"/>
    </border>
    <border>
      <left style="double"/>
      <right/>
      <top style="thin"/>
      <bottom/>
    </border>
    <border>
      <left style="double"/>
      <right/>
      <top style="double"/>
      <bottom/>
    </border>
    <border>
      <left/>
      <right style="medium"/>
      <top style="dotted"/>
      <bottom style="medium"/>
    </border>
    <border>
      <left/>
      <right style="medium"/>
      <top style="double"/>
      <bottom style="medium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uble"/>
    </border>
    <border>
      <left style="medium"/>
      <right style="dotted"/>
      <top style="dotted"/>
      <bottom style="medium"/>
    </border>
    <border>
      <left style="double"/>
      <right/>
      <top style="thin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 style="double"/>
      <right/>
      <top/>
      <bottom style="medium"/>
    </border>
    <border>
      <left style="double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uble"/>
      <right style="dotted"/>
      <top style="thin"/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 style="double"/>
      <right style="hair"/>
      <top style="hair"/>
      <bottom style="hair"/>
    </border>
    <border>
      <left style="hair"/>
      <right style="double"/>
      <top style="hair"/>
      <bottom style="medium"/>
    </border>
    <border>
      <left style="double"/>
      <right style="hair"/>
      <top/>
      <bottom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hair"/>
      <top style="double"/>
      <bottom style="double"/>
    </border>
    <border>
      <left style="double"/>
      <right style="hair"/>
      <top style="double"/>
      <bottom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double"/>
      <right style="hair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tted"/>
      <top style="dotted"/>
      <bottom style="dotted"/>
    </border>
    <border>
      <left style="thin"/>
      <right style="medium"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/>
      <right/>
      <top style="dotted"/>
      <bottom style="dotted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 style="hair"/>
      <right style="double"/>
      <top style="medium"/>
      <bottom/>
    </border>
    <border>
      <left style="hair"/>
      <right style="double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7">
    <xf numFmtId="0" fontId="0" fillId="0" borderId="0" xfId="0" applyAlignment="1">
      <alignment/>
    </xf>
    <xf numFmtId="3" fontId="21" fillId="0" borderId="0" xfId="61" applyNumberFormat="1" applyFont="1" applyAlignment="1">
      <alignment horizontal="center"/>
      <protection/>
    </xf>
    <xf numFmtId="0" fontId="21" fillId="0" borderId="0" xfId="0" applyFont="1" applyAlignment="1">
      <alignment horizontal="center" vertical="top"/>
    </xf>
    <xf numFmtId="3" fontId="22" fillId="0" borderId="1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0" fillId="0" borderId="0" xfId="61" applyNumberFormat="1" applyFont="1" applyFill="1" applyAlignment="1">
      <alignment horizontal="center"/>
      <protection/>
    </xf>
    <xf numFmtId="3" fontId="20" fillId="0" borderId="13" xfId="61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6" fillId="0" borderId="0" xfId="61" applyNumberFormat="1" applyFont="1" applyBorder="1">
      <alignment/>
      <protection/>
    </xf>
    <xf numFmtId="3" fontId="26" fillId="0" borderId="0" xfId="61" applyNumberFormat="1" applyFont="1">
      <alignment/>
      <protection/>
    </xf>
    <xf numFmtId="3" fontId="23" fillId="0" borderId="0" xfId="61" applyNumberFormat="1" applyFont="1" applyBorder="1" applyAlignment="1">
      <alignment horizontal="left"/>
      <protection/>
    </xf>
    <xf numFmtId="3" fontId="23" fillId="0" borderId="0" xfId="61" applyNumberFormat="1" applyFont="1" applyAlignment="1">
      <alignment horizontal="left"/>
      <protection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6" fillId="0" borderId="14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/>
    </xf>
    <xf numFmtId="49" fontId="26" fillId="0" borderId="14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indent="1"/>
    </xf>
    <xf numFmtId="0" fontId="26" fillId="0" borderId="0" xfId="0" applyFont="1" applyBorder="1" applyAlignment="1">
      <alignment horizontal="left" wrapText="1" indent="1"/>
    </xf>
    <xf numFmtId="49" fontId="26" fillId="0" borderId="0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6" fillId="0" borderId="0" xfId="0" applyNumberFormat="1" applyFont="1" applyFill="1" applyAlignment="1">
      <alignment/>
    </xf>
    <xf numFmtId="3" fontId="26" fillId="0" borderId="0" xfId="61" applyNumberFormat="1" applyFont="1" applyFill="1">
      <alignment/>
      <protection/>
    </xf>
    <xf numFmtId="3" fontId="23" fillId="0" borderId="0" xfId="61" applyNumberFormat="1" applyFont="1" applyFill="1" applyAlignment="1">
      <alignment horizontal="center"/>
      <protection/>
    </xf>
    <xf numFmtId="3" fontId="26" fillId="0" borderId="0" xfId="61" applyNumberFormat="1" applyFont="1" applyFill="1" applyAlignment="1">
      <alignment horizontal="center"/>
      <protection/>
    </xf>
    <xf numFmtId="49" fontId="26" fillId="0" borderId="0" xfId="61" applyNumberFormat="1" applyFont="1" applyFill="1" applyAlignment="1">
      <alignment horizontal="center"/>
      <protection/>
    </xf>
    <xf numFmtId="3" fontId="23" fillId="0" borderId="17" xfId="61" applyNumberFormat="1" applyFont="1" applyFill="1" applyBorder="1" applyAlignment="1">
      <alignment horizontal="center"/>
      <protection/>
    </xf>
    <xf numFmtId="3" fontId="26" fillId="0" borderId="17" xfId="61" applyNumberFormat="1" applyFont="1" applyFill="1" applyBorder="1" applyAlignment="1">
      <alignment horizontal="center"/>
      <protection/>
    </xf>
    <xf numFmtId="3" fontId="23" fillId="0" borderId="17" xfId="61" applyNumberFormat="1" applyFont="1" applyFill="1" applyBorder="1">
      <alignment/>
      <protection/>
    </xf>
    <xf numFmtId="3" fontId="23" fillId="0" borderId="18" xfId="61" applyNumberFormat="1" applyFont="1" applyFill="1" applyBorder="1">
      <alignment/>
      <protection/>
    </xf>
    <xf numFmtId="49" fontId="26" fillId="0" borderId="14" xfId="61" applyNumberFormat="1" applyFont="1" applyFill="1" applyBorder="1" applyAlignment="1">
      <alignment horizontal="center"/>
      <protection/>
    </xf>
    <xf numFmtId="3" fontId="26" fillId="0" borderId="0" xfId="61" applyNumberFormat="1" applyFont="1" applyFill="1" applyBorder="1" applyAlignment="1">
      <alignment horizontal="center"/>
      <protection/>
    </xf>
    <xf numFmtId="3" fontId="26" fillId="0" borderId="0" xfId="61" applyNumberFormat="1" applyFont="1" applyFill="1" applyBorder="1">
      <alignment/>
      <protection/>
    </xf>
    <xf numFmtId="3" fontId="23" fillId="0" borderId="0" xfId="61" applyNumberFormat="1" applyFont="1" applyFill="1" applyBorder="1" applyAlignment="1">
      <alignment horizontal="center"/>
      <protection/>
    </xf>
    <xf numFmtId="3" fontId="23" fillId="0" borderId="0" xfId="61" applyNumberFormat="1" applyFont="1" applyFill="1" applyBorder="1">
      <alignment/>
      <protection/>
    </xf>
    <xf numFmtId="3" fontId="23" fillId="0" borderId="19" xfId="61" applyNumberFormat="1" applyFont="1" applyFill="1" applyBorder="1">
      <alignment/>
      <protection/>
    </xf>
    <xf numFmtId="3" fontId="26" fillId="0" borderId="19" xfId="61" applyNumberFormat="1" applyFont="1" applyFill="1" applyBorder="1">
      <alignment/>
      <protection/>
    </xf>
    <xf numFmtId="49" fontId="30" fillId="0" borderId="14" xfId="61" applyNumberFormat="1" applyFont="1" applyFill="1" applyBorder="1" applyAlignment="1">
      <alignment horizontal="center"/>
      <protection/>
    </xf>
    <xf numFmtId="3" fontId="30" fillId="0" borderId="0" xfId="61" applyNumberFormat="1" applyFont="1" applyFill="1" applyBorder="1" applyAlignment="1">
      <alignment horizontal="center"/>
      <protection/>
    </xf>
    <xf numFmtId="3" fontId="23" fillId="0" borderId="20" xfId="61" applyNumberFormat="1" applyFont="1" applyFill="1" applyBorder="1" applyAlignment="1">
      <alignment horizontal="center" vertical="center"/>
      <protection/>
    </xf>
    <xf numFmtId="3" fontId="26" fillId="0" borderId="20" xfId="61" applyNumberFormat="1" applyFont="1" applyFill="1" applyBorder="1" applyAlignment="1">
      <alignment horizontal="center" vertical="center"/>
      <protection/>
    </xf>
    <xf numFmtId="3" fontId="23" fillId="0" borderId="20" xfId="61" applyNumberFormat="1" applyFont="1" applyFill="1" applyBorder="1" applyAlignment="1">
      <alignment vertical="center"/>
      <protection/>
    </xf>
    <xf numFmtId="3" fontId="23" fillId="0" borderId="21" xfId="61" applyNumberFormat="1" applyFont="1" applyFill="1" applyBorder="1" applyAlignment="1">
      <alignment vertical="center"/>
      <protection/>
    </xf>
    <xf numFmtId="3" fontId="26" fillId="0" borderId="0" xfId="61" applyNumberFormat="1" applyFont="1" applyFill="1" applyBorder="1" applyAlignment="1">
      <alignment/>
      <protection/>
    </xf>
    <xf numFmtId="49" fontId="26" fillId="0" borderId="14" xfId="61" applyNumberFormat="1" applyFont="1" applyFill="1" applyBorder="1" applyAlignment="1">
      <alignment horizontal="center" vertical="top"/>
      <protection/>
    </xf>
    <xf numFmtId="3" fontId="26" fillId="0" borderId="0" xfId="61" applyNumberFormat="1" applyFont="1" applyFill="1" applyBorder="1" applyAlignment="1">
      <alignment horizontal="center" vertical="top"/>
      <protection/>
    </xf>
    <xf numFmtId="3" fontId="26" fillId="0" borderId="0" xfId="61" applyNumberFormat="1" applyFont="1" applyFill="1" applyBorder="1" applyAlignment="1">
      <alignment vertical="top"/>
      <protection/>
    </xf>
    <xf numFmtId="3" fontId="23" fillId="0" borderId="0" xfId="61" applyNumberFormat="1" applyFont="1" applyFill="1">
      <alignment/>
      <protection/>
    </xf>
    <xf numFmtId="3" fontId="21" fillId="0" borderId="22" xfId="0" applyNumberFormat="1" applyFont="1" applyFill="1" applyBorder="1" applyAlignment="1">
      <alignment horizontal="center" vertical="center"/>
    </xf>
    <xf numFmtId="3" fontId="26" fillId="0" borderId="0" xfId="61" applyNumberFormat="1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/>
    </xf>
    <xf numFmtId="3" fontId="20" fillId="0" borderId="23" xfId="61" applyNumberFormat="1" applyFont="1" applyBorder="1" applyAlignment="1">
      <alignment horizontal="center" vertical="center" textRotation="90" wrapText="1"/>
      <protection/>
    </xf>
    <xf numFmtId="3" fontId="20" fillId="0" borderId="13" xfId="61" applyNumberFormat="1" applyFont="1" applyBorder="1" applyAlignment="1">
      <alignment horizontal="center" vertical="center" textRotation="90" wrapText="1"/>
      <protection/>
    </xf>
    <xf numFmtId="3" fontId="21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73" applyNumberFormat="1" applyFont="1" applyFill="1" applyBorder="1" applyAlignment="1">
      <alignment vertical="center"/>
      <protection/>
    </xf>
    <xf numFmtId="3" fontId="21" fillId="0" borderId="19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1" fillId="0" borderId="0" xfId="61" applyNumberFormat="1" applyFont="1" applyAlignment="1">
      <alignment horizontal="center" vertical="center"/>
      <protection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3" fontId="23" fillId="0" borderId="0" xfId="61" applyNumberFormat="1" applyFont="1" applyBorder="1" applyAlignment="1">
      <alignment horizontal="left" wrapText="1"/>
      <protection/>
    </xf>
    <xf numFmtId="3" fontId="23" fillId="0" borderId="30" xfId="61" applyNumberFormat="1" applyFont="1" applyBorder="1" applyAlignment="1">
      <alignment horizontal="left" textRotation="90" wrapText="1"/>
      <protection/>
    </xf>
    <xf numFmtId="3" fontId="26" fillId="0" borderId="30" xfId="61" applyNumberFormat="1" applyFont="1" applyBorder="1" applyAlignment="1">
      <alignment horizontal="center" wrapText="1"/>
      <protection/>
    </xf>
    <xf numFmtId="3" fontId="23" fillId="0" borderId="30" xfId="61" applyNumberFormat="1" applyFont="1" applyBorder="1" applyAlignment="1">
      <alignment horizontal="left" wrapText="1"/>
      <protection/>
    </xf>
    <xf numFmtId="3" fontId="26" fillId="0" borderId="0" xfId="61" applyNumberFormat="1" applyFont="1" applyBorder="1" applyAlignment="1">
      <alignment horizontal="center" wrapText="1"/>
      <protection/>
    </xf>
    <xf numFmtId="3" fontId="23" fillId="0" borderId="0" xfId="61" applyNumberFormat="1" applyFont="1" applyBorder="1" applyAlignment="1">
      <alignment horizontal="right" wrapText="1"/>
      <protection/>
    </xf>
    <xf numFmtId="3" fontId="21" fillId="0" borderId="0" xfId="61" applyNumberFormat="1" applyFont="1" applyAlignment="1">
      <alignment horizontal="center" vertical="top"/>
      <protection/>
    </xf>
    <xf numFmtId="3" fontId="21" fillId="0" borderId="13" xfId="61" applyNumberFormat="1" applyFont="1" applyBorder="1" applyAlignment="1">
      <alignment horizontal="center" vertical="center" wrapText="1"/>
      <protection/>
    </xf>
    <xf numFmtId="3" fontId="26" fillId="0" borderId="0" xfId="61" applyNumberFormat="1" applyFont="1" applyFill="1" applyBorder="1" applyAlignment="1">
      <alignment vertical="top" wrapText="1"/>
      <protection/>
    </xf>
    <xf numFmtId="3" fontId="26" fillId="0" borderId="19" xfId="61" applyNumberFormat="1" applyFont="1" applyFill="1" applyBorder="1" applyAlignment="1">
      <alignment vertical="top"/>
      <protection/>
    </xf>
    <xf numFmtId="3" fontId="26" fillId="0" borderId="0" xfId="61" applyNumberFormat="1" applyFont="1" applyFill="1" applyAlignment="1">
      <alignment vertical="top"/>
      <protection/>
    </xf>
    <xf numFmtId="3" fontId="21" fillId="0" borderId="13" xfId="61" applyNumberFormat="1" applyFont="1" applyFill="1" applyBorder="1" applyAlignment="1">
      <alignment horizontal="center" vertical="center" wrapText="1"/>
      <protection/>
    </xf>
    <xf numFmtId="3" fontId="22" fillId="0" borderId="19" xfId="0" applyNumberFormat="1" applyFont="1" applyFill="1" applyBorder="1" applyAlignment="1">
      <alignment vertical="top"/>
    </xf>
    <xf numFmtId="3" fontId="22" fillId="0" borderId="19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 vertical="center"/>
    </xf>
    <xf numFmtId="3" fontId="22" fillId="0" borderId="0" xfId="61" applyNumberFormat="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vertical="center"/>
      <protection/>
    </xf>
    <xf numFmtId="0" fontId="23" fillId="0" borderId="0" xfId="61" applyFont="1" applyFill="1" applyBorder="1" applyAlignment="1">
      <alignment horizontal="center"/>
      <protection/>
    </xf>
    <xf numFmtId="3" fontId="26" fillId="0" borderId="0" xfId="61" applyNumberFormat="1" applyFont="1" applyFill="1" applyAlignment="1">
      <alignment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6" fillId="0" borderId="0" xfId="61" applyNumberFormat="1" applyFont="1" applyFill="1" applyBorder="1" applyAlignment="1">
      <alignment vertical="center"/>
      <protection/>
    </xf>
    <xf numFmtId="3" fontId="20" fillId="0" borderId="0" xfId="61" applyNumberFormat="1" applyFont="1" applyFill="1" applyAlignment="1">
      <alignment horizontal="center" vertical="top"/>
      <protection/>
    </xf>
    <xf numFmtId="3" fontId="20" fillId="0" borderId="0" xfId="61" applyNumberFormat="1" applyFont="1" applyFill="1" applyAlignment="1">
      <alignment horizontal="center" vertical="center"/>
      <protection/>
    </xf>
    <xf numFmtId="3" fontId="20" fillId="0" borderId="31" xfId="61" applyNumberFormat="1" applyFont="1" applyFill="1" applyBorder="1" applyAlignment="1">
      <alignment horizontal="center"/>
      <protection/>
    </xf>
    <xf numFmtId="3" fontId="26" fillId="0" borderId="31" xfId="61" applyNumberFormat="1" applyFont="1" applyFill="1" applyBorder="1" applyAlignment="1">
      <alignment/>
      <protection/>
    </xf>
    <xf numFmtId="3" fontId="26" fillId="0" borderId="31" xfId="61" applyNumberFormat="1" applyFont="1" applyFill="1" applyBorder="1" applyAlignment="1">
      <alignment horizontal="center"/>
      <protection/>
    </xf>
    <xf numFmtId="3" fontId="26" fillId="0" borderId="31" xfId="0" applyNumberFormat="1" applyFont="1" applyFill="1" applyBorder="1" applyAlignment="1">
      <alignment horizontal="right" wrapText="1"/>
    </xf>
    <xf numFmtId="3" fontId="20" fillId="0" borderId="31" xfId="61" applyNumberFormat="1" applyFont="1" applyFill="1" applyBorder="1" applyAlignment="1">
      <alignment horizontal="center" vertical="top"/>
      <protection/>
    </xf>
    <xf numFmtId="3" fontId="20" fillId="0" borderId="32" xfId="61" applyNumberFormat="1" applyFont="1" applyFill="1" applyBorder="1" applyAlignment="1">
      <alignment horizontal="center"/>
      <protection/>
    </xf>
    <xf numFmtId="3" fontId="20" fillId="0" borderId="32" xfId="61" applyNumberFormat="1" applyFont="1" applyFill="1" applyBorder="1" applyAlignment="1">
      <alignment horizontal="center" vertical="center"/>
      <protection/>
    </xf>
    <xf numFmtId="3" fontId="29" fillId="0" borderId="32" xfId="61" applyNumberFormat="1" applyFont="1" applyFill="1" applyBorder="1" applyAlignment="1">
      <alignment horizontal="center"/>
      <protection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0" xfId="73" applyNumberFormat="1" applyFont="1" applyFill="1" applyBorder="1" applyAlignment="1">
      <alignment wrapText="1"/>
      <protection/>
    </xf>
    <xf numFmtId="3" fontId="28" fillId="0" borderId="0" xfId="0" applyNumberFormat="1" applyFont="1" applyFill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/>
    </xf>
    <xf numFmtId="3" fontId="21" fillId="0" borderId="1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2" fillId="0" borderId="0" xfId="73" applyNumberFormat="1" applyFont="1" applyFill="1" applyBorder="1" applyAlignment="1">
      <alignment vertical="center"/>
      <protection/>
    </xf>
    <xf numFmtId="3" fontId="33" fillId="0" borderId="0" xfId="0" applyNumberFormat="1" applyFont="1" applyFill="1" applyBorder="1" applyAlignment="1">
      <alignment vertical="center"/>
    </xf>
    <xf numFmtId="3" fontId="28" fillId="0" borderId="0" xfId="73" applyNumberFormat="1" applyFont="1" applyFill="1" applyBorder="1" applyAlignment="1">
      <alignment vertical="center"/>
      <protection/>
    </xf>
    <xf numFmtId="3" fontId="21" fillId="0" borderId="0" xfId="73" applyNumberFormat="1" applyFont="1" applyFill="1" applyBorder="1" applyAlignment="1">
      <alignment/>
      <protection/>
    </xf>
    <xf numFmtId="3" fontId="26" fillId="0" borderId="0" xfId="61" applyNumberFormat="1" applyFont="1" applyFill="1" applyBorder="1" applyAlignment="1">
      <alignment horizontal="left"/>
      <protection/>
    </xf>
    <xf numFmtId="3" fontId="22" fillId="0" borderId="34" xfId="75" applyNumberFormat="1" applyFont="1" applyFill="1" applyBorder="1" applyAlignment="1">
      <alignment horizontal="center" vertical="center" wrapText="1"/>
      <protection/>
    </xf>
    <xf numFmtId="0" fontId="21" fillId="0" borderId="35" xfId="64" applyFont="1" applyFill="1" applyBorder="1" applyAlignment="1">
      <alignment wrapText="1"/>
      <protection/>
    </xf>
    <xf numFmtId="3" fontId="21" fillId="0" borderId="35" xfId="74" applyNumberFormat="1" applyFont="1" applyFill="1" applyBorder="1" applyAlignment="1">
      <alignment/>
      <protection/>
    </xf>
    <xf numFmtId="0" fontId="21" fillId="0" borderId="35" xfId="74" applyFont="1" applyFill="1" applyBorder="1" applyAlignment="1">
      <alignment wrapText="1"/>
      <protection/>
    </xf>
    <xf numFmtId="0" fontId="21" fillId="0" borderId="35" xfId="74" applyFont="1" applyFill="1" applyBorder="1" applyAlignment="1">
      <alignment horizontal="left" wrapText="1" indent="1"/>
      <protection/>
    </xf>
    <xf numFmtId="0" fontId="21" fillId="0" borderId="0" xfId="74" applyFont="1" applyFill="1" applyBorder="1" applyAlignment="1">
      <alignment horizontal="center" vertical="top"/>
      <protection/>
    </xf>
    <xf numFmtId="0" fontId="21" fillId="0" borderId="0" xfId="74" applyFont="1" applyFill="1" applyBorder="1">
      <alignment/>
      <protection/>
    </xf>
    <xf numFmtId="0" fontId="21" fillId="0" borderId="0" xfId="74" applyFont="1" applyFill="1" applyBorder="1" applyAlignment="1">
      <alignment wrapText="1"/>
      <protection/>
    </xf>
    <xf numFmtId="0" fontId="21" fillId="0" borderId="0" xfId="74" applyFont="1" applyFill="1" applyBorder="1" applyAlignment="1">
      <alignment horizontal="center" wrapText="1"/>
      <protection/>
    </xf>
    <xf numFmtId="3" fontId="21" fillId="0" borderId="0" xfId="74" applyNumberFormat="1" applyFont="1" applyFill="1" applyBorder="1">
      <alignment/>
      <protection/>
    </xf>
    <xf numFmtId="0" fontId="21" fillId="0" borderId="0" xfId="74" applyFont="1" applyFill="1" applyBorder="1" applyAlignment="1">
      <alignment horizontal="center"/>
      <protection/>
    </xf>
    <xf numFmtId="0" fontId="22" fillId="0" borderId="36" xfId="74" applyFont="1" applyFill="1" applyBorder="1" applyAlignment="1">
      <alignment horizontal="center" vertical="center" wrapText="1"/>
      <protection/>
    </xf>
    <xf numFmtId="0" fontId="21" fillId="0" borderId="35" xfId="64" applyFont="1" applyFill="1" applyBorder="1" applyAlignment="1">
      <alignment horizontal="center" wrapText="1"/>
      <protection/>
    </xf>
    <xf numFmtId="0" fontId="21" fillId="0" borderId="35" xfId="74" applyFont="1" applyFill="1" applyBorder="1" applyAlignment="1">
      <alignment horizontal="center" wrapText="1"/>
      <protection/>
    </xf>
    <xf numFmtId="0" fontId="21" fillId="0" borderId="35" xfId="64" applyFont="1" applyFill="1" applyBorder="1" applyAlignment="1">
      <alignment horizontal="left" wrapText="1"/>
      <protection/>
    </xf>
    <xf numFmtId="0" fontId="22" fillId="0" borderId="0" xfId="74" applyFont="1" applyFill="1" applyBorder="1" applyAlignment="1">
      <alignment vertical="center"/>
      <protection/>
    </xf>
    <xf numFmtId="0" fontId="21" fillId="0" borderId="0" xfId="74" applyFont="1" applyFill="1" applyBorder="1" applyAlignment="1">
      <alignment/>
      <protection/>
    </xf>
    <xf numFmtId="0" fontId="21" fillId="0" borderId="0" xfId="74" applyFont="1" applyFill="1" applyBorder="1" applyAlignment="1">
      <alignment vertical="center"/>
      <protection/>
    </xf>
    <xf numFmtId="0" fontId="37" fillId="0" borderId="35" xfId="74" applyFont="1" applyFill="1" applyBorder="1" applyAlignment="1">
      <alignment wrapText="1"/>
      <protection/>
    </xf>
    <xf numFmtId="0" fontId="22" fillId="0" borderId="37" xfId="74" applyFont="1" applyFill="1" applyBorder="1" applyAlignment="1">
      <alignment horizontal="center" vertical="center" wrapText="1"/>
      <protection/>
    </xf>
    <xf numFmtId="3" fontId="22" fillId="0" borderId="37" xfId="74" applyNumberFormat="1" applyFont="1" applyFill="1" applyBorder="1" applyAlignment="1">
      <alignment vertical="center"/>
      <protection/>
    </xf>
    <xf numFmtId="3" fontId="23" fillId="0" borderId="0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24" fillId="0" borderId="30" xfId="61" applyNumberFormat="1" applyFont="1" applyBorder="1" applyAlignment="1">
      <alignment horizontal="right" wrapText="1"/>
      <protection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9" xfId="0" applyNumberFormat="1" applyFont="1" applyBorder="1" applyAlignment="1">
      <alignment/>
    </xf>
    <xf numFmtId="3" fontId="23" fillId="0" borderId="38" xfId="61" applyNumberFormat="1" applyFont="1" applyBorder="1" applyAlignment="1">
      <alignment horizontal="left" wrapText="1"/>
      <protection/>
    </xf>
    <xf numFmtId="3" fontId="24" fillId="0" borderId="27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>
      <alignment vertical="center"/>
    </xf>
    <xf numFmtId="3" fontId="24" fillId="0" borderId="25" xfId="0" applyNumberFormat="1" applyFont="1" applyFill="1" applyBorder="1" applyAlignment="1">
      <alignment vertical="center"/>
    </xf>
    <xf numFmtId="3" fontId="24" fillId="0" borderId="39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vertical="center"/>
    </xf>
    <xf numFmtId="3" fontId="30" fillId="0" borderId="0" xfId="61" applyNumberFormat="1" applyFont="1" applyFill="1" applyBorder="1">
      <alignment/>
      <protection/>
    </xf>
    <xf numFmtId="3" fontId="24" fillId="0" borderId="19" xfId="0" applyNumberFormat="1" applyFont="1" applyFill="1" applyBorder="1" applyAlignment="1">
      <alignment/>
    </xf>
    <xf numFmtId="49" fontId="20" fillId="0" borderId="0" xfId="61" applyNumberFormat="1" applyFont="1" applyFill="1" applyAlignment="1">
      <alignment horizontal="center"/>
      <protection/>
    </xf>
    <xf numFmtId="3" fontId="20" fillId="0" borderId="10" xfId="61" applyNumberFormat="1" applyFont="1" applyFill="1" applyBorder="1" applyAlignment="1">
      <alignment horizontal="center"/>
      <protection/>
    </xf>
    <xf numFmtId="3" fontId="27" fillId="0" borderId="0" xfId="61" applyNumberFormat="1" applyFont="1" applyFill="1" applyAlignment="1">
      <alignment horizontal="center"/>
      <protection/>
    </xf>
    <xf numFmtId="3" fontId="38" fillId="0" borderId="0" xfId="61" applyNumberFormat="1" applyFont="1" applyFill="1" applyAlignment="1">
      <alignment horizontal="center"/>
      <protection/>
    </xf>
    <xf numFmtId="3" fontId="20" fillId="0" borderId="0" xfId="61" applyNumberFormat="1" applyFont="1" applyFill="1">
      <alignment/>
      <protection/>
    </xf>
    <xf numFmtId="3" fontId="23" fillId="0" borderId="17" xfId="61" applyNumberFormat="1" applyFont="1" applyFill="1" applyBorder="1" applyAlignment="1">
      <alignment wrapText="1"/>
      <protection/>
    </xf>
    <xf numFmtId="3" fontId="26" fillId="0" borderId="0" xfId="61" applyNumberFormat="1" applyFont="1" applyFill="1" applyBorder="1" applyAlignment="1">
      <alignment horizontal="left" indent="1"/>
      <protection/>
    </xf>
    <xf numFmtId="3" fontId="30" fillId="0" borderId="0" xfId="61" applyNumberFormat="1" applyFont="1" applyFill="1" applyBorder="1" applyAlignment="1">
      <alignment horizontal="left" indent="2"/>
      <protection/>
    </xf>
    <xf numFmtId="3" fontId="30" fillId="0" borderId="19" xfId="61" applyNumberFormat="1" applyFont="1" applyFill="1" applyBorder="1">
      <alignment/>
      <protection/>
    </xf>
    <xf numFmtId="3" fontId="30" fillId="0" borderId="0" xfId="61" applyNumberFormat="1" applyFont="1" applyFill="1">
      <alignment/>
      <protection/>
    </xf>
    <xf numFmtId="3" fontId="26" fillId="0" borderId="0" xfId="61" applyNumberFormat="1" applyFont="1" applyFill="1" applyBorder="1" applyAlignment="1">
      <alignment horizontal="left" indent="3"/>
      <protection/>
    </xf>
    <xf numFmtId="3" fontId="26" fillId="0" borderId="0" xfId="61" applyNumberFormat="1" applyFont="1" applyFill="1" applyBorder="1" applyAlignment="1">
      <alignment horizontal="left" wrapText="1" indent="3"/>
      <protection/>
    </xf>
    <xf numFmtId="3" fontId="23" fillId="0" borderId="0" xfId="61" applyNumberFormat="1" applyFont="1" applyFill="1" applyBorder="1" applyAlignment="1">
      <alignment vertical="center"/>
      <protection/>
    </xf>
    <xf numFmtId="3" fontId="26" fillId="0" borderId="19" xfId="61" applyNumberFormat="1" applyFont="1" applyFill="1" applyBorder="1" applyAlignment="1">
      <alignment/>
      <protection/>
    </xf>
    <xf numFmtId="3" fontId="26" fillId="0" borderId="0" xfId="61" applyNumberFormat="1" applyFont="1" applyFill="1" applyBorder="1" applyAlignment="1">
      <alignment horizontal="left" vertical="top" indent="1"/>
      <protection/>
    </xf>
    <xf numFmtId="49" fontId="26" fillId="0" borderId="0" xfId="61" applyNumberFormat="1" applyFont="1" applyFill="1" applyBorder="1" applyAlignment="1">
      <alignment horizontal="center"/>
      <protection/>
    </xf>
    <xf numFmtId="3" fontId="23" fillId="0" borderId="0" xfId="6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6" fillId="0" borderId="38" xfId="0" applyFont="1" applyBorder="1" applyAlignment="1">
      <alignment horizontal="left" indent="1"/>
    </xf>
    <xf numFmtId="0" fontId="26" fillId="0" borderId="0" xfId="0" applyFont="1" applyBorder="1" applyAlignment="1">
      <alignment horizontal="left" vertical="center" wrapText="1" indent="1"/>
    </xf>
    <xf numFmtId="3" fontId="26" fillId="0" borderId="0" xfId="61" applyNumberFormat="1" applyFont="1" applyBorder="1" applyAlignment="1">
      <alignment horizontal="left" vertical="center" indent="1"/>
      <protection/>
    </xf>
    <xf numFmtId="3" fontId="23" fillId="0" borderId="38" xfId="61" applyNumberFormat="1" applyFont="1" applyBorder="1" applyAlignment="1">
      <alignment horizontal="left" textRotation="90" wrapText="1"/>
      <protection/>
    </xf>
    <xf numFmtId="3" fontId="26" fillId="0" borderId="38" xfId="61" applyNumberFormat="1" applyFont="1" applyBorder="1" applyAlignment="1">
      <alignment horizontal="center" wrapText="1"/>
      <protection/>
    </xf>
    <xf numFmtId="3" fontId="24" fillId="0" borderId="38" xfId="61" applyNumberFormat="1" applyFont="1" applyBorder="1" applyAlignment="1">
      <alignment horizontal="right" wrapText="1"/>
      <protection/>
    </xf>
    <xf numFmtId="0" fontId="23" fillId="0" borderId="38" xfId="0" applyFont="1" applyBorder="1" applyAlignment="1">
      <alignment horizontal="center"/>
    </xf>
    <xf numFmtId="0" fontId="26" fillId="0" borderId="38" xfId="0" applyFont="1" applyBorder="1" applyAlignment="1">
      <alignment horizontal="center" vertical="top"/>
    </xf>
    <xf numFmtId="0" fontId="23" fillId="0" borderId="38" xfId="0" applyFont="1" applyBorder="1" applyAlignment="1">
      <alignment wrapText="1"/>
    </xf>
    <xf numFmtId="3" fontId="24" fillId="0" borderId="38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37" fillId="0" borderId="0" xfId="74" applyFont="1" applyFill="1" applyBorder="1" applyAlignment="1">
      <alignment wrapText="1"/>
      <protection/>
    </xf>
    <xf numFmtId="0" fontId="21" fillId="0" borderId="0" xfId="75" applyFont="1" applyFill="1" applyBorder="1" applyAlignment="1">
      <alignment horizontal="center"/>
      <protection/>
    </xf>
    <xf numFmtId="0" fontId="21" fillId="0" borderId="0" xfId="75" applyFont="1" applyFill="1" applyBorder="1" applyAlignment="1">
      <alignment horizontal="center" vertical="top"/>
      <protection/>
    </xf>
    <xf numFmtId="0" fontId="21" fillId="0" borderId="0" xfId="75" applyFont="1" applyFill="1" applyBorder="1" applyAlignment="1">
      <alignment horizontal="center" wrapText="1"/>
      <protection/>
    </xf>
    <xf numFmtId="3" fontId="21" fillId="0" borderId="0" xfId="75" applyNumberFormat="1" applyFont="1" applyFill="1" applyBorder="1" applyAlignment="1">
      <alignment horizontal="center"/>
      <protection/>
    </xf>
    <xf numFmtId="0" fontId="21" fillId="0" borderId="40" xfId="74" applyFont="1" applyFill="1" applyBorder="1" applyAlignment="1">
      <alignment horizontal="center" vertical="center" textRotation="90"/>
      <protection/>
    </xf>
    <xf numFmtId="0" fontId="21" fillId="0" borderId="36" xfId="74" applyFont="1" applyFill="1" applyBorder="1" applyAlignment="1">
      <alignment horizontal="center" vertical="center" textRotation="90"/>
      <protection/>
    </xf>
    <xf numFmtId="0" fontId="21" fillId="0" borderId="41" xfId="74" applyFont="1" applyFill="1" applyBorder="1" applyAlignment="1">
      <alignment horizontal="center"/>
      <protection/>
    </xf>
    <xf numFmtId="0" fontId="21" fillId="0" borderId="35" xfId="74" applyFont="1" applyFill="1" applyBorder="1" applyAlignment="1">
      <alignment horizontal="center" vertical="top"/>
      <protection/>
    </xf>
    <xf numFmtId="0" fontId="22" fillId="0" borderId="42" xfId="74" applyFont="1" applyFill="1" applyBorder="1" applyAlignment="1">
      <alignment horizontal="center" vertical="center"/>
      <protection/>
    </xf>
    <xf numFmtId="0" fontId="22" fillId="0" borderId="37" xfId="74" applyFont="1" applyFill="1" applyBorder="1" applyAlignment="1">
      <alignment horizontal="center" vertical="top"/>
      <protection/>
    </xf>
    <xf numFmtId="0" fontId="21" fillId="0" borderId="14" xfId="74" applyFont="1" applyFill="1" applyBorder="1" applyAlignment="1">
      <alignment horizontal="center"/>
      <protection/>
    </xf>
    <xf numFmtId="3" fontId="21" fillId="0" borderId="17" xfId="0" applyNumberFormat="1" applyFont="1" applyFill="1" applyBorder="1" applyAlignment="1">
      <alignment/>
    </xf>
    <xf numFmtId="3" fontId="21" fillId="0" borderId="0" xfId="0" applyNumberFormat="1" applyFont="1" applyFill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top"/>
    </xf>
    <xf numFmtId="3" fontId="35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 vertical="center"/>
    </xf>
    <xf numFmtId="3" fontId="23" fillId="0" borderId="43" xfId="61" applyNumberFormat="1" applyFont="1" applyBorder="1" applyAlignment="1">
      <alignment horizontal="center" textRotation="90" wrapText="1"/>
      <protection/>
    </xf>
    <xf numFmtId="3" fontId="26" fillId="0" borderId="14" xfId="61" applyNumberFormat="1" applyFont="1" applyBorder="1" applyAlignment="1">
      <alignment horizontal="center" wrapText="1"/>
      <protection/>
    </xf>
    <xf numFmtId="3" fontId="23" fillId="0" borderId="44" xfId="61" applyNumberFormat="1" applyFont="1" applyBorder="1" applyAlignment="1">
      <alignment horizontal="center" textRotation="90" wrapText="1"/>
      <protection/>
    </xf>
    <xf numFmtId="49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top"/>
    </xf>
    <xf numFmtId="49" fontId="26" fillId="0" borderId="45" xfId="61" applyNumberFormat="1" applyFont="1" applyFill="1" applyBorder="1" applyAlignment="1">
      <alignment horizontal="center"/>
      <protection/>
    </xf>
    <xf numFmtId="49" fontId="26" fillId="0" borderId="14" xfId="61" applyNumberFormat="1" applyFont="1" applyFill="1" applyBorder="1" applyAlignment="1">
      <alignment horizontal="center" vertical="center"/>
      <protection/>
    </xf>
    <xf numFmtId="49" fontId="26" fillId="0" borderId="46" xfId="61" applyNumberFormat="1" applyFont="1" applyFill="1" applyBorder="1" applyAlignment="1">
      <alignment horizontal="center" vertical="center"/>
      <protection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3" fillId="0" borderId="46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0" fillId="0" borderId="0" xfId="0" applyFont="1" applyFill="1" applyAlignment="1">
      <alignment wrapText="1"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top"/>
    </xf>
    <xf numFmtId="3" fontId="30" fillId="0" borderId="0" xfId="0" applyNumberFormat="1" applyFont="1" applyFill="1" applyBorder="1" applyAlignment="1">
      <alignment/>
    </xf>
    <xf numFmtId="0" fontId="23" fillId="0" borderId="20" xfId="0" applyFont="1" applyFill="1" applyBorder="1" applyAlignment="1">
      <alignment vertical="top"/>
    </xf>
    <xf numFmtId="0" fontId="23" fillId="0" borderId="20" xfId="0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/>
    </xf>
    <xf numFmtId="0" fontId="41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30" fillId="0" borderId="0" xfId="0" applyFont="1" applyFill="1" applyAlignment="1">
      <alignment horizontal="right" vertical="top"/>
    </xf>
    <xf numFmtId="0" fontId="30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vertical="center"/>
    </xf>
    <xf numFmtId="3" fontId="26" fillId="0" borderId="0" xfId="76" applyNumberFormat="1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26" fillId="0" borderId="0" xfId="65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left" wrapText="1" indent="2"/>
    </xf>
    <xf numFmtId="0" fontId="43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26" fillId="0" borderId="0" xfId="76" applyNumberFormat="1" applyFont="1" applyFill="1" applyBorder="1" applyAlignment="1">
      <alignment vertical="top"/>
      <protection/>
    </xf>
    <xf numFmtId="3" fontId="30" fillId="0" borderId="0" xfId="0" applyNumberFormat="1" applyFont="1" applyFill="1" applyBorder="1" applyAlignment="1">
      <alignment vertical="top"/>
    </xf>
    <xf numFmtId="0" fontId="30" fillId="0" borderId="2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3" fontId="23" fillId="0" borderId="0" xfId="0" applyNumberFormat="1" applyFont="1" applyFill="1" applyAlignment="1">
      <alignment/>
    </xf>
    <xf numFmtId="0" fontId="23" fillId="0" borderId="0" xfId="0" applyFont="1" applyBorder="1" applyAlignment="1">
      <alignment/>
    </xf>
    <xf numFmtId="0" fontId="23" fillId="0" borderId="38" xfId="0" applyFont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3" fontId="22" fillId="0" borderId="38" xfId="73" applyNumberFormat="1" applyFont="1" applyFill="1" applyBorder="1" applyAlignment="1">
      <alignment vertical="center"/>
      <protection/>
    </xf>
    <xf numFmtId="3" fontId="22" fillId="0" borderId="38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2" fillId="0" borderId="10" xfId="73" applyNumberFormat="1" applyFont="1" applyFill="1" applyBorder="1" applyAlignment="1">
      <alignment vertical="center"/>
      <protection/>
    </xf>
    <xf numFmtId="3" fontId="33" fillId="0" borderId="10" xfId="0" applyNumberFormat="1" applyFont="1" applyFill="1" applyBorder="1" applyAlignment="1">
      <alignment vertical="center"/>
    </xf>
    <xf numFmtId="3" fontId="33" fillId="0" borderId="38" xfId="0" applyNumberFormat="1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center" vertical="top"/>
    </xf>
    <xf numFmtId="3" fontId="22" fillId="0" borderId="0" xfId="73" applyNumberFormat="1" applyFont="1" applyFill="1" applyBorder="1" applyAlignment="1">
      <alignment vertical="top"/>
      <protection/>
    </xf>
    <xf numFmtId="3" fontId="22" fillId="0" borderId="0" xfId="0" applyNumberFormat="1" applyFont="1" applyFill="1" applyBorder="1" applyAlignment="1">
      <alignment vertical="top"/>
    </xf>
    <xf numFmtId="3" fontId="33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Alignment="1">
      <alignment vertical="top"/>
    </xf>
    <xf numFmtId="3" fontId="28" fillId="0" borderId="0" xfId="73" applyNumberFormat="1" applyFont="1" applyFill="1" applyBorder="1" applyAlignment="1">
      <alignment/>
      <protection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/>
    </xf>
    <xf numFmtId="3" fontId="30" fillId="0" borderId="0" xfId="61" applyNumberFormat="1" applyFont="1" applyFill="1" applyAlignment="1">
      <alignment horizontal="center"/>
      <protection/>
    </xf>
    <xf numFmtId="3" fontId="26" fillId="0" borderId="51" xfId="61" applyNumberFormat="1" applyFont="1" applyFill="1" applyBorder="1" applyAlignment="1">
      <alignment horizontal="center"/>
      <protection/>
    </xf>
    <xf numFmtId="3" fontId="26" fillId="0" borderId="52" xfId="0" applyNumberFormat="1" applyFont="1" applyFill="1" applyBorder="1" applyAlignment="1">
      <alignment horizontal="right" wrapText="1"/>
    </xf>
    <xf numFmtId="3" fontId="30" fillId="0" borderId="31" xfId="61" applyNumberFormat="1" applyFont="1" applyFill="1" applyBorder="1" applyAlignment="1">
      <alignment/>
      <protection/>
    </xf>
    <xf numFmtId="3" fontId="30" fillId="0" borderId="31" xfId="61" applyNumberFormat="1" applyFont="1" applyFill="1" applyBorder="1" applyAlignment="1">
      <alignment horizontal="center"/>
      <protection/>
    </xf>
    <xf numFmtId="3" fontId="30" fillId="0" borderId="31" xfId="0" applyNumberFormat="1" applyFont="1" applyFill="1" applyBorder="1" applyAlignment="1">
      <alignment horizontal="right" wrapText="1"/>
    </xf>
    <xf numFmtId="3" fontId="30" fillId="0" borderId="52" xfId="0" applyNumberFormat="1" applyFont="1" applyFill="1" applyBorder="1" applyAlignment="1">
      <alignment horizontal="right" wrapText="1"/>
    </xf>
    <xf numFmtId="3" fontId="23" fillId="0" borderId="31" xfId="61" applyNumberFormat="1" applyFont="1" applyFill="1" applyBorder="1" applyAlignment="1">
      <alignment/>
      <protection/>
    </xf>
    <xf numFmtId="3" fontId="23" fillId="0" borderId="31" xfId="61" applyNumberFormat="1" applyFont="1" applyFill="1" applyBorder="1" applyAlignment="1">
      <alignment horizontal="center"/>
      <protection/>
    </xf>
    <xf numFmtId="3" fontId="29" fillId="0" borderId="31" xfId="61" applyNumberFormat="1" applyFont="1" applyFill="1" applyBorder="1" applyAlignment="1">
      <alignment horizontal="center"/>
      <protection/>
    </xf>
    <xf numFmtId="3" fontId="27" fillId="0" borderId="32" xfId="61" applyNumberFormat="1" applyFont="1" applyFill="1" applyBorder="1" applyAlignment="1">
      <alignment horizontal="center"/>
      <protection/>
    </xf>
    <xf numFmtId="3" fontId="27" fillId="0" borderId="31" xfId="61" applyNumberFormat="1" applyFont="1" applyFill="1" applyBorder="1" applyAlignment="1">
      <alignment horizontal="center"/>
      <protection/>
    </xf>
    <xf numFmtId="3" fontId="26" fillId="0" borderId="53" xfId="61" applyNumberFormat="1" applyFont="1" applyFill="1" applyBorder="1" applyAlignment="1">
      <alignment horizontal="center"/>
      <protection/>
    </xf>
    <xf numFmtId="3" fontId="20" fillId="0" borderId="0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23" fillId="0" borderId="38" xfId="0" applyNumberFormat="1" applyFont="1" applyBorder="1" applyAlignment="1">
      <alignment horizontal="right"/>
    </xf>
    <xf numFmtId="0" fontId="23" fillId="0" borderId="0" xfId="0" applyFont="1" applyBorder="1" applyAlignment="1">
      <alignment vertical="top"/>
    </xf>
    <xf numFmtId="3" fontId="23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0" fontId="36" fillId="0" borderId="14" xfId="0" applyFont="1" applyBorder="1" applyAlignment="1">
      <alignment/>
    </xf>
    <xf numFmtId="3" fontId="30" fillId="0" borderId="19" xfId="0" applyNumberFormat="1" applyFont="1" applyFill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2" fillId="0" borderId="13" xfId="61" applyNumberFormat="1" applyFont="1" applyBorder="1" applyAlignment="1">
      <alignment horizontal="center" vertical="center" wrapText="1"/>
      <protection/>
    </xf>
    <xf numFmtId="3" fontId="23" fillId="0" borderId="25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/>
    </xf>
    <xf numFmtId="3" fontId="24" fillId="0" borderId="16" xfId="0" applyNumberFormat="1" applyFont="1" applyBorder="1" applyAlignment="1">
      <alignment vertical="center"/>
    </xf>
    <xf numFmtId="3" fontId="44" fillId="0" borderId="0" xfId="61" applyNumberFormat="1" applyFont="1" applyFill="1" applyAlignment="1">
      <alignment horizontal="right"/>
      <protection/>
    </xf>
    <xf numFmtId="49" fontId="20" fillId="0" borderId="23" xfId="61" applyNumberFormat="1" applyFont="1" applyFill="1" applyBorder="1" applyAlignment="1">
      <alignment horizontal="center" vertical="center" textRotation="90"/>
      <protection/>
    </xf>
    <xf numFmtId="3" fontId="20" fillId="0" borderId="13" xfId="61" applyNumberFormat="1" applyFont="1" applyFill="1" applyBorder="1" applyAlignment="1">
      <alignment horizontal="center" vertical="center" textRotation="90"/>
      <protection/>
    </xf>
    <xf numFmtId="3" fontId="20" fillId="0" borderId="13" xfId="61" applyNumberFormat="1" applyFont="1" applyFill="1" applyBorder="1" applyAlignment="1">
      <alignment horizontal="center" vertical="center" wrapText="1"/>
      <protection/>
    </xf>
    <xf numFmtId="3" fontId="22" fillId="0" borderId="13" xfId="61" applyNumberFormat="1" applyFont="1" applyFill="1" applyBorder="1" applyAlignment="1">
      <alignment horizontal="center" vertical="center"/>
      <protection/>
    </xf>
    <xf numFmtId="3" fontId="23" fillId="0" borderId="19" xfId="61" applyNumberFormat="1" applyFont="1" applyFill="1" applyBorder="1" applyAlignment="1">
      <alignment vertical="center"/>
      <protection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20" xfId="0" applyNumberFormat="1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horizontal="center" vertical="top"/>
    </xf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12" xfId="61" applyNumberFormat="1" applyFont="1" applyFill="1" applyBorder="1" applyAlignment="1">
      <alignment horizontal="center" vertical="center" wrapText="1"/>
      <protection/>
    </xf>
    <xf numFmtId="3" fontId="21" fillId="0" borderId="0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Border="1" applyAlignment="1">
      <alignment vertical="top"/>
    </xf>
    <xf numFmtId="3" fontId="21" fillId="0" borderId="0" xfId="73" applyNumberFormat="1" applyFont="1" applyFill="1" applyBorder="1" applyAlignment="1">
      <alignment vertical="center" wrapText="1"/>
      <protection/>
    </xf>
    <xf numFmtId="3" fontId="28" fillId="0" borderId="0" xfId="73" applyNumberFormat="1" applyFont="1" applyFill="1" applyBorder="1" applyAlignment="1">
      <alignment horizontal="right" vertical="center"/>
      <protection/>
    </xf>
    <xf numFmtId="3" fontId="28" fillId="0" borderId="0" xfId="73" applyNumberFormat="1" applyFont="1" applyFill="1" applyBorder="1" applyAlignment="1">
      <alignment horizontal="center" vertical="center"/>
      <protection/>
    </xf>
    <xf numFmtId="3" fontId="22" fillId="0" borderId="2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vertical="center"/>
    </xf>
    <xf numFmtId="3" fontId="20" fillId="0" borderId="56" xfId="61" applyNumberFormat="1" applyFont="1" applyFill="1" applyBorder="1" applyAlignment="1">
      <alignment horizontal="center"/>
      <protection/>
    </xf>
    <xf numFmtId="3" fontId="20" fillId="0" borderId="57" xfId="61" applyNumberFormat="1" applyFont="1" applyFill="1" applyBorder="1" applyAlignment="1">
      <alignment horizontal="center"/>
      <protection/>
    </xf>
    <xf numFmtId="3" fontId="26" fillId="0" borderId="57" xfId="61" applyNumberFormat="1" applyFont="1" applyFill="1" applyBorder="1" applyAlignment="1">
      <alignment/>
      <protection/>
    </xf>
    <xf numFmtId="3" fontId="26" fillId="0" borderId="57" xfId="61" applyNumberFormat="1" applyFont="1" applyFill="1" applyBorder="1" applyAlignment="1">
      <alignment horizontal="center"/>
      <protection/>
    </xf>
    <xf numFmtId="3" fontId="20" fillId="0" borderId="0" xfId="61" applyNumberFormat="1" applyFont="1" applyFill="1" applyBorder="1" applyAlignment="1">
      <alignment horizontal="center"/>
      <protection/>
    </xf>
    <xf numFmtId="3" fontId="26" fillId="0" borderId="31" xfId="61" applyNumberFormat="1" applyFont="1" applyFill="1" applyBorder="1" applyAlignment="1">
      <alignment horizontal="right"/>
      <protection/>
    </xf>
    <xf numFmtId="3" fontId="23" fillId="0" borderId="31" xfId="61" applyNumberFormat="1" applyFont="1" applyFill="1" applyBorder="1" applyAlignment="1">
      <alignment horizontal="right"/>
      <protection/>
    </xf>
    <xf numFmtId="3" fontId="30" fillId="0" borderId="31" xfId="61" applyNumberFormat="1" applyFont="1" applyFill="1" applyBorder="1" applyAlignment="1">
      <alignment horizontal="right"/>
      <protection/>
    </xf>
    <xf numFmtId="3" fontId="21" fillId="0" borderId="35" xfId="64" applyNumberFormat="1" applyFont="1" applyFill="1" applyBorder="1" applyAlignment="1">
      <alignment/>
      <protection/>
    </xf>
    <xf numFmtId="3" fontId="21" fillId="0" borderId="35" xfId="74" applyNumberFormat="1" applyFont="1" applyFill="1" applyBorder="1" applyAlignment="1">
      <alignment vertical="top"/>
      <protection/>
    </xf>
    <xf numFmtId="3" fontId="35" fillId="0" borderId="17" xfId="0" applyNumberFormat="1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/>
    </xf>
    <xf numFmtId="0" fontId="21" fillId="0" borderId="0" xfId="74" applyFont="1" applyFill="1" applyBorder="1" applyAlignment="1">
      <alignment horizontal="center" vertical="top" wrapText="1"/>
      <protection/>
    </xf>
    <xf numFmtId="0" fontId="21" fillId="0" borderId="0" xfId="74" applyFont="1" applyFill="1" applyBorder="1" applyAlignment="1">
      <alignment vertical="top" wrapText="1"/>
      <protection/>
    </xf>
    <xf numFmtId="3" fontId="21" fillId="0" borderId="0" xfId="74" applyNumberFormat="1" applyFont="1" applyFill="1" applyBorder="1" applyAlignment="1">
      <alignment vertical="top"/>
      <protection/>
    </xf>
    <xf numFmtId="3" fontId="22" fillId="0" borderId="0" xfId="74" applyNumberFormat="1" applyFont="1" applyFill="1" applyBorder="1" applyAlignment="1">
      <alignment vertical="top"/>
      <protection/>
    </xf>
    <xf numFmtId="0" fontId="21" fillId="0" borderId="0" xfId="74" applyFont="1" applyFill="1" applyBorder="1" applyAlignment="1">
      <alignment vertical="top"/>
      <protection/>
    </xf>
    <xf numFmtId="3" fontId="21" fillId="0" borderId="0" xfId="74" applyNumberFormat="1" applyFont="1" applyFill="1" applyBorder="1" applyAlignment="1">
      <alignment horizontal="center"/>
      <protection/>
    </xf>
    <xf numFmtId="0" fontId="21" fillId="0" borderId="36" xfId="74" applyFont="1" applyFill="1" applyBorder="1" applyAlignment="1">
      <alignment horizontal="center" vertical="center" textRotation="90" wrapText="1"/>
      <protection/>
    </xf>
    <xf numFmtId="3" fontId="22" fillId="0" borderId="36" xfId="74" applyNumberFormat="1" applyFont="1" applyFill="1" applyBorder="1" applyAlignment="1">
      <alignment horizontal="center" vertical="center" wrapText="1"/>
      <protection/>
    </xf>
    <xf numFmtId="3" fontId="22" fillId="0" borderId="0" xfId="74" applyNumberFormat="1" applyFont="1" applyFill="1" applyBorder="1">
      <alignment/>
      <protection/>
    </xf>
    <xf numFmtId="3" fontId="21" fillId="0" borderId="19" xfId="74" applyNumberFormat="1" applyFont="1" applyFill="1" applyBorder="1">
      <alignment/>
      <protection/>
    </xf>
    <xf numFmtId="0" fontId="21" fillId="0" borderId="35" xfId="74" applyNumberFormat="1" applyFont="1" applyFill="1" applyBorder="1" applyAlignment="1">
      <alignment wrapText="1"/>
      <protection/>
    </xf>
    <xf numFmtId="0" fontId="21" fillId="0" borderId="35" xfId="74" applyFont="1" applyFill="1" applyBorder="1" applyAlignment="1">
      <alignment/>
      <protection/>
    </xf>
    <xf numFmtId="0" fontId="21" fillId="0" borderId="35" xfId="64" applyFont="1" applyFill="1" applyBorder="1" applyAlignment="1">
      <alignment horizontal="left" wrapText="1" indent="1"/>
      <protection/>
    </xf>
    <xf numFmtId="3" fontId="21" fillId="0" borderId="17" xfId="0" applyNumberFormat="1" applyFont="1" applyFill="1" applyBorder="1" applyAlignment="1">
      <alignment horizontal="center"/>
    </xf>
    <xf numFmtId="3" fontId="21" fillId="0" borderId="0" xfId="74" applyNumberFormat="1" applyFont="1" applyFill="1" applyBorder="1" applyAlignment="1">
      <alignment/>
      <protection/>
    </xf>
    <xf numFmtId="3" fontId="22" fillId="0" borderId="0" xfId="74" applyNumberFormat="1" applyFont="1" applyFill="1" applyBorder="1" applyAlignment="1">
      <alignment/>
      <protection/>
    </xf>
    <xf numFmtId="3" fontId="25" fillId="0" borderId="10" xfId="0" applyNumberFormat="1" applyFont="1" applyFill="1" applyBorder="1" applyAlignment="1">
      <alignment horizontal="center"/>
    </xf>
    <xf numFmtId="3" fontId="45" fillId="0" borderId="13" xfId="61" applyNumberFormat="1" applyFont="1" applyFill="1" applyBorder="1" applyAlignment="1">
      <alignment horizontal="center" vertical="center" wrapText="1"/>
      <protection/>
    </xf>
    <xf numFmtId="3" fontId="24" fillId="0" borderId="47" xfId="61" applyNumberFormat="1" applyFont="1" applyFill="1" applyBorder="1" applyAlignment="1">
      <alignment horizontal="center" vertical="center" wrapText="1"/>
      <protection/>
    </xf>
    <xf numFmtId="3" fontId="24" fillId="0" borderId="0" xfId="61" applyNumberFormat="1" applyFont="1" applyBorder="1" applyAlignment="1">
      <alignment horizontal="right" wrapText="1"/>
      <protection/>
    </xf>
    <xf numFmtId="3" fontId="24" fillId="0" borderId="19" xfId="61" applyNumberFormat="1" applyFont="1" applyBorder="1" applyAlignment="1">
      <alignment horizontal="right" wrapText="1"/>
      <protection/>
    </xf>
    <xf numFmtId="3" fontId="24" fillId="0" borderId="0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6" fillId="0" borderId="38" xfId="0" applyFont="1" applyBorder="1" applyAlignment="1">
      <alignment horizontal="center" vertical="center"/>
    </xf>
    <xf numFmtId="3" fontId="23" fillId="0" borderId="38" xfId="0" applyNumberFormat="1" applyFont="1" applyFill="1" applyBorder="1" applyAlignment="1">
      <alignment/>
    </xf>
    <xf numFmtId="3" fontId="23" fillId="0" borderId="38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0" fillId="0" borderId="0" xfId="61" applyNumberFormat="1" applyFont="1" applyFill="1" applyBorder="1" applyAlignment="1">
      <alignment/>
      <protection/>
    </xf>
    <xf numFmtId="3" fontId="26" fillId="0" borderId="0" xfId="61" applyNumberFormat="1" applyFont="1" applyFill="1" applyAlignment="1">
      <alignment horizontal="right" vertical="center"/>
      <protection/>
    </xf>
    <xf numFmtId="3" fontId="21" fillId="0" borderId="0" xfId="73" applyNumberFormat="1" applyFont="1" applyFill="1" applyBorder="1" applyAlignment="1">
      <alignment horizontal="left" indent="1"/>
      <protection/>
    </xf>
    <xf numFmtId="3" fontId="28" fillId="0" borderId="0" xfId="73" applyNumberFormat="1" applyFont="1" applyFill="1" applyBorder="1" applyAlignment="1">
      <alignment horizontal="left" indent="1"/>
      <protection/>
    </xf>
    <xf numFmtId="3" fontId="22" fillId="0" borderId="0" xfId="73" applyNumberFormat="1" applyFont="1" applyFill="1" applyBorder="1" applyAlignment="1">
      <alignment horizontal="left" vertical="center" indent="1"/>
      <protection/>
    </xf>
    <xf numFmtId="3" fontId="21" fillId="0" borderId="48" xfId="0" applyNumberFormat="1" applyFont="1" applyFill="1" applyBorder="1" applyAlignment="1">
      <alignment horizontal="center" vertical="center"/>
    </xf>
    <xf numFmtId="3" fontId="21" fillId="0" borderId="48" xfId="0" applyNumberFormat="1" applyFont="1" applyFill="1" applyBorder="1" applyAlignment="1">
      <alignment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59" xfId="73" applyNumberFormat="1" applyFont="1" applyFill="1" applyBorder="1" applyAlignment="1">
      <alignment vertical="center"/>
      <protection/>
    </xf>
    <xf numFmtId="3" fontId="27" fillId="0" borderId="59" xfId="0" applyNumberFormat="1" applyFont="1" applyFill="1" applyBorder="1" applyAlignment="1">
      <alignment vertical="center"/>
    </xf>
    <xf numFmtId="3" fontId="21" fillId="0" borderId="6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8" fillId="0" borderId="0" xfId="73" applyNumberFormat="1" applyFont="1" applyFill="1" applyBorder="1" applyAlignment="1">
      <alignment horizontal="left"/>
      <protection/>
    </xf>
    <xf numFmtId="3" fontId="22" fillId="0" borderId="0" xfId="73" applyNumberFormat="1" applyFont="1" applyFill="1" applyBorder="1" applyAlignment="1">
      <alignment horizontal="left" vertical="center"/>
      <protection/>
    </xf>
    <xf numFmtId="3" fontId="22" fillId="0" borderId="59" xfId="73" applyNumberFormat="1" applyFont="1" applyFill="1" applyBorder="1" applyAlignment="1">
      <alignment horizontal="left" vertical="center"/>
      <protection/>
    </xf>
    <xf numFmtId="3" fontId="28" fillId="0" borderId="0" xfId="0" applyNumberFormat="1" applyFont="1" applyFill="1" applyBorder="1" applyAlignment="1">
      <alignment vertical="top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73" applyNumberFormat="1" applyFont="1" applyFill="1" applyBorder="1" applyAlignment="1">
      <alignment horizontal="left" vertical="center"/>
      <protection/>
    </xf>
    <xf numFmtId="3" fontId="46" fillId="0" borderId="0" xfId="0" applyNumberFormat="1" applyFont="1" applyFill="1" applyBorder="1" applyAlignment="1">
      <alignment vertical="center"/>
    </xf>
    <xf numFmtId="3" fontId="21" fillId="0" borderId="61" xfId="0" applyNumberFormat="1" applyFont="1" applyFill="1" applyBorder="1" applyAlignment="1">
      <alignment horizontal="center"/>
    </xf>
    <xf numFmtId="3" fontId="21" fillId="0" borderId="62" xfId="0" applyNumberFormat="1" applyFont="1" applyFill="1" applyBorder="1" applyAlignment="1">
      <alignment horizontal="center"/>
    </xf>
    <xf numFmtId="3" fontId="21" fillId="0" borderId="62" xfId="73" applyNumberFormat="1" applyFont="1" applyFill="1" applyBorder="1" applyAlignment="1">
      <alignment wrapText="1"/>
      <protection/>
    </xf>
    <xf numFmtId="3" fontId="21" fillId="0" borderId="0" xfId="73" applyNumberFormat="1" applyFont="1" applyFill="1" applyBorder="1" applyAlignment="1">
      <alignment horizontal="left" vertical="center"/>
      <protection/>
    </xf>
    <xf numFmtId="3" fontId="22" fillId="0" borderId="0" xfId="73" applyNumberFormat="1" applyFont="1" applyFill="1" applyBorder="1" applyAlignment="1">
      <alignment horizontal="left" vertical="top"/>
      <protection/>
    </xf>
    <xf numFmtId="3" fontId="21" fillId="0" borderId="48" xfId="73" applyNumberFormat="1" applyFont="1" applyFill="1" applyBorder="1" applyAlignment="1">
      <alignment vertical="center" wrapText="1"/>
      <protection/>
    </xf>
    <xf numFmtId="3" fontId="20" fillId="0" borderId="48" xfId="0" applyNumberFormat="1" applyFont="1" applyFill="1" applyBorder="1" applyAlignment="1">
      <alignment vertical="center"/>
    </xf>
    <xf numFmtId="3" fontId="28" fillId="0" borderId="0" xfId="73" applyNumberFormat="1" applyFont="1" applyFill="1" applyBorder="1" applyAlignment="1">
      <alignment horizontal="left" vertical="center"/>
      <protection/>
    </xf>
    <xf numFmtId="3" fontId="22" fillId="0" borderId="0" xfId="73" applyNumberFormat="1" applyFont="1" applyFill="1" applyBorder="1" applyAlignment="1">
      <alignment horizontal="left" vertical="top" indent="1"/>
      <protection/>
    </xf>
    <xf numFmtId="3" fontId="21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Alignment="1">
      <alignment vertical="center"/>
    </xf>
    <xf numFmtId="3" fontId="22" fillId="0" borderId="48" xfId="0" applyNumberFormat="1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left" vertical="center" wrapText="1"/>
    </xf>
    <xf numFmtId="3" fontId="22" fillId="0" borderId="59" xfId="0" applyNumberFormat="1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vertical="center"/>
    </xf>
    <xf numFmtId="3" fontId="33" fillId="0" borderId="0" xfId="73" applyNumberFormat="1" applyFont="1" applyFill="1" applyBorder="1" applyAlignment="1">
      <alignment horizontal="center" vertical="center"/>
      <protection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63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top"/>
    </xf>
    <xf numFmtId="3" fontId="20" fillId="22" borderId="0" xfId="61" applyNumberFormat="1" applyFont="1" applyFill="1" applyAlignment="1">
      <alignment horizontal="center"/>
      <protection/>
    </xf>
    <xf numFmtId="49" fontId="26" fillId="22" borderId="0" xfId="61" applyNumberFormat="1" applyFont="1" applyFill="1" applyAlignment="1">
      <alignment horizontal="center"/>
      <protection/>
    </xf>
    <xf numFmtId="3" fontId="26" fillId="22" borderId="0" xfId="61" applyNumberFormat="1" applyFont="1" applyFill="1" applyAlignment="1">
      <alignment horizontal="center"/>
      <protection/>
    </xf>
    <xf numFmtId="3" fontId="26" fillId="22" borderId="0" xfId="61" applyNumberFormat="1" applyFont="1" applyFill="1">
      <alignment/>
      <protection/>
    </xf>
    <xf numFmtId="0" fontId="21" fillId="22" borderId="0" xfId="0" applyFont="1" applyFill="1" applyAlignment="1">
      <alignment horizontal="center" vertical="top"/>
    </xf>
    <xf numFmtId="0" fontId="26" fillId="22" borderId="0" xfId="0" applyFont="1" applyFill="1" applyAlignment="1">
      <alignment horizontal="center"/>
    </xf>
    <xf numFmtId="0" fontId="26" fillId="22" borderId="0" xfId="0" applyFont="1" applyFill="1" applyAlignment="1">
      <alignment/>
    </xf>
    <xf numFmtId="3" fontId="26" fillId="22" borderId="0" xfId="0" applyNumberFormat="1" applyFont="1" applyFill="1" applyAlignment="1">
      <alignment/>
    </xf>
    <xf numFmtId="3" fontId="25" fillId="22" borderId="0" xfId="0" applyNumberFormat="1" applyFont="1" applyFill="1" applyAlignment="1">
      <alignment/>
    </xf>
    <xf numFmtId="3" fontId="23" fillId="0" borderId="0" xfId="61" applyNumberFormat="1" applyFont="1" applyFill="1" applyAlignment="1">
      <alignment/>
      <protection/>
    </xf>
    <xf numFmtId="0" fontId="23" fillId="0" borderId="0" xfId="61" applyFont="1" applyFill="1" applyBorder="1" applyAlignment="1">
      <alignment/>
      <protection/>
    </xf>
    <xf numFmtId="3" fontId="26" fillId="0" borderId="31" xfId="61" applyNumberFormat="1" applyFont="1" applyFill="1" applyBorder="1" applyAlignment="1">
      <alignment wrapText="1"/>
      <protection/>
    </xf>
    <xf numFmtId="3" fontId="20" fillId="0" borderId="64" xfId="61" applyNumberFormat="1" applyFont="1" applyFill="1" applyBorder="1" applyAlignment="1">
      <alignment horizontal="center"/>
      <protection/>
    </xf>
    <xf numFmtId="3" fontId="26" fillId="0" borderId="65" xfId="61" applyNumberFormat="1" applyFont="1" applyFill="1" applyBorder="1" applyAlignment="1">
      <alignment horizontal="center"/>
      <protection/>
    </xf>
    <xf numFmtId="3" fontId="26" fillId="0" borderId="65" xfId="61" applyNumberFormat="1" applyFont="1" applyFill="1" applyBorder="1" applyAlignment="1">
      <alignment horizontal="right"/>
      <protection/>
    </xf>
    <xf numFmtId="3" fontId="26" fillId="0" borderId="65" xfId="0" applyNumberFormat="1" applyFont="1" applyFill="1" applyBorder="1" applyAlignment="1">
      <alignment horizontal="right" wrapText="1"/>
    </xf>
    <xf numFmtId="3" fontId="26" fillId="0" borderId="66" xfId="0" applyNumberFormat="1" applyFont="1" applyFill="1" applyBorder="1" applyAlignment="1">
      <alignment horizontal="right" wrapText="1"/>
    </xf>
    <xf numFmtId="3" fontId="23" fillId="0" borderId="0" xfId="61" applyNumberFormat="1" applyFont="1" applyFill="1" applyBorder="1" applyAlignment="1">
      <alignment/>
      <protection/>
    </xf>
    <xf numFmtId="3" fontId="26" fillId="0" borderId="51" xfId="61" applyNumberFormat="1" applyFont="1" applyFill="1" applyBorder="1" applyAlignment="1">
      <alignment horizontal="right"/>
      <protection/>
    </xf>
    <xf numFmtId="3" fontId="29" fillId="0" borderId="56" xfId="61" applyNumberFormat="1" applyFont="1" applyFill="1" applyBorder="1" applyAlignment="1">
      <alignment horizontal="center"/>
      <protection/>
    </xf>
    <xf numFmtId="3" fontId="29" fillId="0" borderId="57" xfId="61" applyNumberFormat="1" applyFont="1" applyFill="1" applyBorder="1" applyAlignment="1">
      <alignment horizontal="center"/>
      <protection/>
    </xf>
    <xf numFmtId="3" fontId="30" fillId="0" borderId="57" xfId="61" applyNumberFormat="1" applyFont="1" applyFill="1" applyBorder="1" applyAlignment="1">
      <alignment/>
      <protection/>
    </xf>
    <xf numFmtId="3" fontId="30" fillId="0" borderId="57" xfId="61" applyNumberFormat="1" applyFont="1" applyFill="1" applyBorder="1" applyAlignment="1">
      <alignment horizontal="center"/>
      <protection/>
    </xf>
    <xf numFmtId="3" fontId="20" fillId="0" borderId="31" xfId="61" applyNumberFormat="1" applyFont="1" applyFill="1" applyBorder="1" applyAlignment="1">
      <alignment horizontal="center" vertical="center"/>
      <protection/>
    </xf>
    <xf numFmtId="3" fontId="21" fillId="0" borderId="67" xfId="0" applyNumberFormat="1" applyFont="1" applyFill="1" applyBorder="1" applyAlignment="1">
      <alignment horizontal="center" vertical="center" wrapText="1"/>
    </xf>
    <xf numFmtId="3" fontId="26" fillId="0" borderId="52" xfId="61" applyNumberFormat="1" applyFont="1" applyFill="1" applyBorder="1" applyAlignment="1">
      <alignment horizontal="right"/>
      <protection/>
    </xf>
    <xf numFmtId="3" fontId="30" fillId="0" borderId="52" xfId="61" applyNumberFormat="1" applyFont="1" applyFill="1" applyBorder="1" applyAlignment="1">
      <alignment horizontal="right"/>
      <protection/>
    </xf>
    <xf numFmtId="3" fontId="26" fillId="0" borderId="68" xfId="61" applyNumberFormat="1" applyFont="1" applyFill="1" applyBorder="1" applyAlignment="1">
      <alignment/>
      <protection/>
    </xf>
    <xf numFmtId="3" fontId="23" fillId="0" borderId="52" xfId="61" applyNumberFormat="1" applyFont="1" applyFill="1" applyBorder="1" applyAlignment="1">
      <alignment horizontal="right"/>
      <protection/>
    </xf>
    <xf numFmtId="3" fontId="26" fillId="0" borderId="52" xfId="61" applyNumberFormat="1" applyFont="1" applyFill="1" applyBorder="1" applyAlignment="1">
      <alignment horizontal="center"/>
      <protection/>
    </xf>
    <xf numFmtId="3" fontId="20" fillId="0" borderId="69" xfId="61" applyNumberFormat="1" applyFont="1" applyFill="1" applyBorder="1" applyAlignment="1">
      <alignment horizontal="center" vertical="center"/>
      <protection/>
    </xf>
    <xf numFmtId="3" fontId="20" fillId="0" borderId="70" xfId="61" applyNumberFormat="1" applyFont="1" applyFill="1" applyBorder="1" applyAlignment="1">
      <alignment horizontal="center" vertical="center"/>
      <protection/>
    </xf>
    <xf numFmtId="3" fontId="23" fillId="0" borderId="70" xfId="61" applyNumberFormat="1" applyFont="1" applyFill="1" applyBorder="1" applyAlignment="1">
      <alignment horizontal="left" vertical="center"/>
      <protection/>
    </xf>
    <xf numFmtId="3" fontId="23" fillId="0" borderId="70" xfId="61" applyNumberFormat="1" applyFont="1" applyFill="1" applyBorder="1" applyAlignment="1">
      <alignment horizontal="center" vertical="center"/>
      <protection/>
    </xf>
    <xf numFmtId="3" fontId="23" fillId="0" borderId="70" xfId="61" applyNumberFormat="1" applyFont="1" applyFill="1" applyBorder="1" applyAlignment="1">
      <alignment horizontal="right" vertical="center"/>
      <protection/>
    </xf>
    <xf numFmtId="3" fontId="26" fillId="0" borderId="70" xfId="61" applyNumberFormat="1" applyFont="1" applyFill="1" applyBorder="1" applyAlignment="1">
      <alignment vertical="center"/>
      <protection/>
    </xf>
    <xf numFmtId="3" fontId="26" fillId="0" borderId="71" xfId="61" applyNumberFormat="1" applyFont="1" applyFill="1" applyBorder="1" applyAlignment="1">
      <alignment vertical="center"/>
      <protection/>
    </xf>
    <xf numFmtId="3" fontId="26" fillId="0" borderId="72" xfId="61" applyNumberFormat="1" applyFont="1" applyFill="1" applyBorder="1" applyAlignment="1">
      <alignment horizontal="right"/>
      <protection/>
    </xf>
    <xf numFmtId="3" fontId="26" fillId="0" borderId="68" xfId="61" applyNumberFormat="1" applyFont="1" applyFill="1" applyBorder="1" applyAlignment="1">
      <alignment horizontal="right"/>
      <protection/>
    </xf>
    <xf numFmtId="3" fontId="30" fillId="0" borderId="68" xfId="61" applyNumberFormat="1" applyFont="1" applyFill="1" applyBorder="1" applyAlignment="1">
      <alignment horizontal="right"/>
      <protection/>
    </xf>
    <xf numFmtId="3" fontId="23" fillId="0" borderId="68" xfId="61" applyNumberFormat="1" applyFont="1" applyFill="1" applyBorder="1" applyAlignment="1">
      <alignment horizontal="right"/>
      <protection/>
    </xf>
    <xf numFmtId="3" fontId="26" fillId="0" borderId="73" xfId="61" applyNumberFormat="1" applyFont="1" applyFill="1" applyBorder="1" applyAlignment="1">
      <alignment horizontal="right"/>
      <protection/>
    </xf>
    <xf numFmtId="3" fontId="23" fillId="0" borderId="74" xfId="61" applyNumberFormat="1" applyFont="1" applyFill="1" applyBorder="1" applyAlignment="1">
      <alignment horizontal="right" vertical="center"/>
      <protection/>
    </xf>
    <xf numFmtId="3" fontId="26" fillId="0" borderId="75" xfId="61" applyNumberFormat="1" applyFont="1" applyFill="1" applyBorder="1" applyAlignment="1">
      <alignment horizontal="center"/>
      <protection/>
    </xf>
    <xf numFmtId="3" fontId="26" fillId="0" borderId="76" xfId="61" applyNumberFormat="1" applyFont="1" applyFill="1" applyBorder="1" applyAlignment="1">
      <alignment horizontal="right"/>
      <protection/>
    </xf>
    <xf numFmtId="3" fontId="30" fillId="0" borderId="76" xfId="61" applyNumberFormat="1" applyFont="1" applyFill="1" applyBorder="1" applyAlignment="1">
      <alignment horizontal="right"/>
      <protection/>
    </xf>
    <xf numFmtId="3" fontId="23" fillId="0" borderId="76" xfId="61" applyNumberFormat="1" applyFont="1" applyFill="1" applyBorder="1" applyAlignment="1">
      <alignment horizontal="right"/>
      <protection/>
    </xf>
    <xf numFmtId="3" fontId="26" fillId="0" borderId="77" xfId="61" applyNumberFormat="1" applyFont="1" applyFill="1" applyBorder="1" applyAlignment="1">
      <alignment horizontal="right"/>
      <protection/>
    </xf>
    <xf numFmtId="3" fontId="26" fillId="0" borderId="78" xfId="61" applyNumberFormat="1" applyFont="1" applyFill="1" applyBorder="1" applyAlignment="1">
      <alignment vertical="center"/>
      <protection/>
    </xf>
    <xf numFmtId="0" fontId="21" fillId="0" borderId="32" xfId="75" applyFont="1" applyFill="1" applyBorder="1" applyAlignment="1">
      <alignment horizontal="center"/>
      <protection/>
    </xf>
    <xf numFmtId="0" fontId="22" fillId="0" borderId="31" xfId="74" applyFont="1" applyFill="1" applyBorder="1" applyAlignment="1">
      <alignment wrapText="1"/>
      <protection/>
    </xf>
    <xf numFmtId="3" fontId="21" fillId="0" borderId="31" xfId="74" applyNumberFormat="1" applyFont="1" applyFill="1" applyBorder="1" applyAlignment="1">
      <alignment vertical="top"/>
      <protection/>
    </xf>
    <xf numFmtId="3" fontId="21" fillId="0" borderId="31" xfId="61" applyNumberFormat="1" applyFont="1" applyFill="1" applyBorder="1" applyAlignment="1">
      <alignment horizontal="right"/>
      <protection/>
    </xf>
    <xf numFmtId="0" fontId="21" fillId="0" borderId="31" xfId="74" applyFont="1" applyFill="1" applyBorder="1" applyAlignment="1">
      <alignment vertical="top" wrapText="1"/>
      <protection/>
    </xf>
    <xf numFmtId="3" fontId="21" fillId="0" borderId="31" xfId="61" applyNumberFormat="1" applyFont="1" applyFill="1" applyBorder="1" applyAlignment="1">
      <alignment horizontal="right" vertical="top"/>
      <protection/>
    </xf>
    <xf numFmtId="0" fontId="28" fillId="0" borderId="31" xfId="74" applyFont="1" applyFill="1" applyBorder="1" applyAlignment="1">
      <alignment vertical="top" wrapText="1"/>
      <protection/>
    </xf>
    <xf numFmtId="0" fontId="22" fillId="0" borderId="31" xfId="74" applyFont="1" applyFill="1" applyBorder="1" applyAlignment="1">
      <alignment vertical="top" wrapText="1"/>
      <protection/>
    </xf>
    <xf numFmtId="3" fontId="21" fillId="0" borderId="31" xfId="74" applyNumberFormat="1" applyFont="1" applyFill="1" applyBorder="1">
      <alignment/>
      <protection/>
    </xf>
    <xf numFmtId="3" fontId="22" fillId="0" borderId="31" xfId="74" applyNumberFormat="1" applyFont="1" applyFill="1" applyBorder="1" applyAlignment="1">
      <alignment horizontal="right"/>
      <protection/>
    </xf>
    <xf numFmtId="0" fontId="21" fillId="0" borderId="31" xfId="75" applyFont="1" applyFill="1" applyBorder="1" applyAlignment="1">
      <alignment horizontal="center"/>
      <protection/>
    </xf>
    <xf numFmtId="3" fontId="21" fillId="0" borderId="31" xfId="74" applyNumberFormat="1" applyFont="1" applyFill="1" applyBorder="1" applyAlignment="1">
      <alignment vertical="center"/>
      <protection/>
    </xf>
    <xf numFmtId="3" fontId="21" fillId="0" borderId="31" xfId="64" applyNumberFormat="1" applyFont="1" applyFill="1" applyBorder="1" applyAlignment="1">
      <alignment vertical="center"/>
      <protection/>
    </xf>
    <xf numFmtId="3" fontId="21" fillId="0" borderId="31" xfId="61" applyNumberFormat="1" applyFont="1" applyFill="1" applyBorder="1" applyAlignment="1">
      <alignment horizontal="right" vertical="center"/>
      <protection/>
    </xf>
    <xf numFmtId="3" fontId="35" fillId="0" borderId="0" xfId="0" applyNumberFormat="1" applyFont="1" applyFill="1" applyBorder="1" applyAlignment="1">
      <alignment/>
    </xf>
    <xf numFmtId="3" fontId="22" fillId="0" borderId="33" xfId="75" applyNumberFormat="1" applyFont="1" applyFill="1" applyBorder="1" applyAlignment="1">
      <alignment horizontal="right" vertical="center"/>
      <protection/>
    </xf>
    <xf numFmtId="0" fontId="37" fillId="0" borderId="70" xfId="75" applyFont="1" applyFill="1" applyBorder="1" applyAlignment="1">
      <alignment horizontal="left" vertical="center" wrapText="1"/>
      <protection/>
    </xf>
    <xf numFmtId="3" fontId="22" fillId="0" borderId="70" xfId="75" applyNumberFormat="1" applyFont="1" applyFill="1" applyBorder="1" applyAlignment="1">
      <alignment horizontal="center" vertical="center" wrapText="1"/>
      <protection/>
    </xf>
    <xf numFmtId="3" fontId="21" fillId="0" borderId="31" xfId="64" applyNumberFormat="1" applyFont="1" applyFill="1" applyBorder="1" applyAlignment="1">
      <alignment/>
      <protection/>
    </xf>
    <xf numFmtId="3" fontId="28" fillId="0" borderId="31" xfId="64" applyNumberFormat="1" applyFont="1" applyFill="1" applyBorder="1" applyAlignment="1">
      <alignment/>
      <protection/>
    </xf>
    <xf numFmtId="3" fontId="28" fillId="0" borderId="31" xfId="61" applyNumberFormat="1" applyFont="1" applyFill="1" applyBorder="1" applyAlignment="1">
      <alignment horizontal="right"/>
      <protection/>
    </xf>
    <xf numFmtId="3" fontId="22" fillId="0" borderId="31" xfId="64" applyNumberFormat="1" applyFont="1" applyFill="1" applyBorder="1" applyAlignment="1">
      <alignment/>
      <protection/>
    </xf>
    <xf numFmtId="3" fontId="21" fillId="0" borderId="31" xfId="64" applyNumberFormat="1" applyFont="1" applyFill="1" applyBorder="1" applyAlignment="1">
      <alignment wrapText="1"/>
      <protection/>
    </xf>
    <xf numFmtId="3" fontId="21" fillId="0" borderId="31" xfId="66" applyNumberFormat="1" applyFont="1" applyFill="1" applyBorder="1" applyAlignment="1">
      <alignment wrapText="1"/>
      <protection/>
    </xf>
    <xf numFmtId="3" fontId="21" fillId="0" borderId="31" xfId="74" applyNumberFormat="1" applyFont="1" applyFill="1" applyBorder="1" applyAlignment="1">
      <alignment horizontal="center"/>
      <protection/>
    </xf>
    <xf numFmtId="3" fontId="21" fillId="0" borderId="31" xfId="74" applyNumberFormat="1" applyFont="1" applyFill="1" applyBorder="1" applyAlignment="1">
      <alignment horizontal="right"/>
      <protection/>
    </xf>
    <xf numFmtId="3" fontId="21" fillId="0" borderId="31" xfId="66" applyNumberFormat="1" applyFont="1" applyFill="1" applyBorder="1">
      <alignment/>
      <protection/>
    </xf>
    <xf numFmtId="3" fontId="21" fillId="0" borderId="31" xfId="64" applyNumberFormat="1" applyFont="1" applyFill="1" applyBorder="1">
      <alignment/>
      <protection/>
    </xf>
    <xf numFmtId="0" fontId="21" fillId="0" borderId="31" xfId="74" applyFont="1" applyFill="1" applyBorder="1" applyAlignment="1">
      <alignment horizontal="right" vertical="top" wrapText="1"/>
      <protection/>
    </xf>
    <xf numFmtId="3" fontId="21" fillId="0" borderId="31" xfId="74" applyNumberFormat="1" applyFont="1" applyFill="1" applyBorder="1" applyAlignment="1">
      <alignment/>
      <protection/>
    </xf>
    <xf numFmtId="3" fontId="22" fillId="0" borderId="31" xfId="66" applyNumberFormat="1" applyFont="1" applyFill="1" applyBorder="1" applyAlignment="1">
      <alignment wrapText="1"/>
      <protection/>
    </xf>
    <xf numFmtId="0" fontId="21" fillId="0" borderId="32" xfId="75" applyFont="1" applyFill="1" applyBorder="1" applyAlignment="1">
      <alignment horizontal="center" vertical="center"/>
      <protection/>
    </xf>
    <xf numFmtId="3" fontId="28" fillId="0" borderId="31" xfId="64" applyNumberFormat="1" applyFont="1" applyFill="1" applyBorder="1">
      <alignment/>
      <protection/>
    </xf>
    <xf numFmtId="3" fontId="22" fillId="0" borderId="31" xfId="64" applyNumberFormat="1" applyFont="1" applyFill="1" applyBorder="1">
      <alignment/>
      <protection/>
    </xf>
    <xf numFmtId="3" fontId="22" fillId="0" borderId="31" xfId="66" applyNumberFormat="1" applyFont="1" applyFill="1" applyBorder="1">
      <alignment/>
      <protection/>
    </xf>
    <xf numFmtId="3" fontId="22" fillId="0" borderId="31" xfId="74" applyNumberFormat="1" applyFont="1" applyFill="1" applyBorder="1">
      <alignment/>
      <protection/>
    </xf>
    <xf numFmtId="3" fontId="21" fillId="0" borderId="31" xfId="75" applyNumberFormat="1" applyFont="1" applyFill="1" applyBorder="1" applyAlignment="1">
      <alignment horizontal="right" vertical="center"/>
      <protection/>
    </xf>
    <xf numFmtId="3" fontId="28" fillId="0" borderId="31" xfId="75" applyNumberFormat="1" applyFont="1" applyFill="1" applyBorder="1" applyAlignment="1">
      <alignment horizontal="right" vertical="center"/>
      <protection/>
    </xf>
    <xf numFmtId="0" fontId="21" fillId="0" borderId="31" xfId="74" applyFont="1" applyFill="1" applyBorder="1" applyAlignment="1">
      <alignment vertical="center" wrapText="1"/>
      <protection/>
    </xf>
    <xf numFmtId="0" fontId="28" fillId="0" borderId="31" xfId="74" applyFont="1" applyFill="1" applyBorder="1" applyAlignment="1">
      <alignment vertical="center" wrapText="1"/>
      <protection/>
    </xf>
    <xf numFmtId="0" fontId="22" fillId="0" borderId="33" xfId="74" applyFont="1" applyFill="1" applyBorder="1" applyAlignment="1">
      <alignment vertical="center" wrapText="1"/>
      <protection/>
    </xf>
    <xf numFmtId="0" fontId="22" fillId="0" borderId="31" xfId="74" applyFont="1" applyFill="1" applyBorder="1" applyAlignment="1">
      <alignment horizontal="center" wrapText="1"/>
      <protection/>
    </xf>
    <xf numFmtId="0" fontId="22" fillId="0" borderId="32" xfId="75" applyFont="1" applyFill="1" applyBorder="1" applyAlignment="1">
      <alignment horizontal="center" vertical="top"/>
      <protection/>
    </xf>
    <xf numFmtId="3" fontId="22" fillId="0" borderId="31" xfId="64" applyNumberFormat="1" applyFont="1" applyFill="1" applyBorder="1" applyAlignment="1">
      <alignment vertical="top"/>
      <protection/>
    </xf>
    <xf numFmtId="0" fontId="22" fillId="0" borderId="79" xfId="75" applyFont="1" applyFill="1" applyBorder="1" applyAlignment="1">
      <alignment horizontal="center" vertical="top"/>
      <protection/>
    </xf>
    <xf numFmtId="3" fontId="22" fillId="0" borderId="80" xfId="64" applyNumberFormat="1" applyFont="1" applyFill="1" applyBorder="1" applyAlignment="1">
      <alignment vertical="top"/>
      <protection/>
    </xf>
    <xf numFmtId="0" fontId="22" fillId="0" borderId="81" xfId="74" applyFont="1" applyFill="1" applyBorder="1" applyAlignment="1">
      <alignment vertical="center" wrapText="1"/>
      <protection/>
    </xf>
    <xf numFmtId="3" fontId="21" fillId="0" borderId="68" xfId="75" applyNumberFormat="1" applyFont="1" applyFill="1" applyBorder="1" applyAlignment="1">
      <alignment horizontal="right" vertical="center"/>
      <protection/>
    </xf>
    <xf numFmtId="3" fontId="28" fillId="0" borderId="68" xfId="75" applyNumberFormat="1" applyFont="1" applyFill="1" applyBorder="1" applyAlignment="1">
      <alignment horizontal="right" vertical="center"/>
      <protection/>
    </xf>
    <xf numFmtId="3" fontId="22" fillId="0" borderId="82" xfId="75" applyNumberFormat="1" applyFont="1" applyFill="1" applyBorder="1" applyAlignment="1">
      <alignment horizontal="right" vertical="center"/>
      <protection/>
    </xf>
    <xf numFmtId="3" fontId="22" fillId="0" borderId="83" xfId="75" applyNumberFormat="1" applyFont="1" applyFill="1" applyBorder="1" applyAlignment="1">
      <alignment horizontal="center" vertical="center" wrapText="1"/>
      <protection/>
    </xf>
    <xf numFmtId="3" fontId="21" fillId="0" borderId="84" xfId="66" applyNumberFormat="1" applyFont="1" applyFill="1" applyBorder="1" applyAlignment="1">
      <alignment horizontal="right"/>
      <protection/>
    </xf>
    <xf numFmtId="3" fontId="28" fillId="0" borderId="84" xfId="66" applyNumberFormat="1" applyFont="1" applyFill="1" applyBorder="1" applyAlignment="1">
      <alignment horizontal="right"/>
      <protection/>
    </xf>
    <xf numFmtId="3" fontId="22" fillId="0" borderId="84" xfId="64" applyNumberFormat="1" applyFont="1" applyFill="1" applyBorder="1" applyAlignment="1">
      <alignment/>
      <protection/>
    </xf>
    <xf numFmtId="3" fontId="21" fillId="0" borderId="84" xfId="74" applyNumberFormat="1" applyFont="1" applyFill="1" applyBorder="1" applyAlignment="1">
      <alignment horizontal="right"/>
      <protection/>
    </xf>
    <xf numFmtId="3" fontId="22" fillId="0" borderId="84" xfId="66" applyNumberFormat="1" applyFont="1" applyFill="1" applyBorder="1" applyAlignment="1">
      <alignment wrapText="1"/>
      <protection/>
    </xf>
    <xf numFmtId="3" fontId="21" fillId="0" borderId="84" xfId="64" applyNumberFormat="1" applyFont="1" applyFill="1" applyBorder="1" applyAlignment="1">
      <alignment horizontal="right"/>
      <protection/>
    </xf>
    <xf numFmtId="3" fontId="22" fillId="0" borderId="84" xfId="66" applyNumberFormat="1" applyFont="1" applyFill="1" applyBorder="1">
      <alignment/>
      <protection/>
    </xf>
    <xf numFmtId="3" fontId="22" fillId="0" borderId="84" xfId="64" applyNumberFormat="1" applyFont="1" applyFill="1" applyBorder="1">
      <alignment/>
      <protection/>
    </xf>
    <xf numFmtId="3" fontId="28" fillId="0" borderId="84" xfId="64" applyNumberFormat="1" applyFont="1" applyFill="1" applyBorder="1" applyAlignment="1">
      <alignment horizontal="right"/>
      <protection/>
    </xf>
    <xf numFmtId="3" fontId="22" fillId="0" borderId="84" xfId="74" applyNumberFormat="1" applyFont="1" applyFill="1" applyBorder="1" applyAlignment="1">
      <alignment horizontal="right"/>
      <protection/>
    </xf>
    <xf numFmtId="3" fontId="22" fillId="0" borderId="84" xfId="74" applyNumberFormat="1" applyFont="1" applyFill="1" applyBorder="1">
      <alignment/>
      <protection/>
    </xf>
    <xf numFmtId="3" fontId="22" fillId="0" borderId="84" xfId="64" applyNumberFormat="1" applyFont="1" applyFill="1" applyBorder="1" applyAlignment="1">
      <alignment vertical="top"/>
      <protection/>
    </xf>
    <xf numFmtId="3" fontId="21" fillId="0" borderId="84" xfId="75" applyNumberFormat="1" applyFont="1" applyFill="1" applyBorder="1" applyAlignment="1">
      <alignment horizontal="right" vertical="center"/>
      <protection/>
    </xf>
    <xf numFmtId="3" fontId="22" fillId="0" borderId="85" xfId="75" applyNumberFormat="1" applyFont="1" applyFill="1" applyBorder="1" applyAlignment="1">
      <alignment horizontal="right" vertical="center"/>
      <protection/>
    </xf>
    <xf numFmtId="3" fontId="21" fillId="0" borderId="84" xfId="74" applyNumberFormat="1" applyFont="1" applyFill="1" applyBorder="1" applyAlignment="1">
      <alignment horizontal="right" vertical="top"/>
      <protection/>
    </xf>
    <xf numFmtId="3" fontId="21" fillId="0" borderId="84" xfId="66" applyNumberFormat="1" applyFont="1" applyFill="1" applyBorder="1" applyAlignment="1">
      <alignment horizontal="right" vertical="center"/>
      <protection/>
    </xf>
    <xf numFmtId="3" fontId="22" fillId="0" borderId="86" xfId="64" applyNumberFormat="1" applyFont="1" applyFill="1" applyBorder="1" applyAlignment="1">
      <alignment vertical="top"/>
      <protection/>
    </xf>
    <xf numFmtId="3" fontId="21" fillId="0" borderId="84" xfId="74" applyNumberFormat="1" applyFont="1" applyFill="1" applyBorder="1" applyAlignment="1">
      <alignment horizontal="right" vertical="center"/>
      <protection/>
    </xf>
    <xf numFmtId="3" fontId="22" fillId="0" borderId="87" xfId="75" applyNumberFormat="1" applyFont="1" applyFill="1" applyBorder="1" applyAlignment="1">
      <alignment horizontal="center" vertical="center" wrapText="1"/>
      <protection/>
    </xf>
    <xf numFmtId="3" fontId="22" fillId="0" borderId="78" xfId="75" applyNumberFormat="1" applyFont="1" applyFill="1" applyBorder="1" applyAlignment="1">
      <alignment horizontal="center" vertical="center" wrapText="1"/>
      <protection/>
    </xf>
    <xf numFmtId="3" fontId="22" fillId="0" borderId="88" xfId="75" applyNumberFormat="1" applyFont="1" applyFill="1" applyBorder="1" applyAlignment="1">
      <alignment horizontal="center" vertical="center" wrapText="1"/>
      <protection/>
    </xf>
    <xf numFmtId="3" fontId="21" fillId="0" borderId="76" xfId="61" applyNumberFormat="1" applyFont="1" applyFill="1" applyBorder="1" applyAlignment="1">
      <alignment horizontal="right"/>
      <protection/>
    </xf>
    <xf numFmtId="3" fontId="22" fillId="0" borderId="89" xfId="66" applyNumberFormat="1" applyFont="1" applyFill="1" applyBorder="1" applyAlignment="1">
      <alignment horizontal="right"/>
      <protection/>
    </xf>
    <xf numFmtId="3" fontId="21" fillId="0" borderId="89" xfId="66" applyNumberFormat="1" applyFont="1" applyFill="1" applyBorder="1" applyAlignment="1">
      <alignment horizontal="right"/>
      <protection/>
    </xf>
    <xf numFmtId="3" fontId="28" fillId="0" borderId="76" xfId="61" applyNumberFormat="1" applyFont="1" applyFill="1" applyBorder="1" applyAlignment="1">
      <alignment horizontal="right"/>
      <protection/>
    </xf>
    <xf numFmtId="3" fontId="28" fillId="0" borderId="89" xfId="66" applyNumberFormat="1" applyFont="1" applyFill="1" applyBorder="1" applyAlignment="1">
      <alignment horizontal="right"/>
      <protection/>
    </xf>
    <xf numFmtId="3" fontId="22" fillId="0" borderId="76" xfId="64" applyNumberFormat="1" applyFont="1" applyFill="1" applyBorder="1" applyAlignment="1">
      <alignment/>
      <protection/>
    </xf>
    <xf numFmtId="3" fontId="22" fillId="0" borderId="76" xfId="66" applyNumberFormat="1" applyFont="1" applyFill="1" applyBorder="1" applyAlignment="1">
      <alignment wrapText="1"/>
      <protection/>
    </xf>
    <xf numFmtId="3" fontId="22" fillId="0" borderId="76" xfId="66" applyNumberFormat="1" applyFont="1" applyFill="1" applyBorder="1">
      <alignment/>
      <protection/>
    </xf>
    <xf numFmtId="3" fontId="22" fillId="0" borderId="76" xfId="64" applyNumberFormat="1" applyFont="1" applyFill="1" applyBorder="1">
      <alignment/>
      <protection/>
    </xf>
    <xf numFmtId="3" fontId="22" fillId="0" borderId="76" xfId="74" applyNumberFormat="1" applyFont="1" applyFill="1" applyBorder="1" applyAlignment="1">
      <alignment horizontal="right"/>
      <protection/>
    </xf>
    <xf numFmtId="3" fontId="22" fillId="0" borderId="76" xfId="74" applyNumberFormat="1" applyFont="1" applyFill="1" applyBorder="1">
      <alignment/>
      <protection/>
    </xf>
    <xf numFmtId="3" fontId="22" fillId="0" borderId="76" xfId="64" applyNumberFormat="1" applyFont="1" applyFill="1" applyBorder="1" applyAlignment="1">
      <alignment vertical="top"/>
      <protection/>
    </xf>
    <xf numFmtId="3" fontId="21" fillId="0" borderId="76" xfId="75" applyNumberFormat="1" applyFont="1" applyFill="1" applyBorder="1" applyAlignment="1">
      <alignment horizontal="right" vertical="center"/>
      <protection/>
    </xf>
    <xf numFmtId="3" fontId="28" fillId="0" borderId="76" xfId="75" applyNumberFormat="1" applyFont="1" applyFill="1" applyBorder="1" applyAlignment="1">
      <alignment horizontal="right" vertical="center"/>
      <protection/>
    </xf>
    <xf numFmtId="3" fontId="22" fillId="0" borderId="90" xfId="75" applyNumberFormat="1" applyFont="1" applyFill="1" applyBorder="1" applyAlignment="1">
      <alignment horizontal="right" vertical="center"/>
      <protection/>
    </xf>
    <xf numFmtId="3" fontId="21" fillId="0" borderId="76" xfId="61" applyNumberFormat="1" applyFont="1" applyFill="1" applyBorder="1" applyAlignment="1">
      <alignment horizontal="right" vertical="top"/>
      <protection/>
    </xf>
    <xf numFmtId="3" fontId="21" fillId="0" borderId="76" xfId="61" applyNumberFormat="1" applyFont="1" applyFill="1" applyBorder="1" applyAlignment="1">
      <alignment horizontal="right" vertical="center"/>
      <protection/>
    </xf>
    <xf numFmtId="3" fontId="22" fillId="0" borderId="91" xfId="64" applyNumberFormat="1" applyFont="1" applyFill="1" applyBorder="1" applyAlignment="1">
      <alignment vertical="top"/>
      <protection/>
    </xf>
    <xf numFmtId="3" fontId="21" fillId="0" borderId="89" xfId="75" applyNumberFormat="1" applyFont="1" applyFill="1" applyBorder="1" applyAlignment="1">
      <alignment horizontal="right" vertical="center"/>
      <protection/>
    </xf>
    <xf numFmtId="3" fontId="22" fillId="0" borderId="92" xfId="75" applyNumberFormat="1" applyFont="1" applyFill="1" applyBorder="1" applyAlignment="1">
      <alignment horizontal="right" vertical="center"/>
      <protection/>
    </xf>
    <xf numFmtId="3" fontId="22" fillId="0" borderId="93" xfId="66" applyNumberFormat="1" applyFont="1" applyFill="1" applyBorder="1" applyAlignment="1">
      <alignment horizontal="right"/>
      <protection/>
    </xf>
    <xf numFmtId="3" fontId="22" fillId="0" borderId="94" xfId="74" applyNumberFormat="1" applyFont="1" applyFill="1" applyBorder="1" applyAlignment="1">
      <alignment horizontal="center" vertical="center" wrapText="1"/>
      <protection/>
    </xf>
    <xf numFmtId="3" fontId="22" fillId="0" borderId="95" xfId="74" applyNumberFormat="1" applyFont="1" applyFill="1" applyBorder="1" applyAlignment="1">
      <alignment vertical="center"/>
      <protection/>
    </xf>
    <xf numFmtId="3" fontId="33" fillId="0" borderId="37" xfId="74" applyNumberFormat="1" applyFont="1" applyFill="1" applyBorder="1" applyAlignment="1">
      <alignment vertical="center"/>
      <protection/>
    </xf>
    <xf numFmtId="3" fontId="28" fillId="0" borderId="0" xfId="74" applyNumberFormat="1" applyFont="1" applyFill="1" applyBorder="1" applyAlignment="1">
      <alignment vertical="top"/>
      <protection/>
    </xf>
    <xf numFmtId="3" fontId="28" fillId="0" borderId="0" xfId="74" applyNumberFormat="1" applyFont="1" applyFill="1" applyBorder="1">
      <alignment/>
      <protection/>
    </xf>
    <xf numFmtId="3" fontId="28" fillId="0" borderId="0" xfId="74" applyNumberFormat="1" applyFont="1" applyFill="1" applyBorder="1" applyAlignment="1">
      <alignment/>
      <protection/>
    </xf>
    <xf numFmtId="3" fontId="21" fillId="0" borderId="96" xfId="74" applyNumberFormat="1" applyFont="1" applyFill="1" applyBorder="1" applyAlignment="1">
      <alignment/>
      <protection/>
    </xf>
    <xf numFmtId="3" fontId="21" fillId="0" borderId="96" xfId="74" applyNumberFormat="1" applyFont="1" applyFill="1" applyBorder="1" applyAlignment="1">
      <alignment vertical="top"/>
      <protection/>
    </xf>
    <xf numFmtId="0" fontId="22" fillId="0" borderId="97" xfId="74" applyFont="1" applyFill="1" applyBorder="1" applyAlignment="1">
      <alignment horizontal="center"/>
      <protection/>
    </xf>
    <xf numFmtId="0" fontId="22" fillId="0" borderId="98" xfId="74" applyFont="1" applyFill="1" applyBorder="1" applyAlignment="1">
      <alignment horizontal="center"/>
      <protection/>
    </xf>
    <xf numFmtId="0" fontId="22" fillId="0" borderId="98" xfId="74" applyFont="1" applyFill="1" applyBorder="1" applyAlignment="1">
      <alignment horizontal="center" wrapText="1"/>
      <protection/>
    </xf>
    <xf numFmtId="3" fontId="22" fillId="0" borderId="98" xfId="74" applyNumberFormat="1" applyFont="1" applyFill="1" applyBorder="1" applyAlignment="1">
      <alignment/>
      <protection/>
    </xf>
    <xf numFmtId="3" fontId="28" fillId="0" borderId="99" xfId="74" applyNumberFormat="1" applyFont="1" applyFill="1" applyBorder="1" applyAlignment="1">
      <alignment/>
      <protection/>
    </xf>
    <xf numFmtId="3" fontId="22" fillId="0" borderId="99" xfId="74" applyNumberFormat="1" applyFont="1" applyFill="1" applyBorder="1" applyAlignment="1">
      <alignment/>
      <protection/>
    </xf>
    <xf numFmtId="0" fontId="22" fillId="0" borderId="0" xfId="74" applyFont="1" applyFill="1" applyBorder="1" applyAlignment="1">
      <alignment/>
      <protection/>
    </xf>
    <xf numFmtId="3" fontId="22" fillId="0" borderId="21" xfId="74" applyNumberFormat="1" applyFont="1" applyFill="1" applyBorder="1" applyAlignment="1">
      <alignment horizontal="center" vertical="center" wrapText="1"/>
      <protection/>
    </xf>
    <xf numFmtId="3" fontId="21" fillId="0" borderId="100" xfId="74" applyNumberFormat="1" applyFont="1" applyFill="1" applyBorder="1" applyAlignment="1">
      <alignment/>
      <protection/>
    </xf>
    <xf numFmtId="3" fontId="21" fillId="0" borderId="100" xfId="74" applyNumberFormat="1" applyFont="1" applyFill="1" applyBorder="1" applyAlignment="1">
      <alignment horizontal="right"/>
      <protection/>
    </xf>
    <xf numFmtId="3" fontId="21" fillId="0" borderId="100" xfId="74" applyNumberFormat="1" applyFont="1" applyFill="1" applyBorder="1">
      <alignment/>
      <protection/>
    </xf>
    <xf numFmtId="0" fontId="21" fillId="0" borderId="100" xfId="74" applyFont="1" applyFill="1" applyBorder="1">
      <alignment/>
      <protection/>
    </xf>
    <xf numFmtId="3" fontId="22" fillId="0" borderId="19" xfId="74" applyNumberFormat="1" applyFont="1" applyFill="1" applyBorder="1" applyAlignment="1">
      <alignment/>
      <protection/>
    </xf>
    <xf numFmtId="3" fontId="22" fillId="0" borderId="101" xfId="74" applyNumberFormat="1" applyFont="1" applyFill="1" applyBorder="1" applyAlignment="1">
      <alignment vertical="center"/>
      <protection/>
    </xf>
    <xf numFmtId="3" fontId="21" fillId="0" borderId="102" xfId="74" applyNumberFormat="1" applyFont="1" applyFill="1" applyBorder="1">
      <alignment/>
      <protection/>
    </xf>
    <xf numFmtId="3" fontId="22" fillId="0" borderId="103" xfId="74" applyNumberFormat="1" applyFont="1" applyFill="1" applyBorder="1" applyAlignment="1">
      <alignment horizontal="center" vertical="center" wrapText="1"/>
      <protection/>
    </xf>
    <xf numFmtId="3" fontId="22" fillId="0" borderId="104" xfId="74" applyNumberFormat="1" applyFont="1" applyFill="1" applyBorder="1">
      <alignment/>
      <protection/>
    </xf>
    <xf numFmtId="3" fontId="22" fillId="0" borderId="105" xfId="74" applyNumberFormat="1" applyFont="1" applyFill="1" applyBorder="1" applyAlignment="1">
      <alignment/>
      <protection/>
    </xf>
    <xf numFmtId="3" fontId="22" fillId="0" borderId="106" xfId="74" applyNumberFormat="1" applyFont="1" applyFill="1" applyBorder="1" applyAlignment="1">
      <alignment vertical="center"/>
      <protection/>
    </xf>
    <xf numFmtId="3" fontId="22" fillId="0" borderId="107" xfId="74" applyNumberFormat="1" applyFont="1" applyFill="1" applyBorder="1" applyAlignment="1">
      <alignment/>
      <protection/>
    </xf>
    <xf numFmtId="3" fontId="22" fillId="0" borderId="105" xfId="74" applyNumberFormat="1" applyFont="1" applyFill="1" applyBorder="1" applyAlignment="1">
      <alignment vertical="top"/>
      <protection/>
    </xf>
    <xf numFmtId="3" fontId="27" fillId="0" borderId="0" xfId="0" applyNumberFormat="1" applyFont="1" applyFill="1" applyBorder="1" applyAlignment="1">
      <alignment vertical="top"/>
    </xf>
    <xf numFmtId="3" fontId="20" fillId="0" borderId="62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vertical="center"/>
    </xf>
    <xf numFmtId="3" fontId="21" fillId="0" borderId="108" xfId="0" applyNumberFormat="1" applyFont="1" applyFill="1" applyBorder="1" applyAlignment="1">
      <alignment/>
    </xf>
    <xf numFmtId="3" fontId="21" fillId="0" borderId="108" xfId="0" applyNumberFormat="1" applyFont="1" applyFill="1" applyBorder="1" applyAlignment="1">
      <alignment vertical="center"/>
    </xf>
    <xf numFmtId="3" fontId="28" fillId="0" borderId="108" xfId="0" applyNumberFormat="1" applyFont="1" applyFill="1" applyBorder="1" applyAlignment="1">
      <alignment vertical="center"/>
    </xf>
    <xf numFmtId="3" fontId="22" fillId="0" borderId="108" xfId="0" applyNumberFormat="1" applyFont="1" applyFill="1" applyBorder="1" applyAlignment="1">
      <alignment vertical="center"/>
    </xf>
    <xf numFmtId="3" fontId="22" fillId="0" borderId="109" xfId="0" applyNumberFormat="1" applyFont="1" applyFill="1" applyBorder="1" applyAlignment="1">
      <alignment vertical="center"/>
    </xf>
    <xf numFmtId="3" fontId="21" fillId="0" borderId="110" xfId="0" applyNumberFormat="1" applyFont="1" applyFill="1" applyBorder="1" applyAlignment="1">
      <alignment vertical="center"/>
    </xf>
    <xf numFmtId="3" fontId="21" fillId="0" borderId="111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Alignment="1">
      <alignment horizontal="center"/>
    </xf>
    <xf numFmtId="3" fontId="21" fillId="0" borderId="0" xfId="75" applyNumberFormat="1" applyFont="1" applyFill="1" applyBorder="1">
      <alignment/>
      <protection/>
    </xf>
    <xf numFmtId="3" fontId="21" fillId="0" borderId="68" xfId="75" applyNumberFormat="1" applyFont="1" applyFill="1" applyBorder="1" applyAlignment="1">
      <alignment vertical="center"/>
      <protection/>
    </xf>
    <xf numFmtId="3" fontId="28" fillId="0" borderId="68" xfId="75" applyNumberFormat="1" applyFont="1" applyFill="1" applyBorder="1" applyAlignment="1">
      <alignment vertical="center"/>
      <protection/>
    </xf>
    <xf numFmtId="3" fontId="22" fillId="0" borderId="112" xfId="75" applyNumberFormat="1" applyFont="1" applyFill="1" applyBorder="1" applyAlignment="1">
      <alignment vertical="center"/>
      <protection/>
    </xf>
    <xf numFmtId="3" fontId="35" fillId="0" borderId="0" xfId="75" applyNumberFormat="1" applyFont="1" applyFill="1" applyBorder="1">
      <alignment/>
      <protection/>
    </xf>
    <xf numFmtId="0" fontId="23" fillId="0" borderId="0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/>
    </xf>
    <xf numFmtId="3" fontId="21" fillId="0" borderId="113" xfId="61" applyNumberFormat="1" applyFont="1" applyFill="1" applyBorder="1" applyAlignment="1">
      <alignment horizontal="center" vertical="center" wrapText="1"/>
      <protection/>
    </xf>
    <xf numFmtId="3" fontId="24" fillId="0" borderId="30" xfId="61" applyNumberFormat="1" applyFont="1" applyFill="1" applyBorder="1" applyAlignment="1">
      <alignment horizontal="right" wrapText="1"/>
      <protection/>
    </xf>
    <xf numFmtId="3" fontId="23" fillId="0" borderId="0" xfId="61" applyNumberFormat="1" applyFont="1" applyFill="1" applyBorder="1" applyAlignment="1">
      <alignment horizontal="right" wrapText="1"/>
      <protection/>
    </xf>
    <xf numFmtId="3" fontId="24" fillId="0" borderId="38" xfId="61" applyNumberFormat="1" applyFont="1" applyFill="1" applyBorder="1" applyAlignment="1">
      <alignment horizontal="right" wrapText="1"/>
      <protection/>
    </xf>
    <xf numFmtId="3" fontId="23" fillId="0" borderId="25" xfId="0" applyNumberFormat="1" applyFont="1" applyFill="1" applyBorder="1" applyAlignment="1">
      <alignment vertical="center"/>
    </xf>
    <xf numFmtId="3" fontId="24" fillId="0" borderId="27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/>
    </xf>
    <xf numFmtId="3" fontId="22" fillId="0" borderId="114" xfId="64" applyNumberFormat="1" applyFont="1" applyFill="1" applyBorder="1" applyAlignment="1">
      <alignment vertical="top"/>
      <protection/>
    </xf>
    <xf numFmtId="3" fontId="22" fillId="0" borderId="89" xfId="64" applyNumberFormat="1" applyFont="1" applyFill="1" applyBorder="1" applyAlignment="1">
      <alignment vertical="top"/>
      <protection/>
    </xf>
    <xf numFmtId="3" fontId="21" fillId="0" borderId="115" xfId="64" applyNumberFormat="1" applyFont="1" applyFill="1" applyBorder="1" applyAlignment="1">
      <alignment vertical="center" wrapText="1"/>
      <protection/>
    </xf>
    <xf numFmtId="3" fontId="21" fillId="0" borderId="116" xfId="66" applyNumberFormat="1" applyFont="1" applyFill="1" applyBorder="1" applyAlignment="1">
      <alignment horizontal="right" vertical="center"/>
      <protection/>
    </xf>
    <xf numFmtId="3" fontId="21" fillId="0" borderId="68" xfId="64" applyNumberFormat="1" applyFont="1" applyFill="1" applyBorder="1" applyAlignment="1">
      <alignment vertical="center"/>
      <protection/>
    </xf>
    <xf numFmtId="3" fontId="21" fillId="0" borderId="84" xfId="64" applyNumberFormat="1" applyFont="1" applyFill="1" applyBorder="1" applyAlignment="1">
      <alignment vertical="center"/>
      <protection/>
    </xf>
    <xf numFmtId="3" fontId="28" fillId="0" borderId="31" xfId="64" applyNumberFormat="1" applyFont="1" applyFill="1" applyBorder="1" applyAlignment="1">
      <alignment vertical="center"/>
      <protection/>
    </xf>
    <xf numFmtId="3" fontId="28" fillId="0" borderId="68" xfId="64" applyNumberFormat="1" applyFont="1" applyFill="1" applyBorder="1" applyAlignment="1">
      <alignment vertical="center"/>
      <protection/>
    </xf>
    <xf numFmtId="3" fontId="22" fillId="0" borderId="33" xfId="64" applyNumberFormat="1" applyFont="1" applyFill="1" applyBorder="1" applyAlignment="1">
      <alignment vertical="center"/>
      <protection/>
    </xf>
    <xf numFmtId="3" fontId="22" fillId="0" borderId="82" xfId="64" applyNumberFormat="1" applyFont="1" applyFill="1" applyBorder="1" applyAlignment="1">
      <alignment vertical="center"/>
      <protection/>
    </xf>
    <xf numFmtId="3" fontId="22" fillId="0" borderId="85" xfId="64" applyNumberFormat="1" applyFont="1" applyFill="1" applyBorder="1" applyAlignment="1">
      <alignment vertical="center"/>
      <protection/>
    </xf>
    <xf numFmtId="3" fontId="29" fillId="0" borderId="64" xfId="61" applyNumberFormat="1" applyFont="1" applyFill="1" applyBorder="1" applyAlignment="1">
      <alignment horizontal="center"/>
      <protection/>
    </xf>
    <xf numFmtId="3" fontId="27" fillId="0" borderId="64" xfId="61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 horizontal="left" indent="2"/>
    </xf>
    <xf numFmtId="3" fontId="22" fillId="0" borderId="89" xfId="64" applyNumberFormat="1" applyFont="1" applyFill="1" applyBorder="1" applyAlignment="1">
      <alignment/>
      <protection/>
    </xf>
    <xf numFmtId="3" fontId="21" fillId="0" borderId="49" xfId="0" applyNumberFormat="1" applyFont="1" applyFill="1" applyBorder="1" applyAlignment="1">
      <alignment vertical="center"/>
    </xf>
    <xf numFmtId="3" fontId="22" fillId="0" borderId="0" xfId="73" applyNumberFormat="1" applyFont="1" applyFill="1" applyBorder="1" applyAlignment="1">
      <alignment/>
      <protection/>
    </xf>
    <xf numFmtId="3" fontId="21" fillId="0" borderId="0" xfId="73" applyNumberFormat="1" applyFont="1" applyFill="1" applyBorder="1" applyAlignment="1">
      <alignment horizontal="center" wrapText="1"/>
      <protection/>
    </xf>
    <xf numFmtId="3" fontId="20" fillId="0" borderId="0" xfId="0" applyNumberFormat="1" applyFont="1" applyFill="1" applyAlignment="1">
      <alignment horizontal="left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0" xfId="73" applyNumberFormat="1" applyFont="1" applyFill="1" applyBorder="1" applyAlignment="1">
      <alignment horizontal="center"/>
      <protection/>
    </xf>
    <xf numFmtId="3" fontId="21" fillId="0" borderId="110" xfId="0" applyNumberFormat="1" applyFont="1" applyFill="1" applyBorder="1" applyAlignment="1">
      <alignment/>
    </xf>
    <xf numFmtId="3" fontId="21" fillId="0" borderId="0" xfId="73" applyNumberFormat="1" applyFont="1" applyFill="1" applyBorder="1" applyAlignment="1">
      <alignment horizontal="center" vertical="center"/>
      <protection/>
    </xf>
    <xf numFmtId="3" fontId="28" fillId="0" borderId="108" xfId="0" applyNumberFormat="1" applyFont="1" applyFill="1" applyBorder="1" applyAlignment="1">
      <alignment/>
    </xf>
    <xf numFmtId="3" fontId="22" fillId="0" borderId="0" xfId="73" applyNumberFormat="1" applyFont="1" applyFill="1" applyBorder="1" applyAlignment="1">
      <alignment horizontal="center" vertical="center"/>
      <protection/>
    </xf>
    <xf numFmtId="3" fontId="21" fillId="0" borderId="108" xfId="0" applyNumberFormat="1" applyFont="1" applyFill="1" applyBorder="1" applyAlignment="1">
      <alignment vertical="top"/>
    </xf>
    <xf numFmtId="3" fontId="21" fillId="0" borderId="19" xfId="0" applyNumberFormat="1" applyFont="1" applyFill="1" applyBorder="1" applyAlignment="1">
      <alignment vertical="top"/>
    </xf>
    <xf numFmtId="3" fontId="28" fillId="0" borderId="108" xfId="0" applyNumberFormat="1" applyFont="1" applyFill="1" applyBorder="1" applyAlignment="1">
      <alignment vertical="top"/>
    </xf>
    <xf numFmtId="3" fontId="22" fillId="0" borderId="108" xfId="0" applyNumberFormat="1" applyFont="1" applyFill="1" applyBorder="1" applyAlignment="1">
      <alignment/>
    </xf>
    <xf numFmtId="3" fontId="22" fillId="0" borderId="0" xfId="73" applyNumberFormat="1" applyFont="1" applyFill="1" applyBorder="1" applyAlignment="1">
      <alignment horizontal="center" vertical="top"/>
      <protection/>
    </xf>
    <xf numFmtId="3" fontId="22" fillId="0" borderId="108" xfId="0" applyNumberFormat="1" applyFont="1" applyFill="1" applyBorder="1" applyAlignment="1">
      <alignment vertical="top"/>
    </xf>
    <xf numFmtId="3" fontId="21" fillId="0" borderId="117" xfId="0" applyNumberFormat="1" applyFont="1" applyFill="1" applyBorder="1" applyAlignment="1">
      <alignment vertical="center"/>
    </xf>
    <xf numFmtId="3" fontId="22" fillId="0" borderId="59" xfId="73" applyNumberFormat="1" applyFont="1" applyFill="1" applyBorder="1" applyAlignment="1">
      <alignment horizontal="center" vertical="center"/>
      <protection/>
    </xf>
    <xf numFmtId="3" fontId="21" fillId="0" borderId="62" xfId="73" applyNumberFormat="1" applyFont="1" applyFill="1" applyBorder="1" applyAlignment="1">
      <alignment horizontal="center" wrapText="1"/>
      <protection/>
    </xf>
    <xf numFmtId="3" fontId="28" fillId="0" borderId="118" xfId="0" applyNumberFormat="1" applyFont="1" applyFill="1" applyBorder="1" applyAlignment="1">
      <alignment/>
    </xf>
    <xf numFmtId="3" fontId="28" fillId="0" borderId="62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 vertical="top"/>
    </xf>
    <xf numFmtId="3" fontId="21" fillId="0" borderId="48" xfId="73" applyNumberFormat="1" applyFont="1" applyFill="1" applyBorder="1" applyAlignment="1">
      <alignment horizontal="center" vertical="center" wrapText="1"/>
      <protection/>
    </xf>
    <xf numFmtId="3" fontId="22" fillId="0" borderId="117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21" fillId="0" borderId="0" xfId="73" applyNumberFormat="1" applyFont="1" applyFill="1" applyBorder="1" applyAlignment="1">
      <alignment horizontal="center" vertical="center" wrapText="1"/>
      <protection/>
    </xf>
    <xf numFmtId="3" fontId="28" fillId="0" borderId="0" xfId="73" applyNumberFormat="1" applyFont="1" applyFill="1" applyBorder="1" applyAlignment="1">
      <alignment vertical="center" wrapText="1"/>
      <protection/>
    </xf>
    <xf numFmtId="0" fontId="21" fillId="0" borderId="0" xfId="75" applyFont="1" applyFill="1" applyBorder="1">
      <alignment/>
      <protection/>
    </xf>
    <xf numFmtId="3" fontId="26" fillId="0" borderId="0" xfId="0" applyNumberFormat="1" applyFont="1" applyFill="1" applyAlignment="1">
      <alignment vertical="center"/>
    </xf>
    <xf numFmtId="0" fontId="30" fillId="0" borderId="27" xfId="76" applyFont="1" applyFill="1" applyBorder="1" applyAlignment="1">
      <alignment horizontal="right" vertical="center" wrapText="1"/>
      <protection/>
    </xf>
    <xf numFmtId="3" fontId="30" fillId="0" borderId="27" xfId="76" applyNumberFormat="1" applyFont="1" applyFill="1" applyBorder="1" applyAlignment="1">
      <alignment vertical="center"/>
      <protection/>
    </xf>
    <xf numFmtId="3" fontId="21" fillId="0" borderId="62" xfId="0" applyNumberFormat="1" applyFont="1" applyFill="1" applyBorder="1" applyAlignment="1">
      <alignment/>
    </xf>
    <xf numFmtId="3" fontId="30" fillId="0" borderId="31" xfId="61" applyNumberFormat="1" applyFont="1" applyFill="1" applyBorder="1" applyAlignment="1">
      <alignment wrapText="1"/>
      <protection/>
    </xf>
    <xf numFmtId="3" fontId="30" fillId="0" borderId="65" xfId="61" applyNumberFormat="1" applyFont="1" applyFill="1" applyBorder="1" applyAlignment="1">
      <alignment horizontal="center"/>
      <protection/>
    </xf>
    <xf numFmtId="3" fontId="30" fillId="0" borderId="65" xfId="61" applyNumberFormat="1" applyFont="1" applyFill="1" applyBorder="1" applyAlignment="1">
      <alignment horizontal="right"/>
      <protection/>
    </xf>
    <xf numFmtId="3" fontId="30" fillId="0" borderId="73" xfId="61" applyNumberFormat="1" applyFont="1" applyFill="1" applyBorder="1" applyAlignment="1">
      <alignment horizontal="right"/>
      <protection/>
    </xf>
    <xf numFmtId="3" fontId="30" fillId="0" borderId="65" xfId="0" applyNumberFormat="1" applyFont="1" applyFill="1" applyBorder="1" applyAlignment="1">
      <alignment horizontal="right" wrapText="1"/>
    </xf>
    <xf numFmtId="3" fontId="30" fillId="0" borderId="66" xfId="0" applyNumberFormat="1" applyFont="1" applyFill="1" applyBorder="1" applyAlignment="1">
      <alignment horizontal="right" wrapText="1"/>
    </xf>
    <xf numFmtId="3" fontId="23" fillId="0" borderId="31" xfId="61" applyNumberFormat="1" applyFont="1" applyFill="1" applyBorder="1" applyAlignment="1">
      <alignment wrapText="1"/>
      <protection/>
    </xf>
    <xf numFmtId="3" fontId="23" fillId="0" borderId="65" xfId="61" applyNumberFormat="1" applyFont="1" applyFill="1" applyBorder="1" applyAlignment="1">
      <alignment horizontal="center"/>
      <protection/>
    </xf>
    <xf numFmtId="3" fontId="23" fillId="0" borderId="65" xfId="61" applyNumberFormat="1" applyFont="1" applyFill="1" applyBorder="1" applyAlignment="1">
      <alignment horizontal="right"/>
      <protection/>
    </xf>
    <xf numFmtId="3" fontId="23" fillId="0" borderId="73" xfId="61" applyNumberFormat="1" applyFont="1" applyFill="1" applyBorder="1" applyAlignment="1">
      <alignment horizontal="right"/>
      <protection/>
    </xf>
    <xf numFmtId="3" fontId="23" fillId="0" borderId="65" xfId="0" applyNumberFormat="1" applyFont="1" applyFill="1" applyBorder="1" applyAlignment="1">
      <alignment horizontal="right" wrapText="1"/>
    </xf>
    <xf numFmtId="3" fontId="47" fillId="0" borderId="31" xfId="61" applyNumberFormat="1" applyFont="1" applyFill="1" applyBorder="1" applyAlignment="1">
      <alignment/>
      <protection/>
    </xf>
    <xf numFmtId="3" fontId="47" fillId="0" borderId="31" xfId="61" applyNumberFormat="1" applyFont="1" applyFill="1" applyBorder="1" applyAlignment="1">
      <alignment wrapText="1"/>
      <protection/>
    </xf>
    <xf numFmtId="3" fontId="47" fillId="0" borderId="65" xfId="61" applyNumberFormat="1" applyFont="1" applyFill="1" applyBorder="1" applyAlignment="1">
      <alignment wrapText="1"/>
      <protection/>
    </xf>
    <xf numFmtId="3" fontId="22" fillId="0" borderId="31" xfId="64" applyNumberFormat="1" applyFont="1" applyFill="1" applyBorder="1" applyAlignment="1">
      <alignment wrapText="1"/>
      <protection/>
    </xf>
    <xf numFmtId="3" fontId="28" fillId="0" borderId="89" xfId="74" applyNumberFormat="1" applyFont="1" applyFill="1" applyBorder="1" applyAlignment="1">
      <alignment horizontal="right"/>
      <protection/>
    </xf>
    <xf numFmtId="3" fontId="22" fillId="0" borderId="89" xfId="64" applyNumberFormat="1" applyFont="1" applyFill="1" applyBorder="1">
      <alignment/>
      <protection/>
    </xf>
    <xf numFmtId="3" fontId="22" fillId="0" borderId="0" xfId="75" applyNumberFormat="1" applyFont="1" applyFill="1" applyBorder="1" applyAlignment="1">
      <alignment/>
      <protection/>
    </xf>
    <xf numFmtId="3" fontId="21" fillId="0" borderId="0" xfId="75" applyNumberFormat="1" applyFont="1" applyFill="1" applyBorder="1" applyAlignment="1">
      <alignment/>
      <protection/>
    </xf>
    <xf numFmtId="0" fontId="21" fillId="0" borderId="0" xfId="75" applyFont="1" applyFill="1" applyBorder="1" applyAlignment="1">
      <alignment wrapText="1"/>
      <protection/>
    </xf>
    <xf numFmtId="3" fontId="21" fillId="0" borderId="0" xfId="75" applyNumberFormat="1" applyFont="1" applyFill="1" applyBorder="1" applyAlignment="1">
      <alignment horizontal="right"/>
      <protection/>
    </xf>
    <xf numFmtId="3" fontId="22" fillId="0" borderId="0" xfId="75" applyNumberFormat="1" applyFont="1" applyFill="1" applyBorder="1" applyAlignment="1">
      <alignment horizontal="center"/>
      <protection/>
    </xf>
    <xf numFmtId="0" fontId="21" fillId="0" borderId="0" xfId="75" applyFont="1" applyFill="1" applyBorder="1" applyAlignment="1">
      <alignment/>
      <protection/>
    </xf>
    <xf numFmtId="0" fontId="28" fillId="0" borderId="0" xfId="75" applyFont="1" applyFill="1" applyBorder="1">
      <alignment/>
      <protection/>
    </xf>
    <xf numFmtId="0" fontId="22" fillId="0" borderId="0" xfId="75" applyFont="1" applyFill="1" applyBorder="1">
      <alignment/>
      <protection/>
    </xf>
    <xf numFmtId="0" fontId="22" fillId="0" borderId="0" xfId="75" applyFont="1" applyFill="1" applyBorder="1" applyAlignment="1">
      <alignment vertical="top"/>
      <protection/>
    </xf>
    <xf numFmtId="0" fontId="22" fillId="0" borderId="0" xfId="75" applyFont="1" applyFill="1" applyBorder="1" applyAlignment="1">
      <alignment vertical="center"/>
      <protection/>
    </xf>
    <xf numFmtId="0" fontId="22" fillId="0" borderId="0" xfId="75" applyFont="1" applyFill="1" applyBorder="1" applyAlignment="1">
      <alignment/>
      <protection/>
    </xf>
    <xf numFmtId="0" fontId="21" fillId="0" borderId="0" xfId="75" applyFont="1" applyFill="1" applyBorder="1" applyAlignment="1">
      <alignment vertical="center"/>
      <protection/>
    </xf>
    <xf numFmtId="0" fontId="28" fillId="0" borderId="0" xfId="75" applyFont="1" applyFill="1" applyBorder="1" applyAlignment="1">
      <alignment vertical="center"/>
      <protection/>
    </xf>
    <xf numFmtId="3" fontId="21" fillId="0" borderId="31" xfId="75" applyNumberFormat="1" applyFont="1" applyFill="1" applyBorder="1" applyAlignment="1">
      <alignment vertical="center"/>
      <protection/>
    </xf>
    <xf numFmtId="3" fontId="21" fillId="0" borderId="84" xfId="75" applyNumberFormat="1" applyFont="1" applyFill="1" applyBorder="1" applyAlignment="1">
      <alignment vertical="center"/>
      <protection/>
    </xf>
    <xf numFmtId="3" fontId="28" fillId="0" borderId="31" xfId="75" applyNumberFormat="1" applyFont="1" applyFill="1" applyBorder="1" applyAlignment="1">
      <alignment vertical="center"/>
      <protection/>
    </xf>
    <xf numFmtId="3" fontId="28" fillId="0" borderId="84" xfId="75" applyNumberFormat="1" applyFont="1" applyFill="1" applyBorder="1" applyAlignment="1">
      <alignment vertical="center"/>
      <protection/>
    </xf>
    <xf numFmtId="3" fontId="22" fillId="0" borderId="81" xfId="75" applyNumberFormat="1" applyFont="1" applyFill="1" applyBorder="1" applyAlignment="1">
      <alignment vertical="center"/>
      <protection/>
    </xf>
    <xf numFmtId="3" fontId="22" fillId="0" borderId="119" xfId="75" applyNumberFormat="1" applyFont="1" applyFill="1" applyBorder="1" applyAlignment="1">
      <alignment vertical="center"/>
      <protection/>
    </xf>
    <xf numFmtId="3" fontId="39" fillId="0" borderId="0" xfId="75" applyNumberFormat="1" applyFont="1" applyFill="1" applyBorder="1">
      <alignment/>
      <protection/>
    </xf>
    <xf numFmtId="0" fontId="35" fillId="0" borderId="0" xfId="75" applyFont="1" applyFill="1" applyBorder="1">
      <alignment/>
      <protection/>
    </xf>
    <xf numFmtId="3" fontId="22" fillId="0" borderId="0" xfId="75" applyNumberFormat="1" applyFont="1" applyFill="1" applyBorder="1">
      <alignment/>
      <protection/>
    </xf>
    <xf numFmtId="0" fontId="26" fillId="0" borderId="59" xfId="0" applyFont="1" applyFill="1" applyBorder="1" applyAlignment="1">
      <alignment vertical="center"/>
    </xf>
    <xf numFmtId="0" fontId="30" fillId="0" borderId="59" xfId="0" applyFont="1" applyFill="1" applyBorder="1" applyAlignment="1">
      <alignment horizontal="center" vertical="center" wrapText="1"/>
    </xf>
    <xf numFmtId="3" fontId="30" fillId="0" borderId="59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4" fillId="0" borderId="120" xfId="0" applyNumberFormat="1" applyFont="1" applyBorder="1" applyAlignment="1">
      <alignment vertical="center"/>
    </xf>
    <xf numFmtId="0" fontId="22" fillId="0" borderId="37" xfId="75" applyFont="1" applyFill="1" applyBorder="1" applyAlignment="1">
      <alignment horizontal="right" vertical="center"/>
      <protection/>
    </xf>
    <xf numFmtId="0" fontId="37" fillId="0" borderId="98" xfId="75" applyFont="1" applyFill="1" applyBorder="1" applyAlignment="1">
      <alignment horizontal="left"/>
      <protection/>
    </xf>
    <xf numFmtId="3" fontId="26" fillId="0" borderId="0" xfId="0" applyNumberFormat="1" applyFont="1" applyFill="1" applyAlignment="1">
      <alignment vertical="top"/>
    </xf>
    <xf numFmtId="3" fontId="21" fillId="0" borderId="31" xfId="64" applyNumberFormat="1" applyFont="1" applyFill="1" applyBorder="1" applyAlignment="1">
      <alignment horizontal="center" wrapText="1"/>
      <protection/>
    </xf>
    <xf numFmtId="3" fontId="22" fillId="0" borderId="31" xfId="64" applyNumberFormat="1" applyFont="1" applyFill="1" applyBorder="1" applyAlignment="1">
      <alignment horizontal="center"/>
      <protection/>
    </xf>
    <xf numFmtId="0" fontId="21" fillId="0" borderId="70" xfId="74" applyFont="1" applyFill="1" applyBorder="1" applyAlignment="1">
      <alignment horizontal="center" textRotation="90" wrapText="1"/>
      <protection/>
    </xf>
    <xf numFmtId="0" fontId="21" fillId="0" borderId="31" xfId="74" applyFont="1" applyFill="1" applyBorder="1" applyAlignment="1">
      <alignment horizontal="center" wrapText="1"/>
      <protection/>
    </xf>
    <xf numFmtId="0" fontId="22" fillId="0" borderId="80" xfId="74" applyFont="1" applyFill="1" applyBorder="1" applyAlignment="1">
      <alignment horizontal="center" wrapText="1"/>
      <protection/>
    </xf>
    <xf numFmtId="0" fontId="22" fillId="0" borderId="115" xfId="75" applyFont="1" applyFill="1" applyBorder="1" applyAlignment="1">
      <alignment horizontal="center"/>
      <protection/>
    </xf>
    <xf numFmtId="0" fontId="22" fillId="0" borderId="33" xfId="75" applyFont="1" applyFill="1" applyBorder="1" applyAlignment="1">
      <alignment horizontal="center"/>
      <protection/>
    </xf>
    <xf numFmtId="3" fontId="21" fillId="0" borderId="115" xfId="64" applyNumberFormat="1" applyFont="1" applyFill="1" applyBorder="1" applyAlignment="1">
      <alignment horizontal="center" wrapText="1"/>
      <protection/>
    </xf>
    <xf numFmtId="0" fontId="22" fillId="0" borderId="33" xfId="74" applyFont="1" applyFill="1" applyBorder="1" applyAlignment="1">
      <alignment horizontal="center" wrapText="1"/>
      <protection/>
    </xf>
    <xf numFmtId="0" fontId="21" fillId="0" borderId="31" xfId="75" applyFont="1" applyFill="1" applyBorder="1" applyAlignment="1">
      <alignment horizontal="center" wrapText="1"/>
      <protection/>
    </xf>
    <xf numFmtId="0" fontId="21" fillId="0" borderId="81" xfId="75" applyFont="1" applyFill="1" applyBorder="1" applyAlignment="1">
      <alignment horizontal="center" wrapText="1"/>
      <protection/>
    </xf>
    <xf numFmtId="0" fontId="35" fillId="0" borderId="0" xfId="75" applyFont="1" applyFill="1" applyBorder="1" applyAlignment="1">
      <alignment horizontal="center" wrapText="1"/>
      <protection/>
    </xf>
    <xf numFmtId="3" fontId="21" fillId="0" borderId="89" xfId="64" applyNumberFormat="1" applyFont="1" applyFill="1" applyBorder="1" applyAlignment="1">
      <alignment wrapText="1"/>
      <protection/>
    </xf>
    <xf numFmtId="3" fontId="21" fillId="0" borderId="89" xfId="64" applyNumberFormat="1" applyFont="1" applyFill="1" applyBorder="1" applyAlignment="1">
      <alignment/>
      <protection/>
    </xf>
    <xf numFmtId="3" fontId="28" fillId="0" borderId="89" xfId="64" applyNumberFormat="1" applyFont="1" applyFill="1" applyBorder="1" applyAlignment="1">
      <alignment/>
      <protection/>
    </xf>
    <xf numFmtId="3" fontId="21" fillId="0" borderId="89" xfId="74" applyNumberFormat="1" applyFont="1" applyFill="1" applyBorder="1" applyAlignment="1">
      <alignment horizontal="right"/>
      <protection/>
    </xf>
    <xf numFmtId="3" fontId="22" fillId="0" borderId="89" xfId="66" applyNumberFormat="1" applyFont="1" applyFill="1" applyBorder="1" applyAlignment="1">
      <alignment wrapText="1"/>
      <protection/>
    </xf>
    <xf numFmtId="3" fontId="21" fillId="0" borderId="31" xfId="75" applyNumberFormat="1" applyFont="1" applyFill="1" applyBorder="1">
      <alignment/>
      <protection/>
    </xf>
    <xf numFmtId="3" fontId="21" fillId="0" borderId="89" xfId="75" applyNumberFormat="1" applyFont="1" applyFill="1" applyBorder="1">
      <alignment/>
      <protection/>
    </xf>
    <xf numFmtId="3" fontId="21" fillId="0" borderId="89" xfId="66" applyNumberFormat="1" applyFont="1" applyFill="1" applyBorder="1">
      <alignment/>
      <protection/>
    </xf>
    <xf numFmtId="3" fontId="22" fillId="0" borderId="89" xfId="66" applyNumberFormat="1" applyFont="1" applyFill="1" applyBorder="1">
      <alignment/>
      <protection/>
    </xf>
    <xf numFmtId="0" fontId="21" fillId="0" borderId="31" xfId="75" applyFont="1" applyFill="1" applyBorder="1" applyAlignment="1">
      <alignment/>
      <protection/>
    </xf>
    <xf numFmtId="3" fontId="21" fillId="0" borderId="89" xfId="74" applyNumberFormat="1" applyFont="1" applyFill="1" applyBorder="1" applyAlignment="1">
      <alignment/>
      <protection/>
    </xf>
    <xf numFmtId="3" fontId="22" fillId="0" borderId="89" xfId="74" applyNumberFormat="1" applyFont="1" applyFill="1" applyBorder="1" applyAlignment="1">
      <alignment horizontal="right"/>
      <protection/>
    </xf>
    <xf numFmtId="3" fontId="21" fillId="0" borderId="89" xfId="74" applyNumberFormat="1" applyFont="1" applyFill="1" applyBorder="1">
      <alignment/>
      <protection/>
    </xf>
    <xf numFmtId="3" fontId="22" fillId="0" borderId="89" xfId="74" applyNumberFormat="1" applyFont="1" applyFill="1" applyBorder="1">
      <alignment/>
      <protection/>
    </xf>
    <xf numFmtId="0" fontId="21" fillId="0" borderId="31" xfId="75" applyFont="1" applyFill="1" applyBorder="1">
      <alignment/>
      <protection/>
    </xf>
    <xf numFmtId="0" fontId="28" fillId="0" borderId="31" xfId="75" applyFont="1" applyFill="1" applyBorder="1">
      <alignment/>
      <protection/>
    </xf>
    <xf numFmtId="3" fontId="21" fillId="0" borderId="89" xfId="74" applyNumberFormat="1" applyFont="1" applyFill="1" applyBorder="1" applyAlignment="1">
      <alignment vertical="center"/>
      <protection/>
    </xf>
    <xf numFmtId="3" fontId="21" fillId="0" borderId="89" xfId="74" applyNumberFormat="1" applyFont="1" applyFill="1" applyBorder="1" applyAlignment="1">
      <alignment vertical="top"/>
      <protection/>
    </xf>
    <xf numFmtId="0" fontId="21" fillId="0" borderId="0" xfId="75" applyFont="1" applyFill="1" applyBorder="1" applyAlignment="1">
      <alignment horizontal="center" vertical="top" wrapText="1"/>
      <protection/>
    </xf>
    <xf numFmtId="3" fontId="21" fillId="0" borderId="69" xfId="61" applyNumberFormat="1" applyFont="1" applyFill="1" applyBorder="1" applyAlignment="1">
      <alignment horizontal="center" vertical="top"/>
      <protection/>
    </xf>
    <xf numFmtId="0" fontId="21" fillId="0" borderId="32" xfId="75" applyFont="1" applyFill="1" applyBorder="1" applyAlignment="1">
      <alignment horizontal="center" vertical="top"/>
      <protection/>
    </xf>
    <xf numFmtId="0" fontId="28" fillId="0" borderId="32" xfId="75" applyFont="1" applyFill="1" applyBorder="1" applyAlignment="1">
      <alignment horizontal="center" vertical="top"/>
      <protection/>
    </xf>
    <xf numFmtId="0" fontId="21" fillId="0" borderId="121" xfId="75" applyFont="1" applyFill="1" applyBorder="1" applyAlignment="1">
      <alignment horizontal="center" vertical="top"/>
      <protection/>
    </xf>
    <xf numFmtId="0" fontId="21" fillId="0" borderId="122" xfId="75" applyFont="1" applyFill="1" applyBorder="1" applyAlignment="1">
      <alignment horizontal="center" vertical="top"/>
      <protection/>
    </xf>
    <xf numFmtId="0" fontId="22" fillId="0" borderId="122" xfId="75" applyFont="1" applyFill="1" applyBorder="1" applyAlignment="1">
      <alignment horizontal="center" vertical="top"/>
      <protection/>
    </xf>
    <xf numFmtId="0" fontId="21" fillId="0" borderId="123" xfId="75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2" fillId="0" borderId="25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2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3" fontId="24" fillId="0" borderId="125" xfId="61" applyNumberFormat="1" applyFont="1" applyBorder="1" applyAlignment="1">
      <alignment horizontal="right" wrapText="1"/>
      <protection/>
    </xf>
    <xf numFmtId="3" fontId="24" fillId="0" borderId="126" xfId="0" applyNumberFormat="1" applyFont="1" applyBorder="1" applyAlignment="1">
      <alignment vertical="center"/>
    </xf>
    <xf numFmtId="3" fontId="24" fillId="0" borderId="127" xfId="0" applyNumberFormat="1" applyFont="1" applyFill="1" applyBorder="1" applyAlignment="1">
      <alignment vertical="center"/>
    </xf>
    <xf numFmtId="3" fontId="23" fillId="0" borderId="66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3" fontId="24" fillId="0" borderId="29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/>
    </xf>
    <xf numFmtId="3" fontId="24" fillId="0" borderId="25" xfId="61" applyNumberFormat="1" applyFont="1" applyBorder="1" applyAlignment="1">
      <alignment horizontal="right" wrapText="1"/>
      <protection/>
    </xf>
    <xf numFmtId="3" fontId="24" fillId="0" borderId="39" xfId="61" applyNumberFormat="1" applyFont="1" applyBorder="1" applyAlignment="1">
      <alignment horizontal="right" wrapText="1"/>
      <protection/>
    </xf>
    <xf numFmtId="3" fontId="25" fillId="0" borderId="47" xfId="61" applyNumberFormat="1" applyFont="1" applyFill="1" applyBorder="1" applyAlignment="1">
      <alignment horizontal="center" vertical="center" wrapText="1"/>
      <protection/>
    </xf>
    <xf numFmtId="3" fontId="26" fillId="0" borderId="128" xfId="61" applyNumberFormat="1" applyFont="1" applyFill="1" applyBorder="1" applyAlignment="1">
      <alignment horizontal="center" vertical="center" wrapText="1"/>
      <protection/>
    </xf>
    <xf numFmtId="3" fontId="48" fillId="0" borderId="14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73" applyNumberFormat="1" applyFont="1" applyFill="1" applyBorder="1" applyAlignment="1">
      <alignment vertical="center"/>
      <protection/>
    </xf>
    <xf numFmtId="3" fontId="48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3" fontId="48" fillId="0" borderId="0" xfId="0" applyNumberFormat="1" applyFont="1" applyFill="1" applyAlignment="1">
      <alignment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3" fontId="48" fillId="0" borderId="19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 vertical="center"/>
    </xf>
    <xf numFmtId="3" fontId="50" fillId="0" borderId="0" xfId="0" applyNumberFormat="1" applyFont="1" applyFill="1" applyBorder="1" applyAlignment="1">
      <alignment horizontal="left" vertical="center"/>
    </xf>
    <xf numFmtId="3" fontId="48" fillId="0" borderId="0" xfId="73" applyNumberFormat="1" applyFont="1" applyFill="1" applyBorder="1" applyAlignment="1">
      <alignment/>
      <protection/>
    </xf>
    <xf numFmtId="3" fontId="48" fillId="0" borderId="0" xfId="73" applyNumberFormat="1" applyFont="1" applyFill="1" applyBorder="1" applyAlignment="1">
      <alignment horizontal="center" vertical="center"/>
      <protection/>
    </xf>
    <xf numFmtId="3" fontId="51" fillId="0" borderId="0" xfId="0" applyNumberFormat="1" applyFont="1" applyFill="1" applyBorder="1" applyAlignment="1">
      <alignment vertical="center"/>
    </xf>
    <xf numFmtId="3" fontId="48" fillId="0" borderId="108" xfId="0" applyNumberFormat="1" applyFont="1" applyFill="1" applyBorder="1" applyAlignment="1">
      <alignment/>
    </xf>
    <xf numFmtId="3" fontId="48" fillId="0" borderId="0" xfId="73" applyNumberFormat="1" applyFont="1" applyFill="1" applyBorder="1" applyAlignment="1">
      <alignment horizontal="left" indent="1"/>
      <protection/>
    </xf>
    <xf numFmtId="3" fontId="48" fillId="0" borderId="108" xfId="0" applyNumberFormat="1" applyFont="1" applyFill="1" applyBorder="1" applyAlignment="1">
      <alignment vertical="center"/>
    </xf>
    <xf numFmtId="3" fontId="48" fillId="0" borderId="108" xfId="0" applyNumberFormat="1" applyFont="1" applyFill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3" fontId="48" fillId="0" borderId="19" xfId="0" applyNumberFormat="1" applyFont="1" applyFill="1" applyBorder="1" applyAlignment="1">
      <alignment vertical="top"/>
    </xf>
    <xf numFmtId="3" fontId="48" fillId="0" borderId="14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3" fontId="48" fillId="0" borderId="0" xfId="73" applyNumberFormat="1" applyFont="1" applyFill="1" applyBorder="1" applyAlignment="1">
      <alignment horizontal="left" wrapText="1" indent="1"/>
      <protection/>
    </xf>
    <xf numFmtId="3" fontId="51" fillId="0" borderId="0" xfId="0" applyNumberFormat="1" applyFont="1" applyFill="1" applyBorder="1" applyAlignment="1">
      <alignment/>
    </xf>
    <xf numFmtId="3" fontId="48" fillId="0" borderId="0" xfId="73" applyNumberFormat="1" applyFont="1" applyFill="1" applyBorder="1" applyAlignment="1">
      <alignment horizontal="left"/>
      <protection/>
    </xf>
    <xf numFmtId="3" fontId="49" fillId="0" borderId="19" xfId="0" applyNumberFormat="1" applyFont="1" applyFill="1" applyBorder="1" applyAlignment="1">
      <alignment/>
    </xf>
    <xf numFmtId="3" fontId="48" fillId="0" borderId="0" xfId="73" applyNumberFormat="1" applyFont="1" applyFill="1" applyBorder="1" applyAlignment="1">
      <alignment horizontal="left" vertical="center"/>
      <protection/>
    </xf>
    <xf numFmtId="3" fontId="49" fillId="0" borderId="19" xfId="0" applyNumberFormat="1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horizontal="center" vertical="top"/>
    </xf>
    <xf numFmtId="3" fontId="22" fillId="0" borderId="10" xfId="0" applyNumberFormat="1" applyFont="1" applyFill="1" applyBorder="1" applyAlignment="1">
      <alignment horizontal="center" vertical="top"/>
    </xf>
    <xf numFmtId="3" fontId="22" fillId="0" borderId="10" xfId="73" applyNumberFormat="1" applyFont="1" applyFill="1" applyBorder="1" applyAlignment="1">
      <alignment horizontal="left" vertical="top"/>
      <protection/>
    </xf>
    <xf numFmtId="3" fontId="22" fillId="0" borderId="10" xfId="73" applyNumberFormat="1" applyFont="1" applyFill="1" applyBorder="1" applyAlignment="1">
      <alignment horizontal="center" vertical="top"/>
      <protection/>
    </xf>
    <xf numFmtId="3" fontId="27" fillId="0" borderId="10" xfId="0" applyNumberFormat="1" applyFont="1" applyFill="1" applyBorder="1" applyAlignment="1">
      <alignment vertical="top"/>
    </xf>
    <xf numFmtId="3" fontId="22" fillId="0" borderId="10" xfId="0" applyNumberFormat="1" applyFont="1" applyFill="1" applyBorder="1" applyAlignment="1">
      <alignment vertical="top"/>
    </xf>
    <xf numFmtId="3" fontId="21" fillId="0" borderId="45" xfId="0" applyNumberFormat="1" applyFont="1" applyFill="1" applyBorder="1" applyAlignment="1">
      <alignment horizontal="center"/>
    </xf>
    <xf numFmtId="3" fontId="22" fillId="0" borderId="17" xfId="73" applyNumberFormat="1" applyFont="1" applyFill="1" applyBorder="1" applyAlignment="1">
      <alignment wrapText="1"/>
      <protection/>
    </xf>
    <xf numFmtId="3" fontId="21" fillId="0" borderId="17" xfId="73" applyNumberFormat="1" applyFont="1" applyFill="1" applyBorder="1" applyAlignment="1">
      <alignment horizontal="center" wrapText="1"/>
      <protection/>
    </xf>
    <xf numFmtId="3" fontId="22" fillId="0" borderId="11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49" fillId="0" borderId="0" xfId="73" applyNumberFormat="1" applyFont="1" applyFill="1" applyBorder="1" applyAlignment="1">
      <alignment horizontal="center" vertical="center"/>
      <protection/>
    </xf>
    <xf numFmtId="3" fontId="52" fillId="0" borderId="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top"/>
    </xf>
    <xf numFmtId="3" fontId="51" fillId="0" borderId="56" xfId="61" applyNumberFormat="1" applyFont="1" applyFill="1" applyBorder="1" applyAlignment="1">
      <alignment horizontal="center"/>
      <protection/>
    </xf>
    <xf numFmtId="3" fontId="51" fillId="0" borderId="57" xfId="61" applyNumberFormat="1" applyFont="1" applyFill="1" applyBorder="1" applyAlignment="1">
      <alignment horizontal="center"/>
      <protection/>
    </xf>
    <xf numFmtId="3" fontId="53" fillId="0" borderId="57" xfId="61" applyNumberFormat="1" applyFont="1" applyFill="1" applyBorder="1" applyAlignment="1">
      <alignment/>
      <protection/>
    </xf>
    <xf numFmtId="3" fontId="53" fillId="0" borderId="57" xfId="61" applyNumberFormat="1" applyFont="1" applyFill="1" applyBorder="1" applyAlignment="1">
      <alignment horizontal="center"/>
      <protection/>
    </xf>
    <xf numFmtId="3" fontId="53" fillId="0" borderId="31" xfId="61" applyNumberFormat="1" applyFont="1" applyFill="1" applyBorder="1" applyAlignment="1">
      <alignment horizontal="right"/>
      <protection/>
    </xf>
    <xf numFmtId="3" fontId="53" fillId="0" borderId="68" xfId="61" applyNumberFormat="1" applyFont="1" applyFill="1" applyBorder="1" applyAlignment="1">
      <alignment horizontal="right"/>
      <protection/>
    </xf>
    <xf numFmtId="3" fontId="53" fillId="0" borderId="76" xfId="61" applyNumberFormat="1" applyFont="1" applyFill="1" applyBorder="1" applyAlignment="1">
      <alignment horizontal="right"/>
      <protection/>
    </xf>
    <xf numFmtId="3" fontId="53" fillId="0" borderId="31" xfId="0" applyNumberFormat="1" applyFont="1" applyFill="1" applyBorder="1" applyAlignment="1">
      <alignment horizontal="right" wrapText="1"/>
    </xf>
    <xf numFmtId="3" fontId="53" fillId="0" borderId="52" xfId="0" applyNumberFormat="1" applyFont="1" applyFill="1" applyBorder="1" applyAlignment="1">
      <alignment horizontal="right" wrapText="1"/>
    </xf>
    <xf numFmtId="3" fontId="53" fillId="0" borderId="0" xfId="61" applyNumberFormat="1" applyFont="1" applyFill="1" applyAlignment="1">
      <alignment horizontal="center"/>
      <protection/>
    </xf>
    <xf numFmtId="3" fontId="51" fillId="0" borderId="32" xfId="61" applyNumberFormat="1" applyFont="1" applyFill="1" applyBorder="1" applyAlignment="1">
      <alignment horizontal="center"/>
      <protection/>
    </xf>
    <xf numFmtId="3" fontId="51" fillId="0" borderId="31" xfId="61" applyNumberFormat="1" applyFont="1" applyFill="1" applyBorder="1" applyAlignment="1">
      <alignment horizontal="center"/>
      <protection/>
    </xf>
    <xf numFmtId="3" fontId="53" fillId="0" borderId="31" xfId="61" applyNumberFormat="1" applyFont="1" applyFill="1" applyBorder="1" applyAlignment="1">
      <alignment/>
      <protection/>
    </xf>
    <xf numFmtId="3" fontId="53" fillId="0" borderId="31" xfId="61" applyNumberFormat="1" applyFont="1" applyFill="1" applyBorder="1" applyAlignment="1">
      <alignment horizontal="center"/>
      <protection/>
    </xf>
    <xf numFmtId="3" fontId="53" fillId="0" borderId="52" xfId="61" applyNumberFormat="1" applyFont="1" applyFill="1" applyBorder="1" applyAlignment="1">
      <alignment horizontal="right"/>
      <protection/>
    </xf>
    <xf numFmtId="3" fontId="51" fillId="0" borderId="32" xfId="61" applyNumberFormat="1" applyFont="1" applyFill="1" applyBorder="1" applyAlignment="1">
      <alignment horizontal="center" vertical="center"/>
      <protection/>
    </xf>
    <xf numFmtId="3" fontId="51" fillId="0" borderId="31" xfId="61" applyNumberFormat="1" applyFont="1" applyFill="1" applyBorder="1" applyAlignment="1">
      <alignment horizontal="center" vertical="center"/>
      <protection/>
    </xf>
    <xf numFmtId="3" fontId="53" fillId="0" borderId="31" xfId="61" applyNumberFormat="1" applyFont="1" applyFill="1" applyBorder="1" applyAlignment="1">
      <alignment horizontal="left" vertical="center"/>
      <protection/>
    </xf>
    <xf numFmtId="3" fontId="53" fillId="0" borderId="31" xfId="61" applyNumberFormat="1" applyFont="1" applyFill="1" applyBorder="1" applyAlignment="1">
      <alignment horizontal="center" vertical="center"/>
      <protection/>
    </xf>
    <xf numFmtId="3" fontId="53" fillId="0" borderId="31" xfId="61" applyNumberFormat="1" applyFont="1" applyFill="1" applyBorder="1" applyAlignment="1">
      <alignment horizontal="right" vertical="center"/>
      <protection/>
    </xf>
    <xf numFmtId="3" fontId="53" fillId="0" borderId="68" xfId="61" applyNumberFormat="1" applyFont="1" applyFill="1" applyBorder="1" applyAlignment="1">
      <alignment horizontal="right" vertical="center"/>
      <protection/>
    </xf>
    <xf numFmtId="3" fontId="53" fillId="0" borderId="76" xfId="61" applyNumberFormat="1" applyFont="1" applyFill="1" applyBorder="1" applyAlignment="1">
      <alignment horizontal="right" vertical="center"/>
      <protection/>
    </xf>
    <xf numFmtId="3" fontId="53" fillId="0" borderId="52" xfId="61" applyNumberFormat="1" applyFont="1" applyFill="1" applyBorder="1" applyAlignment="1">
      <alignment horizontal="right" vertical="center"/>
      <protection/>
    </xf>
    <xf numFmtId="3" fontId="53" fillId="0" borderId="0" xfId="61" applyNumberFormat="1" applyFont="1" applyFill="1" applyBorder="1" applyAlignment="1">
      <alignment vertical="center"/>
      <protection/>
    </xf>
    <xf numFmtId="3" fontId="35" fillId="0" borderId="0" xfId="61" applyNumberFormat="1" applyFont="1" applyFill="1" applyBorder="1" applyAlignment="1">
      <alignment horizontal="center"/>
      <protection/>
    </xf>
    <xf numFmtId="3" fontId="35" fillId="0" borderId="0" xfId="61" applyNumberFormat="1" applyFont="1" applyFill="1" applyBorder="1" applyAlignment="1">
      <alignment horizontal="center" vertical="center"/>
      <protection/>
    </xf>
    <xf numFmtId="3" fontId="35" fillId="0" borderId="0" xfId="61" applyNumberFormat="1" applyFont="1" applyFill="1" applyBorder="1" applyAlignment="1">
      <alignment horizontal="left"/>
      <protection/>
    </xf>
    <xf numFmtId="3" fontId="22" fillId="0" borderId="68" xfId="64" applyNumberFormat="1" applyFont="1" applyFill="1" applyBorder="1">
      <alignment/>
      <protection/>
    </xf>
    <xf numFmtId="3" fontId="21" fillId="0" borderId="68" xfId="74" applyNumberFormat="1" applyFont="1" applyFill="1" applyBorder="1" applyAlignment="1">
      <alignment/>
      <protection/>
    </xf>
    <xf numFmtId="3" fontId="21" fillId="0" borderId="68" xfId="64" applyNumberFormat="1" applyFont="1" applyFill="1" applyBorder="1" applyAlignment="1">
      <alignment wrapText="1"/>
      <protection/>
    </xf>
    <xf numFmtId="3" fontId="21" fillId="0" borderId="68" xfId="64" applyNumberFormat="1" applyFont="1" applyFill="1" applyBorder="1">
      <alignment/>
      <protection/>
    </xf>
    <xf numFmtId="3" fontId="28" fillId="0" borderId="68" xfId="64" applyNumberFormat="1" applyFont="1" applyFill="1" applyBorder="1">
      <alignment/>
      <protection/>
    </xf>
    <xf numFmtId="0" fontId="22" fillId="0" borderId="68" xfId="74" applyFont="1" applyFill="1" applyBorder="1" applyAlignment="1">
      <alignment wrapText="1"/>
      <protection/>
    </xf>
    <xf numFmtId="3" fontId="21" fillId="0" borderId="68" xfId="74" applyNumberFormat="1" applyFont="1" applyFill="1" applyBorder="1" applyAlignment="1">
      <alignment vertical="top"/>
      <protection/>
    </xf>
    <xf numFmtId="3" fontId="21" fillId="0" borderId="68" xfId="74" applyNumberFormat="1" applyFont="1" applyFill="1" applyBorder="1" applyAlignment="1">
      <alignment horizontal="right"/>
      <protection/>
    </xf>
    <xf numFmtId="3" fontId="28" fillId="0" borderId="68" xfId="74" applyNumberFormat="1" applyFont="1" applyFill="1" applyBorder="1" applyAlignment="1">
      <alignment horizontal="right"/>
      <protection/>
    </xf>
    <xf numFmtId="3" fontId="21" fillId="0" borderId="68" xfId="75" applyNumberFormat="1" applyFont="1" applyFill="1" applyBorder="1">
      <alignment/>
      <protection/>
    </xf>
    <xf numFmtId="3" fontId="22" fillId="0" borderId="68" xfId="64" applyNumberFormat="1" applyFont="1" applyFill="1" applyBorder="1" applyAlignment="1">
      <alignment vertical="top"/>
      <protection/>
    </xf>
    <xf numFmtId="3" fontId="22" fillId="0" borderId="84" xfId="66" applyNumberFormat="1" applyFont="1" applyFill="1" applyBorder="1" applyAlignment="1">
      <alignment horizontal="right" vertical="top"/>
      <protection/>
    </xf>
    <xf numFmtId="3" fontId="28" fillId="0" borderId="36" xfId="7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/>
    </xf>
    <xf numFmtId="3" fontId="26" fillId="0" borderId="19" xfId="0" applyNumberFormat="1" applyFont="1" applyFill="1" applyBorder="1" applyAlignment="1">
      <alignment horizontal="right"/>
    </xf>
    <xf numFmtId="0" fontId="55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23" fillId="0" borderId="38" xfId="0" applyFont="1" applyBorder="1" applyAlignment="1">
      <alignment vertical="top"/>
    </xf>
    <xf numFmtId="0" fontId="55" fillId="0" borderId="45" xfId="0" applyFont="1" applyBorder="1" applyAlignment="1">
      <alignment/>
    </xf>
    <xf numFmtId="0" fontId="53" fillId="0" borderId="17" xfId="0" applyFont="1" applyFill="1" applyBorder="1" applyAlignment="1">
      <alignment/>
    </xf>
    <xf numFmtId="3" fontId="53" fillId="0" borderId="17" xfId="0" applyNumberFormat="1" applyFont="1" applyFill="1" applyBorder="1" applyAlignment="1">
      <alignment horizontal="right"/>
    </xf>
    <xf numFmtId="3" fontId="53" fillId="0" borderId="18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53" fillId="0" borderId="0" xfId="0" applyNumberFormat="1" applyFont="1" applyBorder="1" applyAlignment="1">
      <alignment/>
    </xf>
    <xf numFmtId="3" fontId="57" fillId="0" borderId="10" xfId="0" applyNumberFormat="1" applyFont="1" applyFill="1" applyBorder="1" applyAlignment="1">
      <alignment horizontal="center"/>
    </xf>
    <xf numFmtId="3" fontId="57" fillId="0" borderId="129" xfId="61" applyNumberFormat="1" applyFont="1" applyFill="1" applyBorder="1" applyAlignment="1">
      <alignment horizontal="center" vertical="center" wrapText="1"/>
      <protection/>
    </xf>
    <xf numFmtId="3" fontId="58" fillId="0" borderId="130" xfId="61" applyNumberFormat="1" applyFont="1" applyBorder="1" applyAlignment="1">
      <alignment horizontal="right" wrapText="1"/>
      <protection/>
    </xf>
    <xf numFmtId="3" fontId="58" fillId="0" borderId="108" xfId="61" applyNumberFormat="1" applyFont="1" applyBorder="1" applyAlignment="1">
      <alignment horizontal="right" wrapText="1"/>
      <protection/>
    </xf>
    <xf numFmtId="3" fontId="58" fillId="0" borderId="108" xfId="0" applyNumberFormat="1" applyFont="1" applyBorder="1" applyAlignment="1">
      <alignment/>
    </xf>
    <xf numFmtId="3" fontId="57" fillId="0" borderId="108" xfId="0" applyNumberFormat="1" applyFont="1" applyFill="1" applyBorder="1" applyAlignment="1">
      <alignment/>
    </xf>
    <xf numFmtId="3" fontId="58" fillId="0" borderId="108" xfId="0" applyNumberFormat="1" applyFont="1" applyFill="1" applyBorder="1" applyAlignment="1">
      <alignment/>
    </xf>
    <xf numFmtId="3" fontId="58" fillId="0" borderId="108" xfId="0" applyNumberFormat="1" applyFont="1" applyBorder="1" applyAlignment="1">
      <alignment/>
    </xf>
    <xf numFmtId="3" fontId="58" fillId="0" borderId="131" xfId="0" applyNumberFormat="1" applyFont="1" applyFill="1" applyBorder="1" applyAlignment="1">
      <alignment/>
    </xf>
    <xf numFmtId="3" fontId="58" fillId="0" borderId="132" xfId="61" applyNumberFormat="1" applyFont="1" applyBorder="1" applyAlignment="1">
      <alignment horizontal="right" wrapText="1"/>
      <protection/>
    </xf>
    <xf numFmtId="3" fontId="58" fillId="0" borderId="108" xfId="0" applyNumberFormat="1" applyFont="1" applyFill="1" applyBorder="1" applyAlignment="1">
      <alignment/>
    </xf>
    <xf numFmtId="3" fontId="58" fillId="0" borderId="132" xfId="0" applyNumberFormat="1" applyFont="1" applyFill="1" applyBorder="1" applyAlignment="1">
      <alignment vertical="center"/>
    </xf>
    <xf numFmtId="3" fontId="58" fillId="0" borderId="124" xfId="0" applyNumberFormat="1" applyFont="1" applyBorder="1" applyAlignment="1">
      <alignment vertical="center"/>
    </xf>
    <xf numFmtId="3" fontId="58" fillId="0" borderId="133" xfId="0" applyNumberFormat="1" applyFont="1" applyFill="1" applyBorder="1" applyAlignment="1">
      <alignment vertical="center"/>
    </xf>
    <xf numFmtId="3" fontId="58" fillId="0" borderId="108" xfId="0" applyNumberFormat="1" applyFont="1" applyFill="1" applyBorder="1" applyAlignment="1">
      <alignment vertical="center"/>
    </xf>
    <xf numFmtId="3" fontId="57" fillId="0" borderId="131" xfId="0" applyNumberFormat="1" applyFont="1" applyFill="1" applyBorder="1" applyAlignment="1">
      <alignment/>
    </xf>
    <xf numFmtId="3" fontId="58" fillId="0" borderId="134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Alignment="1">
      <alignment/>
    </xf>
    <xf numFmtId="3" fontId="57" fillId="22" borderId="0" xfId="0" applyNumberFormat="1" applyFont="1" applyFill="1" applyAlignment="1">
      <alignment/>
    </xf>
    <xf numFmtId="3" fontId="53" fillId="22" borderId="0" xfId="0" applyNumberFormat="1" applyFont="1" applyFill="1" applyAlignment="1">
      <alignment/>
    </xf>
    <xf numFmtId="3" fontId="53" fillId="0" borderId="0" xfId="61" applyNumberFormat="1" applyFont="1" applyFill="1" applyAlignment="1">
      <alignment vertical="center"/>
      <protection/>
    </xf>
    <xf numFmtId="3" fontId="51" fillId="0" borderId="0" xfId="61" applyNumberFormat="1" applyFont="1" applyFill="1" applyBorder="1" applyAlignment="1">
      <alignment/>
      <protection/>
    </xf>
    <xf numFmtId="3" fontId="51" fillId="0" borderId="10" xfId="61" applyNumberFormat="1" applyFont="1" applyFill="1" applyBorder="1" applyAlignment="1">
      <alignment horizontal="center"/>
      <protection/>
    </xf>
    <xf numFmtId="3" fontId="53" fillId="0" borderId="129" xfId="61" applyNumberFormat="1" applyFont="1" applyFill="1" applyBorder="1" applyAlignment="1">
      <alignment horizontal="center" vertical="center" wrapText="1"/>
      <protection/>
    </xf>
    <xf numFmtId="3" fontId="55" fillId="0" borderId="110" xfId="61" applyNumberFormat="1" applyFont="1" applyFill="1" applyBorder="1">
      <alignment/>
      <protection/>
    </xf>
    <xf numFmtId="3" fontId="53" fillId="0" borderId="108" xfId="61" applyNumberFormat="1" applyFont="1" applyFill="1" applyBorder="1">
      <alignment/>
      <protection/>
    </xf>
    <xf numFmtId="3" fontId="55" fillId="0" borderId="108" xfId="61" applyNumberFormat="1" applyFont="1" applyFill="1" applyBorder="1">
      <alignment/>
      <protection/>
    </xf>
    <xf numFmtId="3" fontId="54" fillId="0" borderId="108" xfId="61" applyNumberFormat="1" applyFont="1" applyFill="1" applyBorder="1">
      <alignment/>
      <protection/>
    </xf>
    <xf numFmtId="3" fontId="55" fillId="0" borderId="108" xfId="61" applyNumberFormat="1" applyFont="1" applyFill="1" applyBorder="1" applyAlignment="1">
      <alignment vertical="center"/>
      <protection/>
    </xf>
    <xf numFmtId="3" fontId="53" fillId="0" borderId="108" xfId="61" applyNumberFormat="1" applyFont="1" applyFill="1" applyBorder="1" applyAlignment="1">
      <alignment vertical="top"/>
      <protection/>
    </xf>
    <xf numFmtId="3" fontId="55" fillId="0" borderId="111" xfId="61" applyNumberFormat="1" applyFont="1" applyFill="1" applyBorder="1" applyAlignment="1">
      <alignment vertical="center"/>
      <protection/>
    </xf>
    <xf numFmtId="3" fontId="53" fillId="0" borderId="108" xfId="61" applyNumberFormat="1" applyFont="1" applyFill="1" applyBorder="1" applyAlignment="1">
      <alignment/>
      <protection/>
    </xf>
    <xf numFmtId="3" fontId="53" fillId="0" borderId="0" xfId="61" applyNumberFormat="1" applyFont="1" applyFill="1" applyBorder="1">
      <alignment/>
      <protection/>
    </xf>
    <xf numFmtId="3" fontId="55" fillId="0" borderId="0" xfId="61" applyNumberFormat="1" applyFont="1" applyFill="1" applyBorder="1">
      <alignment/>
      <protection/>
    </xf>
    <xf numFmtId="3" fontId="53" fillId="0" borderId="0" xfId="61" applyNumberFormat="1" applyFont="1" applyFill="1">
      <alignment/>
      <protection/>
    </xf>
    <xf numFmtId="3" fontId="53" fillId="22" borderId="0" xfId="61" applyNumberFormat="1" applyFont="1" applyFill="1">
      <alignment/>
      <protection/>
    </xf>
    <xf numFmtId="0" fontId="26" fillId="0" borderId="0" xfId="0" applyFont="1" applyFill="1" applyAlignment="1">
      <alignment vertical="top" wrapText="1"/>
    </xf>
    <xf numFmtId="3" fontId="26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3" fontId="28" fillId="0" borderId="48" xfId="0" applyNumberFormat="1" applyFont="1" applyFill="1" applyBorder="1" applyAlignment="1">
      <alignment/>
    </xf>
    <xf numFmtId="3" fontId="22" fillId="0" borderId="49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33" fillId="0" borderId="17" xfId="0" applyNumberFormat="1" applyFont="1" applyFill="1" applyBorder="1" applyAlignment="1">
      <alignment/>
    </xf>
    <xf numFmtId="3" fontId="28" fillId="0" borderId="44" xfId="0" applyNumberFormat="1" applyFont="1" applyFill="1" applyBorder="1" applyAlignment="1">
      <alignment horizontal="center" vertical="top"/>
    </xf>
    <xf numFmtId="3" fontId="28" fillId="0" borderId="38" xfId="0" applyNumberFormat="1" applyFont="1" applyFill="1" applyBorder="1" applyAlignment="1">
      <alignment vertical="top"/>
    </xf>
    <xf numFmtId="3" fontId="22" fillId="0" borderId="38" xfId="73" applyNumberFormat="1" applyFont="1" applyFill="1" applyBorder="1" applyAlignment="1">
      <alignment vertical="top"/>
      <protection/>
    </xf>
    <xf numFmtId="3" fontId="22" fillId="0" borderId="38" xfId="0" applyNumberFormat="1" applyFont="1" applyFill="1" applyBorder="1" applyAlignment="1">
      <alignment vertical="top"/>
    </xf>
    <xf numFmtId="3" fontId="33" fillId="0" borderId="38" xfId="0" applyNumberFormat="1" applyFont="1" applyFill="1" applyBorder="1" applyAlignment="1">
      <alignment vertical="top"/>
    </xf>
    <xf numFmtId="3" fontId="22" fillId="0" borderId="50" xfId="0" applyNumberFormat="1" applyFont="1" applyFill="1" applyBorder="1" applyAlignment="1">
      <alignment vertical="top"/>
    </xf>
    <xf numFmtId="3" fontId="28" fillId="0" borderId="0" xfId="0" applyNumberFormat="1" applyFont="1" applyFill="1" applyAlignment="1">
      <alignment vertical="top"/>
    </xf>
    <xf numFmtId="3" fontId="28" fillId="0" borderId="60" xfId="0" applyNumberFormat="1" applyFont="1" applyFill="1" applyBorder="1" applyAlignment="1">
      <alignment horizontal="center"/>
    </xf>
    <xf numFmtId="3" fontId="22" fillId="0" borderId="135" xfId="0" applyNumberFormat="1" applyFont="1" applyFill="1" applyBorder="1" applyAlignment="1">
      <alignment vertical="top"/>
    </xf>
    <xf numFmtId="3" fontId="35" fillId="0" borderId="0" xfId="0" applyNumberFormat="1" applyFont="1" applyFill="1" applyBorder="1" applyAlignment="1">
      <alignment horizontal="center" vertical="center"/>
    </xf>
    <xf numFmtId="3" fontId="21" fillId="0" borderId="69" xfId="0" applyNumberFormat="1" applyFont="1" applyFill="1" applyBorder="1" applyAlignment="1">
      <alignment horizontal="center" wrapText="1"/>
    </xf>
    <xf numFmtId="3" fontId="21" fillId="0" borderId="70" xfId="0" applyNumberFormat="1" applyFont="1" applyFill="1" applyBorder="1" applyAlignment="1">
      <alignment horizontal="center" wrapText="1"/>
    </xf>
    <xf numFmtId="3" fontId="28" fillId="0" borderId="70" xfId="0" applyNumberFormat="1" applyFont="1" applyFill="1" applyBorder="1" applyAlignment="1">
      <alignment wrapText="1"/>
    </xf>
    <xf numFmtId="3" fontId="21" fillId="0" borderId="74" xfId="0" applyNumberFormat="1" applyFont="1" applyFill="1" applyBorder="1" applyAlignment="1">
      <alignment/>
    </xf>
    <xf numFmtId="3" fontId="21" fillId="0" borderId="0" xfId="61" applyNumberFormat="1" applyFont="1" applyFill="1" applyAlignment="1">
      <alignment/>
      <protection/>
    </xf>
    <xf numFmtId="3" fontId="21" fillId="0" borderId="32" xfId="0" applyNumberFormat="1" applyFont="1" applyFill="1" applyBorder="1" applyAlignment="1">
      <alignment horizontal="center" wrapText="1"/>
    </xf>
    <xf numFmtId="3" fontId="21" fillId="0" borderId="31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left" wrapText="1" indent="1"/>
    </xf>
    <xf numFmtId="3" fontId="21" fillId="0" borderId="31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1" fillId="0" borderId="68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3" fontId="33" fillId="0" borderId="31" xfId="0" applyNumberFormat="1" applyFont="1" applyFill="1" applyBorder="1" applyAlignment="1">
      <alignment horizontal="left" wrapText="1" indent="1"/>
    </xf>
    <xf numFmtId="3" fontId="22" fillId="0" borderId="31" xfId="0" applyNumberFormat="1" applyFont="1" applyFill="1" applyBorder="1" applyAlignment="1">
      <alignment/>
    </xf>
    <xf numFmtId="3" fontId="22" fillId="0" borderId="68" xfId="0" applyNumberFormat="1" applyFont="1" applyFill="1" applyBorder="1" applyAlignment="1">
      <alignment/>
    </xf>
    <xf numFmtId="3" fontId="22" fillId="0" borderId="76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3" fontId="22" fillId="0" borderId="0" xfId="61" applyNumberFormat="1" applyFont="1" applyFill="1" applyAlignment="1">
      <alignment/>
      <protection/>
    </xf>
    <xf numFmtId="3" fontId="28" fillId="0" borderId="31" xfId="0" applyNumberFormat="1" applyFont="1" applyFill="1" applyBorder="1" applyAlignment="1">
      <alignment wrapText="1"/>
    </xf>
    <xf numFmtId="3" fontId="21" fillId="0" borderId="31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 horizontal="right"/>
    </xf>
    <xf numFmtId="3" fontId="22" fillId="0" borderId="123" xfId="0" applyNumberFormat="1" applyFont="1" applyFill="1" applyBorder="1" applyAlignment="1">
      <alignment horizontal="center" wrapText="1"/>
    </xf>
    <xf numFmtId="3" fontId="22" fillId="0" borderId="81" xfId="0" applyNumberFormat="1" applyFont="1" applyFill="1" applyBorder="1" applyAlignment="1">
      <alignment horizontal="center" wrapText="1"/>
    </xf>
    <xf numFmtId="3" fontId="33" fillId="0" borderId="81" xfId="0" applyNumberFormat="1" applyFont="1" applyFill="1" applyBorder="1" applyAlignment="1">
      <alignment horizontal="left" wrapText="1" indent="1"/>
    </xf>
    <xf numFmtId="3" fontId="22" fillId="0" borderId="81" xfId="0" applyNumberFormat="1" applyFont="1" applyFill="1" applyBorder="1" applyAlignment="1">
      <alignment/>
    </xf>
    <xf numFmtId="3" fontId="22" fillId="0" borderId="112" xfId="0" applyNumberFormat="1" applyFont="1" applyFill="1" applyBorder="1" applyAlignment="1">
      <alignment/>
    </xf>
    <xf numFmtId="3" fontId="22" fillId="0" borderId="136" xfId="0" applyNumberFormat="1" applyFont="1" applyFill="1" applyBorder="1" applyAlignment="1">
      <alignment/>
    </xf>
    <xf numFmtId="3" fontId="22" fillId="0" borderId="137" xfId="0" applyNumberFormat="1" applyFont="1" applyFill="1" applyBorder="1" applyAlignment="1">
      <alignment/>
    </xf>
    <xf numFmtId="3" fontId="35" fillId="0" borderId="0" xfId="61" applyNumberFormat="1" applyFont="1" applyFill="1" applyBorder="1" applyAlignment="1">
      <alignment/>
      <protection/>
    </xf>
    <xf numFmtId="3" fontId="28" fillId="0" borderId="76" xfId="0" applyNumberFormat="1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3" fontId="48" fillId="0" borderId="32" xfId="0" applyNumberFormat="1" applyFont="1" applyFill="1" applyBorder="1" applyAlignment="1">
      <alignment horizontal="center" wrapText="1"/>
    </xf>
    <xf numFmtId="3" fontId="48" fillId="0" borderId="31" xfId="0" applyNumberFormat="1" applyFont="1" applyFill="1" applyBorder="1" applyAlignment="1">
      <alignment horizontal="center" wrapText="1"/>
    </xf>
    <xf numFmtId="3" fontId="49" fillId="0" borderId="31" xfId="0" applyNumberFormat="1" applyFont="1" applyFill="1" applyBorder="1" applyAlignment="1">
      <alignment horizontal="left" wrapText="1" indent="1"/>
    </xf>
    <xf numFmtId="3" fontId="48" fillId="0" borderId="31" xfId="0" applyNumberFormat="1" applyFont="1" applyFill="1" applyBorder="1" applyAlignment="1">
      <alignment/>
    </xf>
    <xf numFmtId="3" fontId="48" fillId="0" borderId="76" xfId="0" applyNumberFormat="1" applyFont="1" applyFill="1" applyBorder="1" applyAlignment="1">
      <alignment/>
    </xf>
    <xf numFmtId="3" fontId="48" fillId="0" borderId="52" xfId="0" applyNumberFormat="1" applyFont="1" applyFill="1" applyBorder="1" applyAlignment="1">
      <alignment/>
    </xf>
    <xf numFmtId="3" fontId="48" fillId="0" borderId="0" xfId="61" applyNumberFormat="1" applyFont="1" applyFill="1" applyAlignment="1">
      <alignment/>
      <protection/>
    </xf>
    <xf numFmtId="3" fontId="48" fillId="0" borderId="68" xfId="0" applyNumberFormat="1" applyFont="1" applyFill="1" applyBorder="1" applyAlignment="1">
      <alignment/>
    </xf>
    <xf numFmtId="3" fontId="53" fillId="0" borderId="31" xfId="61" applyNumberFormat="1" applyFont="1" applyFill="1" applyBorder="1" applyAlignment="1">
      <alignment horizontal="left" indent="2"/>
      <protection/>
    </xf>
    <xf numFmtId="3" fontId="54" fillId="0" borderId="31" xfId="61" applyNumberFormat="1" applyFont="1" applyFill="1" applyBorder="1" applyAlignment="1">
      <alignment horizontal="center"/>
      <protection/>
    </xf>
    <xf numFmtId="3" fontId="54" fillId="0" borderId="31" xfId="61" applyNumberFormat="1" applyFont="1" applyFill="1" applyBorder="1" applyAlignment="1">
      <alignment horizontal="right"/>
      <protection/>
    </xf>
    <xf numFmtId="3" fontId="54" fillId="0" borderId="68" xfId="61" applyNumberFormat="1" applyFont="1" applyFill="1" applyBorder="1" applyAlignment="1">
      <alignment horizontal="right"/>
      <protection/>
    </xf>
    <xf numFmtId="3" fontId="54" fillId="0" borderId="76" xfId="61" applyNumberFormat="1" applyFont="1" applyFill="1" applyBorder="1" applyAlignment="1">
      <alignment horizontal="right"/>
      <protection/>
    </xf>
    <xf numFmtId="3" fontId="54" fillId="0" borderId="31" xfId="0" applyNumberFormat="1" applyFont="1" applyFill="1" applyBorder="1" applyAlignment="1">
      <alignment horizontal="right" wrapText="1"/>
    </xf>
    <xf numFmtId="3" fontId="54" fillId="0" borderId="52" xfId="0" applyNumberFormat="1" applyFont="1" applyFill="1" applyBorder="1" applyAlignment="1">
      <alignment horizontal="right" wrapText="1"/>
    </xf>
    <xf numFmtId="3" fontId="26" fillId="0" borderId="31" xfId="61" applyNumberFormat="1" applyFont="1" applyFill="1" applyBorder="1" applyAlignment="1">
      <alignment horizontal="left" indent="2"/>
      <protection/>
    </xf>
    <xf numFmtId="3" fontId="30" fillId="0" borderId="31" xfId="61" applyNumberFormat="1" applyFont="1" applyFill="1" applyBorder="1" applyAlignment="1">
      <alignment horizontal="left" indent="2"/>
      <protection/>
    </xf>
    <xf numFmtId="3" fontId="23" fillId="0" borderId="57" xfId="61" applyNumberFormat="1" applyFont="1" applyFill="1" applyBorder="1" applyAlignment="1">
      <alignment horizontal="left" indent="2"/>
      <protection/>
    </xf>
    <xf numFmtId="3" fontId="36" fillId="0" borderId="31" xfId="61" applyNumberFormat="1" applyFont="1" applyFill="1" applyBorder="1" applyAlignment="1">
      <alignment horizontal="center"/>
      <protection/>
    </xf>
    <xf numFmtId="3" fontId="36" fillId="0" borderId="31" xfId="61" applyNumberFormat="1" applyFont="1" applyFill="1" applyBorder="1" applyAlignment="1">
      <alignment horizontal="right"/>
      <protection/>
    </xf>
    <xf numFmtId="3" fontId="36" fillId="0" borderId="68" xfId="61" applyNumberFormat="1" applyFont="1" applyFill="1" applyBorder="1" applyAlignment="1">
      <alignment horizontal="right"/>
      <protection/>
    </xf>
    <xf numFmtId="3" fontId="36" fillId="0" borderId="76" xfId="61" applyNumberFormat="1" applyFont="1" applyFill="1" applyBorder="1" applyAlignment="1">
      <alignment horizontal="right"/>
      <protection/>
    </xf>
    <xf numFmtId="3" fontId="36" fillId="0" borderId="52" xfId="61" applyNumberFormat="1" applyFont="1" applyFill="1" applyBorder="1" applyAlignment="1">
      <alignment horizontal="right"/>
      <protection/>
    </xf>
    <xf numFmtId="3" fontId="23" fillId="0" borderId="31" xfId="61" applyNumberFormat="1" applyFont="1" applyFill="1" applyBorder="1" applyAlignment="1">
      <alignment horizontal="left" indent="2"/>
      <protection/>
    </xf>
    <xf numFmtId="3" fontId="30" fillId="0" borderId="31" xfId="61" applyNumberFormat="1" applyFont="1" applyFill="1" applyBorder="1" applyAlignment="1">
      <alignment horizontal="left" indent="1"/>
      <protection/>
    </xf>
    <xf numFmtId="3" fontId="53" fillId="0" borderId="31" xfId="61" applyNumberFormat="1" applyFont="1" applyFill="1" applyBorder="1" applyAlignment="1">
      <alignment horizontal="left" indent="1"/>
      <protection/>
    </xf>
    <xf numFmtId="3" fontId="26" fillId="0" borderId="31" xfId="61" applyNumberFormat="1" applyFont="1" applyFill="1" applyBorder="1" applyAlignment="1">
      <alignment horizontal="left" indent="1"/>
      <protection/>
    </xf>
    <xf numFmtId="3" fontId="23" fillId="0" borderId="31" xfId="61" applyNumberFormat="1" applyFont="1" applyFill="1" applyBorder="1" applyAlignment="1">
      <alignment horizontal="left" indent="1"/>
      <protection/>
    </xf>
    <xf numFmtId="3" fontId="26" fillId="0" borderId="31" xfId="61" applyNumberFormat="1" applyFont="1" applyFill="1" applyBorder="1" applyAlignment="1">
      <alignment horizontal="left" vertical="center"/>
      <protection/>
    </xf>
    <xf numFmtId="3" fontId="23" fillId="0" borderId="31" xfId="61" applyNumberFormat="1" applyFont="1" applyFill="1" applyBorder="1" applyAlignment="1">
      <alignment horizontal="center" vertical="center"/>
      <protection/>
    </xf>
    <xf numFmtId="3" fontId="23" fillId="0" borderId="31" xfId="61" applyNumberFormat="1" applyFont="1" applyFill="1" applyBorder="1" applyAlignment="1">
      <alignment horizontal="right" vertical="center"/>
      <protection/>
    </xf>
    <xf numFmtId="3" fontId="26" fillId="0" borderId="31" xfId="61" applyNumberFormat="1" applyFont="1" applyFill="1" applyBorder="1" applyAlignment="1">
      <alignment horizontal="right" vertical="center"/>
      <protection/>
    </xf>
    <xf numFmtId="3" fontId="29" fillId="0" borderId="32" xfId="61" applyNumberFormat="1" applyFont="1" applyFill="1" applyBorder="1" applyAlignment="1">
      <alignment horizontal="center" vertical="center"/>
      <protection/>
    </xf>
    <xf numFmtId="3" fontId="29" fillId="0" borderId="31" xfId="61" applyNumberFormat="1" applyFont="1" applyFill="1" applyBorder="1" applyAlignment="1">
      <alignment horizontal="center" vertical="center"/>
      <protection/>
    </xf>
    <xf numFmtId="3" fontId="30" fillId="0" borderId="31" xfId="61" applyNumberFormat="1" applyFont="1" applyFill="1" applyBorder="1" applyAlignment="1">
      <alignment horizontal="left" vertical="center"/>
      <protection/>
    </xf>
    <xf numFmtId="3" fontId="30" fillId="0" borderId="31" xfId="61" applyNumberFormat="1" applyFont="1" applyFill="1" applyBorder="1" applyAlignment="1">
      <alignment horizontal="center" vertical="center"/>
      <protection/>
    </xf>
    <xf numFmtId="3" fontId="30" fillId="0" borderId="31" xfId="61" applyNumberFormat="1" applyFont="1" applyFill="1" applyBorder="1" applyAlignment="1">
      <alignment horizontal="right" vertical="center"/>
      <protection/>
    </xf>
    <xf numFmtId="3" fontId="30" fillId="0" borderId="0" xfId="61" applyNumberFormat="1" applyFont="1" applyFill="1" applyBorder="1" applyAlignment="1">
      <alignment vertical="center"/>
      <protection/>
    </xf>
    <xf numFmtId="3" fontId="20" fillId="0" borderId="123" xfId="61" applyNumberFormat="1" applyFont="1" applyFill="1" applyBorder="1" applyAlignment="1">
      <alignment horizontal="center" vertical="center"/>
      <protection/>
    </xf>
    <xf numFmtId="3" fontId="20" fillId="0" borderId="81" xfId="61" applyNumberFormat="1" applyFont="1" applyFill="1" applyBorder="1" applyAlignment="1">
      <alignment horizontal="center" vertical="center"/>
      <protection/>
    </xf>
    <xf numFmtId="3" fontId="23" fillId="0" borderId="81" xfId="61" applyNumberFormat="1" applyFont="1" applyFill="1" applyBorder="1" applyAlignment="1">
      <alignment horizontal="left" vertical="center"/>
      <protection/>
    </xf>
    <xf numFmtId="3" fontId="23" fillId="0" borderId="81" xfId="61" applyNumberFormat="1" applyFont="1" applyFill="1" applyBorder="1" applyAlignment="1">
      <alignment horizontal="center" vertical="center"/>
      <protection/>
    </xf>
    <xf numFmtId="3" fontId="23" fillId="0" borderId="81" xfId="61" applyNumberFormat="1" applyFont="1" applyFill="1" applyBorder="1" applyAlignment="1">
      <alignment horizontal="right" vertical="center"/>
      <protection/>
    </xf>
    <xf numFmtId="3" fontId="23" fillId="0" borderId="112" xfId="61" applyNumberFormat="1" applyFont="1" applyFill="1" applyBorder="1" applyAlignment="1">
      <alignment horizontal="right" vertical="center"/>
      <protection/>
    </xf>
    <xf numFmtId="3" fontId="23" fillId="0" borderId="137" xfId="61" applyNumberFormat="1" applyFont="1" applyFill="1" applyBorder="1" applyAlignment="1">
      <alignment horizontal="right" vertical="center"/>
      <protection/>
    </xf>
    <xf numFmtId="0" fontId="21" fillId="0" borderId="121" xfId="75" applyFont="1" applyFill="1" applyBorder="1" applyAlignment="1">
      <alignment horizontal="center"/>
      <protection/>
    </xf>
    <xf numFmtId="3" fontId="21" fillId="0" borderId="115" xfId="64" applyNumberFormat="1" applyFont="1" applyFill="1" applyBorder="1" applyAlignment="1">
      <alignment/>
      <protection/>
    </xf>
    <xf numFmtId="3" fontId="21" fillId="0" borderId="138" xfId="61" applyNumberFormat="1" applyFont="1" applyFill="1" applyBorder="1" applyAlignment="1">
      <alignment horizontal="right"/>
      <protection/>
    </xf>
    <xf numFmtId="3" fontId="21" fillId="0" borderId="115" xfId="61" applyNumberFormat="1" applyFont="1" applyFill="1" applyBorder="1" applyAlignment="1">
      <alignment horizontal="right"/>
      <protection/>
    </xf>
    <xf numFmtId="3" fontId="21" fillId="0" borderId="116" xfId="74" applyNumberFormat="1" applyFont="1" applyFill="1" applyBorder="1" applyAlignment="1">
      <alignment horizontal="right"/>
      <protection/>
    </xf>
    <xf numFmtId="3" fontId="45" fillId="0" borderId="0" xfId="0" applyNumberFormat="1" applyFont="1" applyAlignment="1">
      <alignment/>
    </xf>
    <xf numFmtId="3" fontId="45" fillId="0" borderId="10" xfId="0" applyNumberFormat="1" applyFont="1" applyFill="1" applyBorder="1" applyAlignment="1">
      <alignment horizontal="center"/>
    </xf>
    <xf numFmtId="3" fontId="59" fillId="0" borderId="30" xfId="61" applyNumberFormat="1" applyFont="1" applyBorder="1" applyAlignment="1">
      <alignment horizontal="right" wrapText="1"/>
      <protection/>
    </xf>
    <xf numFmtId="3" fontId="59" fillId="0" borderId="0" xfId="61" applyNumberFormat="1" applyFont="1" applyBorder="1" applyAlignment="1">
      <alignment horizontal="right" wrapText="1"/>
      <protection/>
    </xf>
    <xf numFmtId="3" fontId="59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38" xfId="0" applyNumberFormat="1" applyFont="1" applyBorder="1" applyAlignment="1">
      <alignment/>
    </xf>
    <xf numFmtId="3" fontId="59" fillId="0" borderId="25" xfId="61" applyNumberFormat="1" applyFont="1" applyBorder="1" applyAlignment="1">
      <alignment horizontal="right" wrapText="1"/>
      <protection/>
    </xf>
    <xf numFmtId="3" fontId="59" fillId="0" borderId="0" xfId="0" applyNumberFormat="1" applyFont="1" applyFill="1" applyBorder="1" applyAlignment="1">
      <alignment/>
    </xf>
    <xf numFmtId="3" fontId="59" fillId="0" borderId="25" xfId="0" applyNumberFormat="1" applyFont="1" applyFill="1" applyBorder="1" applyAlignment="1">
      <alignment vertical="center"/>
    </xf>
    <xf numFmtId="3" fontId="59" fillId="0" borderId="27" xfId="0" applyNumberFormat="1" applyFont="1" applyBorder="1" applyAlignment="1">
      <alignment vertical="center"/>
    </xf>
    <xf numFmtId="3" fontId="59" fillId="0" borderId="29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45" fillId="0" borderId="38" xfId="0" applyNumberFormat="1" applyFont="1" applyBorder="1" applyAlignment="1">
      <alignment/>
    </xf>
    <xf numFmtId="3" fontId="59" fillId="0" borderId="16" xfId="0" applyNumberFormat="1" applyFont="1" applyFill="1" applyBorder="1" applyAlignment="1">
      <alignment vertical="center"/>
    </xf>
    <xf numFmtId="3" fontId="45" fillId="0" borderId="0" xfId="0" applyNumberFormat="1" applyFont="1" applyFill="1" applyAlignment="1">
      <alignment/>
    </xf>
    <xf numFmtId="3" fontId="45" fillId="22" borderId="0" xfId="0" applyNumberFormat="1" applyFont="1" applyFill="1" applyAlignment="1">
      <alignment/>
    </xf>
    <xf numFmtId="3" fontId="30" fillId="22" borderId="0" xfId="0" applyNumberFormat="1" applyFont="1" applyFill="1" applyAlignment="1">
      <alignment/>
    </xf>
    <xf numFmtId="3" fontId="30" fillId="0" borderId="0" xfId="61" applyNumberFormat="1" applyFont="1" applyFill="1" applyAlignment="1">
      <alignment vertical="center"/>
      <protection/>
    </xf>
    <xf numFmtId="3" fontId="29" fillId="0" borderId="0" xfId="61" applyNumberFormat="1" applyFont="1" applyFill="1" applyAlignment="1">
      <alignment horizontal="center"/>
      <protection/>
    </xf>
    <xf numFmtId="3" fontId="36" fillId="0" borderId="17" xfId="61" applyNumberFormat="1" applyFont="1" applyFill="1" applyBorder="1">
      <alignment/>
      <protection/>
    </xf>
    <xf numFmtId="3" fontId="36" fillId="0" borderId="0" xfId="61" applyNumberFormat="1" applyFont="1" applyFill="1" applyBorder="1">
      <alignment/>
      <protection/>
    </xf>
    <xf numFmtId="3" fontId="30" fillId="0" borderId="0" xfId="61" applyNumberFormat="1" applyFont="1" applyFill="1" applyBorder="1" applyAlignment="1">
      <alignment vertical="top"/>
      <protection/>
    </xf>
    <xf numFmtId="3" fontId="36" fillId="0" borderId="20" xfId="61" applyNumberFormat="1" applyFont="1" applyFill="1" applyBorder="1" applyAlignment="1">
      <alignment vertical="center"/>
      <protection/>
    </xf>
    <xf numFmtId="3" fontId="30" fillId="0" borderId="0" xfId="61" applyNumberFormat="1" applyFont="1" applyFill="1" applyBorder="1" applyAlignment="1">
      <alignment/>
      <protection/>
    </xf>
    <xf numFmtId="3" fontId="30" fillId="22" borderId="0" xfId="61" applyNumberFormat="1" applyFont="1" applyFill="1">
      <alignment/>
      <protection/>
    </xf>
    <xf numFmtId="3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41" fillId="0" borderId="0" xfId="61" applyNumberFormat="1" applyFont="1" applyFill="1" applyBorder="1" applyAlignment="1">
      <alignment/>
      <protection/>
    </xf>
    <xf numFmtId="3" fontId="26" fillId="0" borderId="38" xfId="0" applyNumberFormat="1" applyFont="1" applyFill="1" applyBorder="1" applyAlignment="1">
      <alignment/>
    </xf>
    <xf numFmtId="3" fontId="41" fillId="0" borderId="0" xfId="61" applyNumberFormat="1" applyFont="1" applyFill="1" applyBorder="1" applyAlignment="1">
      <alignment wrapText="1"/>
      <protection/>
    </xf>
    <xf numFmtId="4" fontId="26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0" fontId="21" fillId="0" borderId="139" xfId="0" applyFont="1" applyFill="1" applyBorder="1" applyAlignment="1">
      <alignment horizontal="center" vertical="center" textRotation="90"/>
    </xf>
    <xf numFmtId="0" fontId="26" fillId="0" borderId="140" xfId="0" applyFont="1" applyFill="1" applyBorder="1" applyAlignment="1">
      <alignment horizontal="center" vertical="center" wrapText="1"/>
    </xf>
    <xf numFmtId="4" fontId="26" fillId="0" borderId="140" xfId="0" applyNumberFormat="1" applyFont="1" applyFill="1" applyBorder="1" applyAlignment="1">
      <alignment horizontal="center" vertical="center" wrapText="1"/>
    </xf>
    <xf numFmtId="4" fontId="26" fillId="0" borderId="14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left" vertical="center" wrapText="1" indent="3"/>
    </xf>
    <xf numFmtId="165" fontId="26" fillId="0" borderId="0" xfId="73" applyNumberFormat="1" applyFont="1" applyFill="1" applyBorder="1" applyAlignment="1">
      <alignment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165" fontId="26" fillId="0" borderId="59" xfId="73" applyNumberFormat="1" applyFont="1" applyFill="1" applyBorder="1" applyAlignment="1">
      <alignment vertical="center" wrapText="1"/>
      <protection/>
    </xf>
    <xf numFmtId="4" fontId="26" fillId="0" borderId="59" xfId="0" applyNumberFormat="1" applyFont="1" applyFill="1" applyBorder="1" applyAlignment="1">
      <alignment vertical="center"/>
    </xf>
    <xf numFmtId="4" fontId="20" fillId="0" borderId="6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vertical="center"/>
    </xf>
    <xf numFmtId="165" fontId="30" fillId="0" borderId="59" xfId="0" applyNumberFormat="1" applyFont="1" applyFill="1" applyBorder="1" applyAlignment="1">
      <alignment horizontal="left" vertical="center" wrapText="1" indent="3"/>
    </xf>
    <xf numFmtId="4" fontId="20" fillId="0" borderId="6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4" fontId="23" fillId="0" borderId="0" xfId="0" applyNumberFormat="1" applyFont="1" applyFill="1" applyAlignment="1">
      <alignment vertical="center"/>
    </xf>
    <xf numFmtId="4" fontId="2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/>
    </xf>
    <xf numFmtId="3" fontId="29" fillId="0" borderId="25" xfId="0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3" fontId="28" fillId="0" borderId="39" xfId="0" applyNumberFormat="1" applyFont="1" applyFill="1" applyBorder="1" applyAlignment="1">
      <alignment vertical="center"/>
    </xf>
    <xf numFmtId="3" fontId="20" fillId="0" borderId="38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 indent="2"/>
    </xf>
    <xf numFmtId="3" fontId="35" fillId="0" borderId="0" xfId="0" applyNumberFormat="1" applyFont="1" applyFill="1" applyAlignment="1">
      <alignment horizontal="center" vertical="top"/>
    </xf>
    <xf numFmtId="3" fontId="20" fillId="0" borderId="0" xfId="73" applyNumberFormat="1" applyFont="1" applyFill="1" applyBorder="1" applyAlignment="1">
      <alignment vertical="center"/>
      <protection/>
    </xf>
    <xf numFmtId="3" fontId="28" fillId="0" borderId="35" xfId="64" applyNumberFormat="1" applyFont="1" applyFill="1" applyBorder="1" applyAlignment="1">
      <alignment/>
      <protection/>
    </xf>
    <xf numFmtId="3" fontId="35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 horizontal="center" vertical="center"/>
    </xf>
    <xf numFmtId="3" fontId="20" fillId="0" borderId="108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3" fontId="51" fillId="0" borderId="14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73" applyNumberFormat="1" applyFont="1" applyFill="1" applyBorder="1" applyAlignment="1">
      <alignment horizontal="left"/>
      <protection/>
    </xf>
    <xf numFmtId="3" fontId="51" fillId="0" borderId="0" xfId="73" applyNumberFormat="1" applyFont="1" applyFill="1" applyBorder="1" applyAlignment="1">
      <alignment horizontal="center" vertical="center"/>
      <protection/>
    </xf>
    <xf numFmtId="3" fontId="51" fillId="0" borderId="108" xfId="0" applyNumberFormat="1" applyFont="1" applyFill="1" applyBorder="1" applyAlignment="1">
      <alignment/>
    </xf>
    <xf numFmtId="3" fontId="51" fillId="0" borderId="19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0" xfId="73" applyNumberFormat="1" applyFont="1" applyFill="1" applyBorder="1" applyAlignment="1">
      <alignment horizontal="left"/>
      <protection/>
    </xf>
    <xf numFmtId="3" fontId="20" fillId="0" borderId="0" xfId="73" applyNumberFormat="1" applyFont="1" applyFill="1" applyBorder="1" applyAlignment="1">
      <alignment horizontal="center" vertical="center"/>
      <protection/>
    </xf>
    <xf numFmtId="3" fontId="20" fillId="0" borderId="108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0" xfId="73" applyNumberFormat="1" applyFont="1" applyFill="1" applyBorder="1" applyAlignment="1">
      <alignment horizontal="left"/>
      <protection/>
    </xf>
    <xf numFmtId="3" fontId="29" fillId="0" borderId="0" xfId="73" applyNumberFormat="1" applyFont="1" applyFill="1" applyBorder="1" applyAlignment="1">
      <alignment horizontal="center" vertical="center"/>
      <protection/>
    </xf>
    <xf numFmtId="3" fontId="29" fillId="0" borderId="108" xfId="0" applyNumberFormat="1" applyFont="1" applyFill="1" applyBorder="1" applyAlignment="1">
      <alignment vertical="top"/>
    </xf>
    <xf numFmtId="3" fontId="29" fillId="0" borderId="0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0" xfId="73" applyNumberFormat="1" applyFont="1" applyFill="1" applyBorder="1" applyAlignment="1">
      <alignment horizontal="left" vertical="center"/>
      <protection/>
    </xf>
    <xf numFmtId="3" fontId="27" fillId="0" borderId="0" xfId="73" applyNumberFormat="1" applyFont="1" applyFill="1" applyBorder="1" applyAlignment="1">
      <alignment horizontal="center" vertical="center"/>
      <protection/>
    </xf>
    <xf numFmtId="3" fontId="27" fillId="0" borderId="108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vertical="top"/>
    </xf>
    <xf numFmtId="3" fontId="29" fillId="0" borderId="19" xfId="0" applyNumberFormat="1" applyFont="1" applyFill="1" applyBorder="1" applyAlignment="1">
      <alignment vertical="top"/>
    </xf>
    <xf numFmtId="3" fontId="27" fillId="0" borderId="22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0" xfId="73" applyNumberFormat="1" applyFont="1" applyFill="1" applyBorder="1" applyAlignment="1">
      <alignment horizontal="left" vertical="center"/>
      <protection/>
    </xf>
    <xf numFmtId="3" fontId="27" fillId="0" borderId="10" xfId="73" applyNumberFormat="1" applyFont="1" applyFill="1" applyBorder="1" applyAlignment="1">
      <alignment horizontal="center" vertical="center"/>
      <protection/>
    </xf>
    <xf numFmtId="3" fontId="27" fillId="0" borderId="135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/>
    </xf>
    <xf numFmtId="3" fontId="21" fillId="0" borderId="17" xfId="73" applyNumberFormat="1" applyFont="1" applyFill="1" applyBorder="1" applyAlignment="1">
      <alignment/>
      <protection/>
    </xf>
    <xf numFmtId="3" fontId="21" fillId="0" borderId="17" xfId="73" applyNumberFormat="1" applyFont="1" applyFill="1" applyBorder="1" applyAlignment="1">
      <alignment horizontal="center"/>
      <protection/>
    </xf>
    <xf numFmtId="0" fontId="21" fillId="0" borderId="142" xfId="75" applyFont="1" applyFill="1" applyBorder="1" applyAlignment="1">
      <alignment horizontal="center" vertical="center"/>
      <protection/>
    </xf>
    <xf numFmtId="0" fontId="21" fillId="0" borderId="143" xfId="75" applyFont="1" applyFill="1" applyBorder="1" applyAlignment="1">
      <alignment horizontal="center" vertical="center"/>
      <protection/>
    </xf>
    <xf numFmtId="0" fontId="21" fillId="0" borderId="143" xfId="74" applyFont="1" applyFill="1" applyBorder="1" applyAlignment="1">
      <alignment horizontal="center" vertical="center" wrapText="1"/>
      <protection/>
    </xf>
    <xf numFmtId="3" fontId="21" fillId="0" borderId="143" xfId="64" applyNumberFormat="1" applyFont="1" applyFill="1" applyBorder="1" applyAlignment="1">
      <alignment vertical="center"/>
      <protection/>
    </xf>
    <xf numFmtId="3" fontId="21" fillId="0" borderId="144" xfId="64" applyNumberFormat="1" applyFont="1" applyFill="1" applyBorder="1" applyAlignment="1">
      <alignment vertical="center"/>
      <protection/>
    </xf>
    <xf numFmtId="3" fontId="21" fillId="0" borderId="19" xfId="64" applyNumberFormat="1" applyFont="1" applyFill="1" applyBorder="1" applyAlignment="1">
      <alignment vertical="center"/>
      <protection/>
    </xf>
    <xf numFmtId="3" fontId="21" fillId="0" borderId="145" xfId="75" applyNumberFormat="1" applyFont="1" applyFill="1" applyBorder="1" applyAlignment="1">
      <alignment vertical="center"/>
      <protection/>
    </xf>
    <xf numFmtId="3" fontId="21" fillId="0" borderId="35" xfId="75" applyNumberFormat="1" applyFont="1" applyFill="1" applyBorder="1" applyAlignment="1">
      <alignment vertical="center"/>
      <protection/>
    </xf>
    <xf numFmtId="3" fontId="21" fillId="0" borderId="105" xfId="75" applyNumberFormat="1" applyFont="1" applyFill="1" applyBorder="1" applyAlignment="1">
      <alignment vertical="center"/>
      <protection/>
    </xf>
    <xf numFmtId="3" fontId="28" fillId="0" borderId="145" xfId="75" applyNumberFormat="1" applyFont="1" applyFill="1" applyBorder="1" applyAlignment="1">
      <alignment vertical="center"/>
      <protection/>
    </xf>
    <xf numFmtId="3" fontId="28" fillId="0" borderId="35" xfId="75" applyNumberFormat="1" applyFont="1" applyFill="1" applyBorder="1" applyAlignment="1">
      <alignment vertical="center"/>
      <protection/>
    </xf>
    <xf numFmtId="3" fontId="28" fillId="0" borderId="105" xfId="75" applyNumberFormat="1" applyFont="1" applyFill="1" applyBorder="1" applyAlignment="1">
      <alignment vertical="center"/>
      <protection/>
    </xf>
    <xf numFmtId="3" fontId="22" fillId="0" borderId="87" xfId="75" applyNumberFormat="1" applyFont="1" applyFill="1" applyBorder="1" applyAlignment="1">
      <alignment vertical="center"/>
      <protection/>
    </xf>
    <xf numFmtId="3" fontId="22" fillId="0" borderId="34" xfId="75" applyNumberFormat="1" applyFont="1" applyFill="1" applyBorder="1" applyAlignment="1">
      <alignment vertical="center"/>
      <protection/>
    </xf>
    <xf numFmtId="3" fontId="22" fillId="0" borderId="146" xfId="75" applyNumberFormat="1" applyFont="1" applyFill="1" applyBorder="1" applyAlignment="1">
      <alignment vertical="center"/>
      <protection/>
    </xf>
    <xf numFmtId="3" fontId="21" fillId="0" borderId="147" xfId="64" applyNumberFormat="1" applyFont="1" applyFill="1" applyBorder="1" applyAlignment="1">
      <alignment vertical="center"/>
      <protection/>
    </xf>
    <xf numFmtId="3" fontId="21" fillId="0" borderId="98" xfId="64" applyNumberFormat="1" applyFont="1" applyFill="1" applyBorder="1" applyAlignment="1">
      <alignment vertical="center"/>
      <protection/>
    </xf>
    <xf numFmtId="3" fontId="21" fillId="0" borderId="107" xfId="64" applyNumberFormat="1" applyFont="1" applyFill="1" applyBorder="1" applyAlignment="1">
      <alignment vertical="center"/>
      <protection/>
    </xf>
    <xf numFmtId="0" fontId="21" fillId="0" borderId="97" xfId="74" applyFont="1" applyFill="1" applyBorder="1" applyAlignment="1">
      <alignment horizontal="center" vertical="center"/>
      <protection/>
    </xf>
    <xf numFmtId="0" fontId="21" fillId="0" borderId="98" xfId="74" applyFont="1" applyFill="1" applyBorder="1" applyAlignment="1">
      <alignment horizontal="center" vertical="top"/>
      <protection/>
    </xf>
    <xf numFmtId="0" fontId="21" fillId="0" borderId="98" xfId="74" applyFont="1" applyFill="1" applyBorder="1" applyAlignment="1">
      <alignment horizontal="center" vertical="center" wrapText="1"/>
      <protection/>
    </xf>
    <xf numFmtId="3" fontId="21" fillId="0" borderId="98" xfId="74" applyNumberFormat="1" applyFont="1" applyFill="1" applyBorder="1" applyAlignment="1">
      <alignment vertical="center"/>
      <protection/>
    </xf>
    <xf numFmtId="3" fontId="21" fillId="0" borderId="99" xfId="74" applyNumberFormat="1" applyFont="1" applyFill="1" applyBorder="1" applyAlignment="1">
      <alignment vertical="center"/>
      <protection/>
    </xf>
    <xf numFmtId="3" fontId="28" fillId="0" borderId="148" xfId="74" applyNumberFormat="1" applyFont="1" applyFill="1" applyBorder="1" applyAlignment="1">
      <alignment vertical="center"/>
      <protection/>
    </xf>
    <xf numFmtId="3" fontId="21" fillId="0" borderId="149" xfId="74" applyNumberFormat="1" applyFont="1" applyFill="1" applyBorder="1" applyAlignment="1">
      <alignment vertical="center"/>
      <protection/>
    </xf>
    <xf numFmtId="3" fontId="21" fillId="0" borderId="19" xfId="74" applyNumberFormat="1" applyFont="1" applyFill="1" applyBorder="1" applyAlignment="1">
      <alignment vertical="center"/>
      <protection/>
    </xf>
    <xf numFmtId="0" fontId="21" fillId="0" borderId="148" xfId="75" applyFont="1" applyFill="1" applyBorder="1" applyAlignment="1">
      <alignment horizontal="right" vertical="center"/>
      <protection/>
    </xf>
    <xf numFmtId="0" fontId="22" fillId="0" borderId="40" xfId="74" applyFont="1" applyFill="1" applyBorder="1" applyAlignment="1">
      <alignment horizontal="center" vertical="center"/>
      <protection/>
    </xf>
    <xf numFmtId="0" fontId="22" fillId="0" borderId="36" xfId="74" applyFont="1" applyFill="1" applyBorder="1" applyAlignment="1">
      <alignment horizontal="center" vertical="top"/>
      <protection/>
    </xf>
    <xf numFmtId="0" fontId="22" fillId="0" borderId="36" xfId="75" applyFont="1" applyFill="1" applyBorder="1" applyAlignment="1">
      <alignment horizontal="right" vertical="center"/>
      <protection/>
    </xf>
    <xf numFmtId="0" fontId="33" fillId="0" borderId="36" xfId="74" applyFont="1" applyFill="1" applyBorder="1" applyAlignment="1">
      <alignment horizontal="center" vertical="center" wrapText="1"/>
      <protection/>
    </xf>
    <xf numFmtId="3" fontId="22" fillId="0" borderId="36" xfId="74" applyNumberFormat="1" applyFont="1" applyFill="1" applyBorder="1" applyAlignment="1">
      <alignment vertical="center"/>
      <protection/>
    </xf>
    <xf numFmtId="3" fontId="22" fillId="0" borderId="94" xfId="74" applyNumberFormat="1" applyFont="1" applyFill="1" applyBorder="1" applyAlignment="1">
      <alignment vertical="center"/>
      <protection/>
    </xf>
    <xf numFmtId="3" fontId="22" fillId="0" borderId="21" xfId="74" applyNumberFormat="1" applyFont="1" applyFill="1" applyBorder="1" applyAlignment="1">
      <alignment vertical="center"/>
      <protection/>
    </xf>
    <xf numFmtId="3" fontId="28" fillId="0" borderId="35" xfId="74" applyNumberFormat="1" applyFont="1" applyFill="1" applyBorder="1" applyAlignment="1">
      <alignment/>
      <protection/>
    </xf>
    <xf numFmtId="3" fontId="28" fillId="0" borderId="35" xfId="74" applyNumberFormat="1" applyFont="1" applyFill="1" applyBorder="1" applyAlignment="1">
      <alignment vertical="top"/>
      <protection/>
    </xf>
    <xf numFmtId="3" fontId="22" fillId="0" borderId="150" xfId="74" applyNumberFormat="1" applyFont="1" applyFill="1" applyBorder="1" applyAlignment="1">
      <alignment vertical="center"/>
      <protection/>
    </xf>
    <xf numFmtId="3" fontId="22" fillId="0" borderId="103" xfId="74" applyNumberFormat="1" applyFont="1" applyFill="1" applyBorder="1" applyAlignment="1">
      <alignment vertical="center"/>
      <protection/>
    </xf>
    <xf numFmtId="0" fontId="0" fillId="0" borderId="31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21" fillId="0" borderId="69" xfId="75" applyFont="1" applyFill="1" applyBorder="1" applyAlignment="1">
      <alignment horizontal="center" vertical="top"/>
      <protection/>
    </xf>
    <xf numFmtId="0" fontId="21" fillId="0" borderId="70" xfId="74" applyFont="1" applyFill="1" applyBorder="1" applyAlignment="1">
      <alignment vertical="center" wrapText="1"/>
      <protection/>
    </xf>
    <xf numFmtId="0" fontId="21" fillId="0" borderId="70" xfId="75" applyFont="1" applyFill="1" applyBorder="1" applyAlignment="1">
      <alignment horizontal="center" wrapText="1"/>
      <protection/>
    </xf>
    <xf numFmtId="3" fontId="21" fillId="0" borderId="70" xfId="75" applyNumberFormat="1" applyFont="1" applyFill="1" applyBorder="1" applyAlignment="1">
      <alignment vertical="center"/>
      <protection/>
    </xf>
    <xf numFmtId="3" fontId="21" fillId="0" borderId="74" xfId="75" applyNumberFormat="1" applyFont="1" applyFill="1" applyBorder="1" applyAlignment="1">
      <alignment vertical="center"/>
      <protection/>
    </xf>
    <xf numFmtId="3" fontId="21" fillId="0" borderId="151" xfId="75" applyNumberFormat="1" applyFont="1" applyFill="1" applyBorder="1" applyAlignment="1">
      <alignment vertical="center"/>
      <protection/>
    </xf>
    <xf numFmtId="3" fontId="21" fillId="0" borderId="152" xfId="75" applyNumberFormat="1" applyFont="1" applyFill="1" applyBorder="1" applyAlignment="1">
      <alignment vertical="center"/>
      <protection/>
    </xf>
    <xf numFmtId="3" fontId="21" fillId="0" borderId="153" xfId="75" applyNumberFormat="1" applyFont="1" applyFill="1" applyBorder="1" applyAlignment="1">
      <alignment vertical="center"/>
      <protection/>
    </xf>
    <xf numFmtId="3" fontId="21" fillId="0" borderId="83" xfId="75" applyNumberFormat="1" applyFont="1" applyFill="1" applyBorder="1" applyAlignment="1">
      <alignment vertical="center"/>
      <protection/>
    </xf>
    <xf numFmtId="3" fontId="21" fillId="0" borderId="138" xfId="61" applyNumberFormat="1" applyFont="1" applyFill="1" applyBorder="1" applyAlignment="1">
      <alignment horizontal="right" vertical="center"/>
      <protection/>
    </xf>
    <xf numFmtId="3" fontId="21" fillId="0" borderId="115" xfId="61" applyNumberFormat="1" applyFont="1" applyFill="1" applyBorder="1" applyAlignment="1">
      <alignment horizontal="right" vertical="center"/>
      <protection/>
    </xf>
    <xf numFmtId="3" fontId="22" fillId="0" borderId="93" xfId="66" applyNumberFormat="1" applyFont="1" applyFill="1" applyBorder="1" applyAlignment="1">
      <alignment horizontal="right" vertical="center"/>
      <protection/>
    </xf>
    <xf numFmtId="3" fontId="21" fillId="0" borderId="76" xfId="64" applyNumberFormat="1" applyFont="1" applyFill="1" applyBorder="1" applyAlignment="1">
      <alignment vertical="center"/>
      <protection/>
    </xf>
    <xf numFmtId="3" fontId="21" fillId="0" borderId="89" xfId="66" applyNumberFormat="1" applyFont="1" applyFill="1" applyBorder="1" applyAlignment="1">
      <alignment horizontal="right" vertical="center"/>
      <protection/>
    </xf>
    <xf numFmtId="3" fontId="21" fillId="0" borderId="89" xfId="64" applyNumberFormat="1" applyFont="1" applyFill="1" applyBorder="1" applyAlignment="1">
      <alignment vertical="center"/>
      <protection/>
    </xf>
    <xf numFmtId="3" fontId="28" fillId="0" borderId="76" xfId="64" applyNumberFormat="1" applyFont="1" applyFill="1" applyBorder="1" applyAlignment="1">
      <alignment vertical="center"/>
      <protection/>
    </xf>
    <xf numFmtId="3" fontId="22" fillId="0" borderId="90" xfId="64" applyNumberFormat="1" applyFont="1" applyFill="1" applyBorder="1" applyAlignment="1">
      <alignment vertical="center"/>
      <protection/>
    </xf>
    <xf numFmtId="4" fontId="26" fillId="0" borderId="154" xfId="0" applyNumberFormat="1" applyFont="1" applyFill="1" applyBorder="1" applyAlignment="1">
      <alignment horizontal="center" vertical="center" wrapText="1"/>
    </xf>
    <xf numFmtId="4" fontId="26" fillId="0" borderId="155" xfId="0" applyNumberFormat="1" applyFont="1" applyFill="1" applyBorder="1" applyAlignment="1">
      <alignment horizontal="center" vertical="center" wrapText="1"/>
    </xf>
    <xf numFmtId="4" fontId="26" fillId="0" borderId="108" xfId="0" applyNumberFormat="1" applyFont="1" applyFill="1" applyBorder="1" applyAlignment="1">
      <alignment vertical="center"/>
    </xf>
    <xf numFmtId="4" fontId="26" fillId="0" borderId="109" xfId="0" applyNumberFormat="1" applyFont="1" applyFill="1" applyBorder="1" applyAlignment="1">
      <alignment vertical="center"/>
    </xf>
    <xf numFmtId="4" fontId="23" fillId="0" borderId="135" xfId="0" applyNumberFormat="1" applyFont="1" applyFill="1" applyBorder="1" applyAlignment="1">
      <alignment vertical="center"/>
    </xf>
    <xf numFmtId="0" fontId="26" fillId="0" borderId="108" xfId="0" applyFont="1" applyFill="1" applyBorder="1" applyAlignment="1">
      <alignment vertical="center"/>
    </xf>
    <xf numFmtId="166" fontId="26" fillId="0" borderId="108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left" vertical="top"/>
    </xf>
    <xf numFmtId="4" fontId="26" fillId="0" borderId="0" xfId="0" applyNumberFormat="1" applyFont="1" applyFill="1" applyAlignment="1">
      <alignment vertical="top"/>
    </xf>
    <xf numFmtId="4" fontId="20" fillId="0" borderId="0" xfId="0" applyNumberFormat="1" applyFont="1" applyFill="1" applyAlignment="1">
      <alignment horizontal="center" vertical="top"/>
    </xf>
    <xf numFmtId="3" fontId="26" fillId="0" borderId="76" xfId="0" applyNumberFormat="1" applyFont="1" applyFill="1" applyBorder="1" applyAlignment="1">
      <alignment/>
    </xf>
    <xf numFmtId="0" fontId="26" fillId="0" borderId="0" xfId="64" applyFont="1" applyFill="1" applyBorder="1" applyAlignment="1">
      <alignment wrapText="1"/>
      <protection/>
    </xf>
    <xf numFmtId="3" fontId="26" fillId="0" borderId="0" xfId="0" applyNumberFormat="1" applyFont="1" applyFill="1" applyBorder="1" applyAlignment="1">
      <alignment/>
    </xf>
    <xf numFmtId="3" fontId="28" fillId="0" borderId="0" xfId="75" applyNumberFormat="1" applyFont="1" applyFill="1" applyBorder="1">
      <alignment/>
      <protection/>
    </xf>
    <xf numFmtId="3" fontId="21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center" vertical="center"/>
    </xf>
    <xf numFmtId="3" fontId="26" fillId="0" borderId="0" xfId="76" applyNumberFormat="1" applyFont="1" applyFill="1" applyBorder="1" applyAlignment="1">
      <alignment/>
      <protection/>
    </xf>
    <xf numFmtId="3" fontId="26" fillId="0" borderId="38" xfId="76" applyNumberFormat="1" applyFont="1" applyFill="1" applyBorder="1" applyAlignment="1">
      <alignment/>
      <protection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44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left" vertical="center"/>
    </xf>
    <xf numFmtId="3" fontId="21" fillId="0" borderId="38" xfId="73" applyNumberFormat="1" applyFont="1" applyFill="1" applyBorder="1" applyAlignment="1">
      <alignment vertical="center" wrapText="1"/>
      <protection/>
    </xf>
    <xf numFmtId="3" fontId="63" fillId="0" borderId="0" xfId="0" applyNumberFormat="1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3" fontId="63" fillId="0" borderId="0" xfId="0" applyNumberFormat="1" applyFont="1" applyFill="1" applyAlignment="1">
      <alignment horizontal="center" vertical="center"/>
    </xf>
    <xf numFmtId="3" fontId="63" fillId="0" borderId="0" xfId="0" applyNumberFormat="1" applyFont="1" applyFill="1" applyBorder="1" applyAlignment="1">
      <alignment vertical="center"/>
    </xf>
    <xf numFmtId="3" fontId="65" fillId="0" borderId="25" xfId="0" applyNumberFormat="1" applyFont="1" applyFill="1" applyBorder="1" applyAlignment="1">
      <alignment vertical="center"/>
    </xf>
    <xf numFmtId="3" fontId="66" fillId="0" borderId="20" xfId="0" applyNumberFormat="1" applyFont="1" applyFill="1" applyBorder="1" applyAlignment="1">
      <alignment vertical="center"/>
    </xf>
    <xf numFmtId="3" fontId="63" fillId="0" borderId="19" xfId="0" applyNumberFormat="1" applyFont="1" applyFill="1" applyBorder="1" applyAlignment="1">
      <alignment vertical="center"/>
    </xf>
    <xf numFmtId="3" fontId="65" fillId="0" borderId="19" xfId="0" applyNumberFormat="1" applyFont="1" applyFill="1" applyBorder="1" applyAlignment="1">
      <alignment vertical="center"/>
    </xf>
    <xf numFmtId="3" fontId="65" fillId="0" borderId="39" xfId="0" applyNumberFormat="1" applyFont="1" applyFill="1" applyBorder="1" applyAlignment="1">
      <alignment vertical="center"/>
    </xf>
    <xf numFmtId="3" fontId="63" fillId="0" borderId="39" xfId="0" applyNumberFormat="1" applyFont="1" applyFill="1" applyBorder="1" applyAlignment="1">
      <alignment vertical="center"/>
    </xf>
    <xf numFmtId="3" fontId="63" fillId="0" borderId="50" xfId="0" applyNumberFormat="1" applyFont="1" applyFill="1" applyBorder="1" applyAlignment="1">
      <alignment vertical="center"/>
    </xf>
    <xf numFmtId="3" fontId="63" fillId="0" borderId="11" xfId="0" applyNumberFormat="1" applyFont="1" applyFill="1" applyBorder="1" applyAlignment="1">
      <alignment vertical="center"/>
    </xf>
    <xf numFmtId="3" fontId="63" fillId="0" borderId="0" xfId="0" applyNumberFormat="1" applyFont="1" applyFill="1" applyAlignment="1">
      <alignment vertical="center"/>
    </xf>
    <xf numFmtId="3" fontId="26" fillId="0" borderId="31" xfId="0" applyNumberFormat="1" applyFont="1" applyFill="1" applyBorder="1" applyAlignment="1">
      <alignment/>
    </xf>
    <xf numFmtId="3" fontId="26" fillId="0" borderId="52" xfId="61" applyNumberFormat="1" applyFont="1" applyFill="1" applyBorder="1" applyAlignment="1">
      <alignment horizontal="right" vertical="center"/>
      <protection/>
    </xf>
    <xf numFmtId="3" fontId="21" fillId="0" borderId="31" xfId="75" applyNumberFormat="1" applyFont="1" applyFill="1" applyBorder="1" applyAlignment="1">
      <alignment/>
      <protection/>
    </xf>
    <xf numFmtId="3" fontId="21" fillId="0" borderId="68" xfId="75" applyNumberFormat="1" applyFont="1" applyFill="1" applyBorder="1" applyAlignment="1">
      <alignment/>
      <protection/>
    </xf>
    <xf numFmtId="3" fontId="26" fillId="0" borderId="0" xfId="73" applyNumberFormat="1" applyFont="1" applyFill="1" applyBorder="1" applyAlignment="1">
      <alignment horizontal="left" wrapText="1" indent="5"/>
      <protection/>
    </xf>
    <xf numFmtId="0" fontId="26" fillId="0" borderId="0" xfId="65" applyFont="1" applyFill="1" applyBorder="1" applyAlignment="1">
      <alignment vertical="top" wrapText="1"/>
      <protection/>
    </xf>
    <xf numFmtId="3" fontId="21" fillId="0" borderId="89" xfId="0" applyNumberFormat="1" applyFont="1" applyFill="1" applyBorder="1" applyAlignment="1">
      <alignment/>
    </xf>
    <xf numFmtId="0" fontId="21" fillId="0" borderId="31" xfId="74" applyFont="1" applyFill="1" applyBorder="1" applyAlignment="1">
      <alignment wrapText="1"/>
      <protection/>
    </xf>
    <xf numFmtId="3" fontId="21" fillId="0" borderId="68" xfId="64" applyNumberFormat="1" applyFont="1" applyFill="1" applyBorder="1" applyAlignment="1">
      <alignment/>
      <protection/>
    </xf>
    <xf numFmtId="3" fontId="21" fillId="0" borderId="150" xfId="74" applyNumberFormat="1" applyFont="1" applyFill="1" applyBorder="1" applyAlignment="1">
      <alignment horizontal="center" vertical="center" wrapText="1"/>
      <protection/>
    </xf>
    <xf numFmtId="3" fontId="21" fillId="0" borderId="108" xfId="74" applyNumberFormat="1" applyFont="1" applyFill="1" applyBorder="1">
      <alignment/>
      <protection/>
    </xf>
    <xf numFmtId="3" fontId="21" fillId="0" borderId="145" xfId="74" applyNumberFormat="1" applyFont="1" applyFill="1" applyBorder="1" applyAlignment="1">
      <alignment/>
      <protection/>
    </xf>
    <xf numFmtId="3" fontId="21" fillId="0" borderId="145" xfId="74" applyNumberFormat="1" applyFont="1" applyFill="1" applyBorder="1" applyAlignment="1">
      <alignment horizontal="right"/>
      <protection/>
    </xf>
    <xf numFmtId="3" fontId="21" fillId="0" borderId="145" xfId="74" applyNumberFormat="1" applyFont="1" applyFill="1" applyBorder="1">
      <alignment/>
      <protection/>
    </xf>
    <xf numFmtId="3" fontId="21" fillId="0" borderId="145" xfId="64" applyNumberFormat="1" applyFont="1" applyFill="1" applyBorder="1" applyAlignment="1">
      <alignment vertical="center"/>
      <protection/>
    </xf>
    <xf numFmtId="3" fontId="21" fillId="0" borderId="145" xfId="74" applyNumberFormat="1" applyFont="1" applyFill="1" applyBorder="1" applyAlignment="1">
      <alignment vertical="top"/>
      <protection/>
    </xf>
    <xf numFmtId="3" fontId="21" fillId="0" borderId="145" xfId="63" applyNumberFormat="1" applyFont="1" applyFill="1" applyBorder="1" applyAlignment="1">
      <alignment horizontal="right" vertical="top"/>
      <protection/>
    </xf>
    <xf numFmtId="3" fontId="21" fillId="0" borderId="145" xfId="64" applyNumberFormat="1" applyFont="1" applyFill="1" applyBorder="1" applyAlignment="1">
      <alignment/>
      <protection/>
    </xf>
    <xf numFmtId="3" fontId="21" fillId="0" borderId="145" xfId="64" applyNumberFormat="1" applyFont="1" applyFill="1" applyBorder="1" applyAlignment="1">
      <alignment vertical="top"/>
      <protection/>
    </xf>
    <xf numFmtId="3" fontId="21" fillId="0" borderId="147" xfId="74" applyNumberFormat="1" applyFont="1" applyFill="1" applyBorder="1" applyAlignment="1">
      <alignment/>
      <protection/>
    </xf>
    <xf numFmtId="3" fontId="22" fillId="0" borderId="156" xfId="74" applyNumberFormat="1" applyFont="1" applyFill="1" applyBorder="1" applyAlignment="1">
      <alignment vertical="center"/>
      <protection/>
    </xf>
    <xf numFmtId="3" fontId="21" fillId="0" borderId="157" xfId="74" applyNumberFormat="1" applyFont="1" applyFill="1" applyBorder="1" applyAlignment="1">
      <alignment vertical="center"/>
      <protection/>
    </xf>
    <xf numFmtId="0" fontId="35" fillId="0" borderId="0" xfId="74" applyFont="1" applyFill="1" applyBorder="1" applyAlignment="1">
      <alignment horizontal="center" vertical="center"/>
      <protection/>
    </xf>
    <xf numFmtId="3" fontId="21" fillId="0" borderId="105" xfId="74" applyNumberFormat="1" applyFont="1" applyFill="1" applyBorder="1" applyAlignment="1">
      <alignment/>
      <protection/>
    </xf>
    <xf numFmtId="0" fontId="22" fillId="0" borderId="105" xfId="64" applyFont="1" applyFill="1" applyBorder="1" applyAlignment="1">
      <alignment horizontal="left" wrapText="1"/>
      <protection/>
    </xf>
    <xf numFmtId="3" fontId="21" fillId="0" borderId="105" xfId="74" applyNumberFormat="1" applyFont="1" applyFill="1" applyBorder="1">
      <alignment/>
      <protection/>
    </xf>
    <xf numFmtId="3" fontId="21" fillId="0" borderId="105" xfId="64" applyNumberFormat="1" applyFont="1" applyFill="1" applyBorder="1" applyAlignment="1">
      <alignment vertical="center"/>
      <protection/>
    </xf>
    <xf numFmtId="0" fontId="21" fillId="0" borderId="105" xfId="64" applyFont="1" applyFill="1" applyBorder="1" applyAlignment="1">
      <alignment horizontal="right" wrapText="1"/>
      <protection/>
    </xf>
    <xf numFmtId="3" fontId="21" fillId="0" borderId="105" xfId="74" applyNumberFormat="1" applyFont="1" applyFill="1" applyBorder="1" applyAlignment="1">
      <alignment horizontal="right"/>
      <protection/>
    </xf>
    <xf numFmtId="3" fontId="21" fillId="0" borderId="105" xfId="74" applyNumberFormat="1" applyFont="1" applyFill="1" applyBorder="1" applyAlignment="1">
      <alignment vertical="top"/>
      <protection/>
    </xf>
    <xf numFmtId="3" fontId="21" fillId="0" borderId="105" xfId="64" applyNumberFormat="1" applyFont="1" applyFill="1" applyBorder="1" applyAlignment="1">
      <alignment/>
      <protection/>
    </xf>
    <xf numFmtId="3" fontId="21" fillId="0" borderId="105" xfId="63" applyNumberFormat="1" applyFont="1" applyFill="1" applyBorder="1" applyAlignment="1">
      <alignment horizontal="right" vertical="top"/>
      <protection/>
    </xf>
    <xf numFmtId="3" fontId="21" fillId="0" borderId="105" xfId="64" applyNumberFormat="1" applyFont="1" applyFill="1" applyBorder="1" applyAlignment="1">
      <alignment vertical="top"/>
      <protection/>
    </xf>
    <xf numFmtId="0" fontId="21" fillId="0" borderId="158" xfId="74" applyFont="1" applyFill="1" applyBorder="1" applyAlignment="1">
      <alignment horizontal="center"/>
      <protection/>
    </xf>
    <xf numFmtId="0" fontId="21" fillId="0" borderId="159" xfId="74" applyFont="1" applyFill="1" applyBorder="1" applyAlignment="1">
      <alignment horizontal="center" vertical="top"/>
      <protection/>
    </xf>
    <xf numFmtId="0" fontId="21" fillId="0" borderId="159" xfId="74" applyFont="1" applyFill="1" applyBorder="1" applyAlignment="1">
      <alignment horizontal="left" wrapText="1" indent="1"/>
      <protection/>
    </xf>
    <xf numFmtId="0" fontId="21" fillId="0" borderId="159" xfId="74" applyFont="1" applyFill="1" applyBorder="1" applyAlignment="1">
      <alignment horizontal="center" wrapText="1"/>
      <protection/>
    </xf>
    <xf numFmtId="3" fontId="21" fillId="0" borderId="159" xfId="64" applyNumberFormat="1" applyFont="1" applyFill="1" applyBorder="1" applyAlignment="1">
      <alignment/>
      <protection/>
    </xf>
    <xf numFmtId="3" fontId="21" fillId="0" borderId="160" xfId="74" applyNumberFormat="1" applyFont="1" applyFill="1" applyBorder="1" applyAlignment="1">
      <alignment/>
      <protection/>
    </xf>
    <xf numFmtId="3" fontId="21" fillId="0" borderId="35" xfId="74" applyNumberFormat="1" applyFont="1" applyFill="1" applyBorder="1" applyAlignment="1">
      <alignment horizontal="right"/>
      <protection/>
    </xf>
    <xf numFmtId="3" fontId="28" fillId="0" borderId="35" xfId="74" applyNumberFormat="1" applyFont="1" applyFill="1" applyBorder="1" applyAlignment="1">
      <alignment horizontal="right"/>
      <protection/>
    </xf>
    <xf numFmtId="3" fontId="21" fillId="0" borderId="35" xfId="74" applyNumberFormat="1" applyFont="1" applyFill="1" applyBorder="1">
      <alignment/>
      <protection/>
    </xf>
    <xf numFmtId="3" fontId="28" fillId="0" borderId="35" xfId="74" applyNumberFormat="1" applyFont="1" applyFill="1" applyBorder="1">
      <alignment/>
      <protection/>
    </xf>
    <xf numFmtId="3" fontId="21" fillId="0" borderId="35" xfId="64" applyNumberFormat="1" applyFont="1" applyFill="1" applyBorder="1" applyAlignment="1">
      <alignment vertical="center"/>
      <protection/>
    </xf>
    <xf numFmtId="3" fontId="28" fillId="0" borderId="35" xfId="64" applyNumberFormat="1" applyFont="1" applyFill="1" applyBorder="1" applyAlignment="1">
      <alignment vertical="center"/>
      <protection/>
    </xf>
    <xf numFmtId="3" fontId="21" fillId="0" borderId="35" xfId="63" applyNumberFormat="1" applyFont="1" applyFill="1" applyBorder="1" applyAlignment="1">
      <alignment horizontal="right" vertical="top"/>
      <protection/>
    </xf>
    <xf numFmtId="3" fontId="28" fillId="0" borderId="35" xfId="63" applyNumberFormat="1" applyFont="1" applyFill="1" applyBorder="1" applyAlignment="1">
      <alignment horizontal="right" vertical="top"/>
      <protection/>
    </xf>
    <xf numFmtId="3" fontId="21" fillId="0" borderId="35" xfId="64" applyNumberFormat="1" applyFont="1" applyFill="1" applyBorder="1" applyAlignment="1">
      <alignment vertical="top"/>
      <protection/>
    </xf>
    <xf numFmtId="3" fontId="28" fillId="0" borderId="35" xfId="64" applyNumberFormat="1" applyFont="1" applyFill="1" applyBorder="1" applyAlignment="1">
      <alignment vertical="top"/>
      <protection/>
    </xf>
    <xf numFmtId="3" fontId="21" fillId="0" borderId="161" xfId="74" applyNumberFormat="1" applyFont="1" applyFill="1" applyBorder="1" applyAlignment="1">
      <alignment/>
      <protection/>
    </xf>
    <xf numFmtId="3" fontId="21" fillId="0" borderId="159" xfId="74" applyNumberFormat="1" applyFont="1" applyFill="1" applyBorder="1" applyAlignment="1">
      <alignment/>
      <protection/>
    </xf>
    <xf numFmtId="3" fontId="28" fillId="0" borderId="159" xfId="74" applyNumberFormat="1" applyFont="1" applyFill="1" applyBorder="1" applyAlignment="1">
      <alignment/>
      <protection/>
    </xf>
    <xf numFmtId="3" fontId="22" fillId="0" borderId="160" xfId="74" applyNumberFormat="1" applyFont="1" applyFill="1" applyBorder="1" applyAlignment="1">
      <alignment/>
      <protection/>
    </xf>
    <xf numFmtId="3" fontId="29" fillId="0" borderId="108" xfId="0" applyNumberFormat="1" applyFont="1" applyFill="1" applyBorder="1" applyAlignment="1">
      <alignment/>
    </xf>
    <xf numFmtId="3" fontId="27" fillId="0" borderId="108" xfId="0" applyNumberFormat="1" applyFont="1" applyFill="1" applyBorder="1" applyAlignment="1">
      <alignment/>
    </xf>
    <xf numFmtId="3" fontId="30" fillId="0" borderId="76" xfId="0" applyNumberFormat="1" applyFont="1" applyFill="1" applyBorder="1" applyAlignment="1">
      <alignment/>
    </xf>
    <xf numFmtId="3" fontId="23" fillId="0" borderId="136" xfId="0" applyNumberFormat="1" applyFont="1" applyFill="1" applyBorder="1" applyAlignment="1">
      <alignment/>
    </xf>
    <xf numFmtId="3" fontId="21" fillId="0" borderId="70" xfId="0" applyNumberFormat="1" applyFont="1" applyFill="1" applyBorder="1" applyAlignment="1">
      <alignment horizontal="right"/>
    </xf>
    <xf numFmtId="3" fontId="21" fillId="0" borderId="71" xfId="0" applyNumberFormat="1" applyFont="1" applyFill="1" applyBorder="1" applyAlignment="1">
      <alignment horizontal="right"/>
    </xf>
    <xf numFmtId="3" fontId="21" fillId="0" borderId="78" xfId="0" applyNumberFormat="1" applyFont="1" applyFill="1" applyBorder="1" applyAlignment="1">
      <alignment/>
    </xf>
    <xf numFmtId="3" fontId="35" fillId="0" borderId="0" xfId="61" applyNumberFormat="1" applyFont="1" applyFill="1" applyBorder="1" applyAlignment="1">
      <alignment horizontal="center" vertical="top"/>
      <protection/>
    </xf>
    <xf numFmtId="3" fontId="22" fillId="0" borderId="89" xfId="66" applyNumberFormat="1" applyFont="1" applyFill="1" applyBorder="1" applyAlignment="1">
      <alignment horizontal="right" vertical="top"/>
      <protection/>
    </xf>
    <xf numFmtId="0" fontId="22" fillId="0" borderId="31" xfId="74" applyFont="1" applyFill="1" applyBorder="1" applyAlignment="1">
      <alignment horizontal="center" vertical="top" wrapText="1"/>
      <protection/>
    </xf>
    <xf numFmtId="3" fontId="21" fillId="0" borderId="0" xfId="73" applyNumberFormat="1" applyFont="1" applyFill="1" applyBorder="1" applyAlignment="1">
      <alignment horizontal="left" wrapText="1"/>
      <protection/>
    </xf>
    <xf numFmtId="3" fontId="35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vertical="top"/>
    </xf>
    <xf numFmtId="3" fontId="26" fillId="0" borderId="38" xfId="0" applyNumberFormat="1" applyFont="1" applyFill="1" applyBorder="1" applyAlignment="1">
      <alignment vertical="top"/>
    </xf>
    <xf numFmtId="3" fontId="35" fillId="0" borderId="14" xfId="0" applyNumberFormat="1" applyFont="1" applyFill="1" applyBorder="1" applyAlignment="1">
      <alignment horizontal="center" vertical="top"/>
    </xf>
    <xf numFmtId="3" fontId="67" fillId="0" borderId="31" xfId="0" applyNumberFormat="1" applyFont="1" applyFill="1" applyBorder="1" applyAlignment="1">
      <alignment horizontal="right" wrapText="1"/>
    </xf>
    <xf numFmtId="3" fontId="68" fillId="0" borderId="32" xfId="61" applyNumberFormat="1" applyFont="1" applyFill="1" applyBorder="1" applyAlignment="1">
      <alignment horizontal="center"/>
      <protection/>
    </xf>
    <xf numFmtId="3" fontId="68" fillId="0" borderId="31" xfId="61" applyNumberFormat="1" applyFont="1" applyFill="1" applyBorder="1" applyAlignment="1">
      <alignment horizontal="center"/>
      <protection/>
    </xf>
    <xf numFmtId="3" fontId="67" fillId="0" borderId="31" xfId="61" applyNumberFormat="1" applyFont="1" applyFill="1" applyBorder="1" applyAlignment="1">
      <alignment horizontal="center"/>
      <protection/>
    </xf>
    <xf numFmtId="3" fontId="67" fillId="0" borderId="31" xfId="61" applyNumberFormat="1" applyFont="1" applyFill="1" applyBorder="1" applyAlignment="1">
      <alignment horizontal="right"/>
      <protection/>
    </xf>
    <xf numFmtId="3" fontId="67" fillId="0" borderId="68" xfId="61" applyNumberFormat="1" applyFont="1" applyFill="1" applyBorder="1" applyAlignment="1">
      <alignment horizontal="right"/>
      <protection/>
    </xf>
    <xf numFmtId="3" fontId="67" fillId="0" borderId="76" xfId="61" applyNumberFormat="1" applyFont="1" applyFill="1" applyBorder="1" applyAlignment="1">
      <alignment horizontal="right"/>
      <protection/>
    </xf>
    <xf numFmtId="3" fontId="67" fillId="0" borderId="52" xfId="0" applyNumberFormat="1" applyFont="1" applyFill="1" applyBorder="1" applyAlignment="1">
      <alignment horizontal="right" wrapText="1"/>
    </xf>
    <xf numFmtId="3" fontId="67" fillId="0" borderId="0" xfId="61" applyNumberFormat="1" applyFont="1" applyFill="1" applyAlignment="1">
      <alignment horizontal="center"/>
      <protection/>
    </xf>
    <xf numFmtId="3" fontId="21" fillId="0" borderId="31" xfId="64" applyNumberFormat="1" applyFont="1" applyFill="1" applyBorder="1" applyAlignment="1">
      <alignment vertical="center" wrapText="1"/>
      <protection/>
    </xf>
    <xf numFmtId="3" fontId="22" fillId="0" borderId="92" xfId="64" applyNumberFormat="1" applyFont="1" applyFill="1" applyBorder="1" applyAlignment="1">
      <alignment vertical="center"/>
      <protection/>
    </xf>
    <xf numFmtId="0" fontId="21" fillId="0" borderId="162" xfId="74" applyFont="1" applyFill="1" applyBorder="1" applyAlignment="1">
      <alignment horizontal="center" vertical="center"/>
      <protection/>
    </xf>
    <xf numFmtId="0" fontId="21" fillId="0" borderId="163" xfId="74" applyFont="1" applyFill="1" applyBorder="1" applyAlignment="1">
      <alignment horizontal="center" vertical="center"/>
      <protection/>
    </xf>
    <xf numFmtId="0" fontId="21" fillId="0" borderId="163" xfId="74" applyFont="1" applyFill="1" applyBorder="1" applyAlignment="1">
      <alignment horizontal="left" vertical="center" wrapText="1" indent="1"/>
      <protection/>
    </xf>
    <xf numFmtId="0" fontId="21" fillId="0" borderId="163" xfId="74" applyFont="1" applyFill="1" applyBorder="1" applyAlignment="1">
      <alignment horizontal="center" vertical="center" wrapText="1"/>
      <protection/>
    </xf>
    <xf numFmtId="3" fontId="21" fillId="0" borderId="163" xfId="74" applyNumberFormat="1" applyFont="1" applyFill="1" applyBorder="1" applyAlignment="1">
      <alignment vertical="center"/>
      <protection/>
    </xf>
    <xf numFmtId="3" fontId="21" fillId="0" borderId="164" xfId="74" applyNumberFormat="1" applyFont="1" applyFill="1" applyBorder="1" applyAlignment="1">
      <alignment vertical="center"/>
      <protection/>
    </xf>
    <xf numFmtId="3" fontId="21" fillId="0" borderId="165" xfId="74" applyNumberFormat="1" applyFont="1" applyFill="1" applyBorder="1" applyAlignment="1">
      <alignment vertical="center"/>
      <protection/>
    </xf>
    <xf numFmtId="3" fontId="28" fillId="0" borderId="163" xfId="74" applyNumberFormat="1" applyFont="1" applyFill="1" applyBorder="1" applyAlignment="1">
      <alignment vertical="center"/>
      <protection/>
    </xf>
    <xf numFmtId="3" fontId="22" fillId="0" borderId="105" xfId="74" applyNumberFormat="1" applyFont="1" applyFill="1" applyBorder="1" applyAlignment="1">
      <alignment vertical="center"/>
      <protection/>
    </xf>
    <xf numFmtId="3" fontId="21" fillId="0" borderId="102" xfId="74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66" xfId="0" applyFont="1" applyFill="1" applyBorder="1" applyAlignment="1">
      <alignment horizontal="left" vertical="center"/>
    </xf>
    <xf numFmtId="0" fontId="22" fillId="0" borderId="167" xfId="0" applyFont="1" applyFill="1" applyBorder="1" applyAlignment="1">
      <alignment horizontal="center" vertical="center"/>
    </xf>
    <xf numFmtId="3" fontId="22" fillId="0" borderId="168" xfId="0" applyNumberFormat="1" applyFont="1" applyFill="1" applyBorder="1" applyAlignment="1">
      <alignment horizontal="center" vertical="center" wrapText="1"/>
    </xf>
    <xf numFmtId="3" fontId="22" fillId="0" borderId="169" xfId="0" applyNumberFormat="1" applyFont="1" applyFill="1" applyBorder="1" applyAlignment="1">
      <alignment horizontal="center" vertical="center" wrapText="1"/>
    </xf>
    <xf numFmtId="0" fontId="22" fillId="0" borderId="11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1" fillId="0" borderId="170" xfId="0" applyFont="1" applyFill="1" applyBorder="1" applyAlignment="1">
      <alignment horizontal="center" vertical="top"/>
    </xf>
    <xf numFmtId="3" fontId="21" fillId="0" borderId="171" xfId="0" applyNumberFormat="1" applyFont="1" applyFill="1" applyBorder="1" applyAlignment="1">
      <alignment/>
    </xf>
    <xf numFmtId="3" fontId="21" fillId="0" borderId="172" xfId="0" applyNumberFormat="1" applyFont="1" applyFill="1" applyBorder="1" applyAlignment="1">
      <alignment/>
    </xf>
    <xf numFmtId="0" fontId="21" fillId="0" borderId="108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108" xfId="0" applyFont="1" applyFill="1" applyBorder="1" applyAlignment="1">
      <alignment horizontal="center" vertical="top"/>
    </xf>
    <xf numFmtId="3" fontId="21" fillId="0" borderId="171" xfId="0" applyNumberFormat="1" applyFont="1" applyFill="1" applyBorder="1" applyAlignment="1">
      <alignment vertical="top"/>
    </xf>
    <xf numFmtId="0" fontId="22" fillId="0" borderId="173" xfId="0" applyFont="1" applyFill="1" applyBorder="1" applyAlignment="1">
      <alignment horizontal="right" vertical="center"/>
    </xf>
    <xf numFmtId="3" fontId="22" fillId="0" borderId="174" xfId="0" applyNumberFormat="1" applyFont="1" applyFill="1" applyBorder="1" applyAlignment="1">
      <alignment vertical="center"/>
    </xf>
    <xf numFmtId="3" fontId="22" fillId="0" borderId="175" xfId="0" applyNumberFormat="1" applyFont="1" applyFill="1" applyBorder="1" applyAlignment="1">
      <alignment vertical="center"/>
    </xf>
    <xf numFmtId="3" fontId="22" fillId="0" borderId="132" xfId="0" applyNumberFormat="1" applyFont="1" applyFill="1" applyBorder="1" applyAlignment="1">
      <alignment horizontal="center" vertical="center"/>
    </xf>
    <xf numFmtId="3" fontId="22" fillId="0" borderId="174" xfId="0" applyNumberFormat="1" applyFont="1" applyFill="1" applyBorder="1" applyAlignment="1">
      <alignment horizontal="right" vertical="center"/>
    </xf>
    <xf numFmtId="0" fontId="22" fillId="0" borderId="17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2" fillId="0" borderId="171" xfId="0" applyNumberFormat="1" applyFont="1" applyFill="1" applyBorder="1" applyAlignment="1">
      <alignment horizontal="center"/>
    </xf>
    <xf numFmtId="3" fontId="22" fillId="0" borderId="172" xfId="0" applyNumberFormat="1" applyFont="1" applyFill="1" applyBorder="1" applyAlignment="1">
      <alignment horizontal="center"/>
    </xf>
    <xf numFmtId="0" fontId="22" fillId="0" borderId="108" xfId="0" applyFont="1" applyFill="1" applyBorder="1" applyAlignment="1">
      <alignment horizontal="center"/>
    </xf>
    <xf numFmtId="3" fontId="21" fillId="0" borderId="171" xfId="0" applyNumberFormat="1" applyFont="1" applyFill="1" applyBorder="1" applyAlignment="1">
      <alignment horizontal="right"/>
    </xf>
    <xf numFmtId="3" fontId="21" fillId="0" borderId="171" xfId="0" applyNumberFormat="1" applyFont="1" applyFill="1" applyBorder="1" applyAlignment="1">
      <alignment horizontal="center" vertical="center" textRotation="180"/>
    </xf>
    <xf numFmtId="0" fontId="21" fillId="0" borderId="17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1" fillId="0" borderId="172" xfId="0" applyNumberFormat="1" applyFont="1" applyFill="1" applyBorder="1" applyAlignment="1">
      <alignment horizontal="right"/>
    </xf>
    <xf numFmtId="1" fontId="21" fillId="0" borderId="108" xfId="0" applyNumberFormat="1" applyFont="1" applyFill="1" applyBorder="1" applyAlignment="1">
      <alignment horizontal="center"/>
    </xf>
    <xf numFmtId="0" fontId="22" fillId="0" borderId="176" xfId="0" applyFont="1" applyFill="1" applyBorder="1" applyAlignment="1">
      <alignment horizontal="right" vertical="center"/>
    </xf>
    <xf numFmtId="3" fontId="22" fillId="0" borderId="177" xfId="0" applyNumberFormat="1" applyFont="1" applyFill="1" applyBorder="1" applyAlignment="1">
      <alignment vertical="center"/>
    </xf>
    <xf numFmtId="3" fontId="22" fillId="0" borderId="178" xfId="0" applyNumberFormat="1" applyFont="1" applyFill="1" applyBorder="1" applyAlignment="1">
      <alignment vertical="center"/>
    </xf>
    <xf numFmtId="3" fontId="22" fillId="0" borderId="124" xfId="0" applyNumberFormat="1" applyFont="1" applyFill="1" applyBorder="1" applyAlignment="1">
      <alignment horizontal="center" vertical="center"/>
    </xf>
    <xf numFmtId="3" fontId="22" fillId="0" borderId="177" xfId="0" applyNumberFormat="1" applyFont="1" applyFill="1" applyBorder="1" applyAlignment="1">
      <alignment horizontal="right" vertical="center"/>
    </xf>
    <xf numFmtId="0" fontId="22" fillId="0" borderId="179" xfId="0" applyFont="1" applyFill="1" applyBorder="1" applyAlignment="1">
      <alignment vertical="center"/>
    </xf>
    <xf numFmtId="0" fontId="22" fillId="0" borderId="180" xfId="0" applyFont="1" applyFill="1" applyBorder="1" applyAlignment="1">
      <alignment horizontal="center" vertical="center"/>
    </xf>
    <xf numFmtId="3" fontId="22" fillId="0" borderId="181" xfId="0" applyNumberFormat="1" applyFont="1" applyFill="1" applyBorder="1" applyAlignment="1">
      <alignment vertical="center"/>
    </xf>
    <xf numFmtId="3" fontId="22" fillId="0" borderId="182" xfId="0" applyNumberFormat="1" applyFont="1" applyFill="1" applyBorder="1" applyAlignment="1">
      <alignment vertical="center"/>
    </xf>
    <xf numFmtId="0" fontId="22" fillId="0" borderId="183" xfId="0" applyFont="1" applyFill="1" applyBorder="1" applyAlignment="1">
      <alignment vertical="center"/>
    </xf>
    <xf numFmtId="0" fontId="21" fillId="0" borderId="170" xfId="0" applyFont="1" applyFill="1" applyBorder="1" applyAlignment="1">
      <alignment horizontal="right" vertical="center"/>
    </xf>
    <xf numFmtId="3" fontId="21" fillId="0" borderId="171" xfId="0" applyNumberFormat="1" applyFont="1" applyFill="1" applyBorder="1" applyAlignment="1">
      <alignment vertical="center"/>
    </xf>
    <xf numFmtId="3" fontId="21" fillId="0" borderId="172" xfId="0" applyNumberFormat="1" applyFont="1" applyFill="1" applyBorder="1" applyAlignment="1">
      <alignment vertical="center"/>
    </xf>
    <xf numFmtId="0" fontId="21" fillId="0" borderId="170" xfId="0" applyFont="1" applyFill="1" applyBorder="1" applyAlignment="1">
      <alignment horizontal="center" vertical="center"/>
    </xf>
    <xf numFmtId="0" fontId="21" fillId="0" borderId="17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3" fontId="21" fillId="0" borderId="177" xfId="0" applyNumberFormat="1" applyFont="1" applyFill="1" applyBorder="1" applyAlignment="1">
      <alignment vertical="center"/>
    </xf>
    <xf numFmtId="3" fontId="21" fillId="0" borderId="178" xfId="0" applyNumberFormat="1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176" xfId="0" applyFont="1" applyFill="1" applyBorder="1" applyAlignment="1">
      <alignment horizontal="right" vertical="center"/>
    </xf>
    <xf numFmtId="0" fontId="22" fillId="0" borderId="124" xfId="0" applyFont="1" applyFill="1" applyBorder="1" applyAlignment="1">
      <alignment horizontal="right" vertical="center"/>
    </xf>
    <xf numFmtId="0" fontId="22" fillId="0" borderId="184" xfId="0" applyFont="1" applyFill="1" applyBorder="1" applyAlignment="1">
      <alignment horizontal="right" vertical="center"/>
    </xf>
    <xf numFmtId="3" fontId="22" fillId="0" borderId="185" xfId="0" applyNumberFormat="1" applyFont="1" applyFill="1" applyBorder="1" applyAlignment="1">
      <alignment vertical="center"/>
    </xf>
    <xf numFmtId="3" fontId="22" fillId="0" borderId="108" xfId="0" applyNumberFormat="1" applyFont="1" applyFill="1" applyBorder="1" applyAlignment="1">
      <alignment horizontal="center" vertical="center"/>
    </xf>
    <xf numFmtId="3" fontId="22" fillId="0" borderId="171" xfId="0" applyNumberFormat="1" applyFont="1" applyFill="1" applyBorder="1" applyAlignment="1">
      <alignment horizontal="right" vertical="center"/>
    </xf>
    <xf numFmtId="0" fontId="22" fillId="0" borderId="170" xfId="0" applyFont="1" applyFill="1" applyBorder="1" applyAlignment="1">
      <alignment horizontal="right" vertical="center"/>
    </xf>
    <xf numFmtId="3" fontId="22" fillId="0" borderId="171" xfId="0" applyNumberFormat="1" applyFont="1" applyFill="1" applyBorder="1" applyAlignment="1">
      <alignment vertical="center"/>
    </xf>
    <xf numFmtId="0" fontId="21" fillId="0" borderId="166" xfId="0" applyFont="1" applyFill="1" applyBorder="1" applyAlignment="1">
      <alignment horizontal="right"/>
    </xf>
    <xf numFmtId="0" fontId="21" fillId="0" borderId="48" xfId="0" applyFont="1" applyFill="1" applyBorder="1" applyAlignment="1">
      <alignment/>
    </xf>
    <xf numFmtId="164" fontId="21" fillId="0" borderId="168" xfId="83" applyNumberFormat="1" applyFont="1" applyFill="1" applyBorder="1" applyAlignment="1">
      <alignment horizontal="center"/>
    </xf>
    <xf numFmtId="164" fontId="21" fillId="0" borderId="48" xfId="83" applyNumberFormat="1" applyFont="1" applyFill="1" applyBorder="1" applyAlignment="1">
      <alignment horizontal="center"/>
    </xf>
    <xf numFmtId="0" fontId="21" fillId="0" borderId="117" xfId="0" applyFont="1" applyFill="1" applyBorder="1" applyAlignment="1">
      <alignment horizontal="right"/>
    </xf>
    <xf numFmtId="0" fontId="21" fillId="0" borderId="186" xfId="0" applyFont="1" applyFill="1" applyBorder="1" applyAlignment="1">
      <alignment horizontal="right"/>
    </xf>
    <xf numFmtId="0" fontId="21" fillId="0" borderId="38" xfId="0" applyFont="1" applyFill="1" applyBorder="1" applyAlignment="1">
      <alignment/>
    </xf>
    <xf numFmtId="164" fontId="21" fillId="0" borderId="187" xfId="83" applyNumberFormat="1" applyFont="1" applyFill="1" applyBorder="1" applyAlignment="1">
      <alignment horizontal="center"/>
    </xf>
    <xf numFmtId="164" fontId="21" fillId="0" borderId="38" xfId="83" applyNumberFormat="1" applyFont="1" applyFill="1" applyBorder="1" applyAlignment="1">
      <alignment horizontal="center"/>
    </xf>
    <xf numFmtId="0" fontId="21" fillId="0" borderId="13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3" fontId="28" fillId="0" borderId="188" xfId="75" applyNumberFormat="1" applyFont="1" applyFill="1" applyBorder="1" applyAlignment="1">
      <alignment horizontal="right" vertical="center"/>
      <protection/>
    </xf>
    <xf numFmtId="0" fontId="21" fillId="24" borderId="0" xfId="75" applyFont="1" applyFill="1" applyBorder="1">
      <alignment/>
      <protection/>
    </xf>
    <xf numFmtId="0" fontId="21" fillId="24" borderId="0" xfId="75" applyFont="1" applyFill="1" applyBorder="1" applyAlignment="1">
      <alignment/>
      <protection/>
    </xf>
    <xf numFmtId="3" fontId="28" fillId="0" borderId="84" xfId="64" applyNumberFormat="1" applyFont="1" applyFill="1" applyBorder="1" applyAlignment="1">
      <alignment vertical="center"/>
      <protection/>
    </xf>
    <xf numFmtId="0" fontId="61" fillId="0" borderId="0" xfId="75" applyFont="1" applyFill="1" applyBorder="1" applyAlignment="1">
      <alignment/>
      <protection/>
    </xf>
    <xf numFmtId="0" fontId="61" fillId="0" borderId="0" xfId="75" applyFont="1" applyFill="1" applyBorder="1" applyAlignment="1">
      <alignment horizontal="center"/>
      <protection/>
    </xf>
    <xf numFmtId="3" fontId="21" fillId="0" borderId="70" xfId="61" applyNumberFormat="1" applyFont="1" applyFill="1" applyBorder="1" applyAlignment="1">
      <alignment horizontal="center" textRotation="90"/>
      <protection/>
    </xf>
    <xf numFmtId="0" fontId="21" fillId="0" borderId="31" xfId="75" applyFont="1" applyFill="1" applyBorder="1" applyAlignment="1">
      <alignment horizontal="center" vertical="center"/>
      <protection/>
    </xf>
    <xf numFmtId="0" fontId="28" fillId="0" borderId="31" xfId="75" applyFont="1" applyFill="1" applyBorder="1" applyAlignment="1">
      <alignment horizontal="center"/>
      <protection/>
    </xf>
    <xf numFmtId="0" fontId="22" fillId="0" borderId="31" xfId="75" applyFont="1" applyFill="1" applyBorder="1" applyAlignment="1">
      <alignment horizontal="center"/>
      <protection/>
    </xf>
    <xf numFmtId="0" fontId="21" fillId="0" borderId="31" xfId="75" applyFont="1" applyFill="1" applyBorder="1" applyAlignment="1">
      <alignment horizontal="center" vertical="top"/>
      <protection/>
    </xf>
    <xf numFmtId="0" fontId="22" fillId="0" borderId="80" xfId="75" applyFont="1" applyFill="1" applyBorder="1" applyAlignment="1">
      <alignment horizontal="center"/>
      <protection/>
    </xf>
    <xf numFmtId="0" fontId="21" fillId="0" borderId="115" xfId="75" applyFont="1" applyFill="1" applyBorder="1" applyAlignment="1">
      <alignment horizontal="center"/>
      <protection/>
    </xf>
    <xf numFmtId="0" fontId="21" fillId="0" borderId="33" xfId="75" applyFont="1" applyFill="1" applyBorder="1" applyAlignment="1">
      <alignment horizontal="center"/>
      <protection/>
    </xf>
    <xf numFmtId="0" fontId="21" fillId="0" borderId="143" xfId="75" applyFont="1" applyFill="1" applyBorder="1" applyAlignment="1">
      <alignment horizontal="center"/>
      <protection/>
    </xf>
    <xf numFmtId="0" fontId="21" fillId="0" borderId="70" xfId="75" applyFont="1" applyFill="1" applyBorder="1" applyAlignment="1">
      <alignment horizontal="center"/>
      <protection/>
    </xf>
    <xf numFmtId="0" fontId="21" fillId="0" borderId="81" xfId="75" applyFont="1" applyFill="1" applyBorder="1" applyAlignment="1">
      <alignment horizontal="center"/>
      <protection/>
    </xf>
    <xf numFmtId="3" fontId="69" fillId="0" borderId="31" xfId="64" applyNumberFormat="1" applyFont="1" applyFill="1" applyBorder="1" applyAlignment="1">
      <alignment wrapText="1"/>
      <protection/>
    </xf>
    <xf numFmtId="3" fontId="69" fillId="0" borderId="31" xfId="64" applyNumberFormat="1" applyFont="1" applyFill="1" applyBorder="1" applyAlignment="1">
      <alignment horizontal="center" wrapText="1"/>
      <protection/>
    </xf>
    <xf numFmtId="3" fontId="69" fillId="0" borderId="31" xfId="74" applyNumberFormat="1" applyFont="1" applyFill="1" applyBorder="1" applyAlignment="1">
      <alignment/>
      <protection/>
    </xf>
    <xf numFmtId="3" fontId="69" fillId="0" borderId="68" xfId="74" applyNumberFormat="1" applyFont="1" applyFill="1" applyBorder="1" applyAlignment="1">
      <alignment/>
      <protection/>
    </xf>
    <xf numFmtId="3" fontId="69" fillId="0" borderId="76" xfId="61" applyNumberFormat="1" applyFont="1" applyFill="1" applyBorder="1" applyAlignment="1">
      <alignment horizontal="right"/>
      <protection/>
    </xf>
    <xf numFmtId="3" fontId="69" fillId="0" borderId="31" xfId="61" applyNumberFormat="1" applyFont="1" applyFill="1" applyBorder="1" applyAlignment="1">
      <alignment horizontal="right"/>
      <protection/>
    </xf>
    <xf numFmtId="3" fontId="69" fillId="0" borderId="89" xfId="66" applyNumberFormat="1" applyFont="1" applyFill="1" applyBorder="1" applyAlignment="1">
      <alignment horizontal="right"/>
      <protection/>
    </xf>
    <xf numFmtId="3" fontId="69" fillId="0" borderId="84" xfId="74" applyNumberFormat="1" applyFont="1" applyFill="1" applyBorder="1" applyAlignment="1">
      <alignment horizontal="right"/>
      <protection/>
    </xf>
    <xf numFmtId="3" fontId="30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0" xfId="73" applyNumberFormat="1" applyFont="1" applyFill="1" applyBorder="1" applyAlignment="1">
      <alignment horizontal="left" wrapText="1"/>
      <protection/>
    </xf>
    <xf numFmtId="3" fontId="21" fillId="0" borderId="0" xfId="73" applyNumberFormat="1" applyFont="1" applyFill="1" applyBorder="1" applyAlignment="1">
      <alignment horizontal="left"/>
      <protection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1" fillId="0" borderId="0" xfId="73" applyNumberFormat="1" applyFont="1" applyFill="1" applyBorder="1" applyAlignment="1">
      <alignment horizontal="left"/>
      <protection/>
    </xf>
    <xf numFmtId="3" fontId="21" fillId="0" borderId="0" xfId="73" applyNumberFormat="1" applyFont="1" applyFill="1" applyBorder="1" applyAlignment="1">
      <alignment horizontal="left" wrapText="1"/>
      <protection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0" xfId="73" applyNumberFormat="1" applyFont="1" applyFill="1" applyBorder="1" applyAlignment="1">
      <alignment horizontal="left" wrapText="1" indent="1"/>
      <protection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6" fillId="0" borderId="0" xfId="61" applyNumberFormat="1" applyFont="1" applyFill="1" applyAlignment="1">
      <alignment horizontal="right"/>
      <protection/>
    </xf>
    <xf numFmtId="3" fontId="23" fillId="0" borderId="0" xfId="61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left" wrapText="1" indent="3"/>
    </xf>
    <xf numFmtId="0" fontId="40" fillId="0" borderId="0" xfId="0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/>
    </xf>
    <xf numFmtId="0" fontId="26" fillId="0" borderId="0" xfId="64" applyFont="1" applyFill="1" applyBorder="1" applyAlignment="1">
      <alignment vertical="top" wrapText="1"/>
      <protection/>
    </xf>
    <xf numFmtId="0" fontId="23" fillId="0" borderId="2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29" fillId="0" borderId="0" xfId="73" applyNumberFormat="1" applyFont="1" applyFill="1" applyBorder="1" applyAlignment="1">
      <alignment vertical="center" wrapText="1"/>
      <protection/>
    </xf>
    <xf numFmtId="3" fontId="35" fillId="0" borderId="0" xfId="0" applyNumberFormat="1" applyFont="1" applyFill="1" applyAlignment="1">
      <alignment horizontal="center" vertical="center"/>
    </xf>
    <xf numFmtId="0" fontId="20" fillId="0" borderId="0" xfId="67" applyFont="1" applyFill="1" applyAlignment="1">
      <alignment horizontal="center" vertical="top"/>
      <protection/>
    </xf>
    <xf numFmtId="3" fontId="21" fillId="0" borderId="0" xfId="67" applyNumberFormat="1" applyFont="1" applyFill="1" applyAlignment="1">
      <alignment horizontal="right" vertical="top"/>
      <protection/>
    </xf>
    <xf numFmtId="0" fontId="21" fillId="0" borderId="0" xfId="67" applyFont="1" applyFill="1" applyAlignment="1">
      <alignment vertical="top"/>
      <protection/>
    </xf>
    <xf numFmtId="0" fontId="21" fillId="0" borderId="0" xfId="67" applyFont="1" applyAlignment="1">
      <alignment horizontal="left" vertical="top"/>
      <protection/>
    </xf>
    <xf numFmtId="0" fontId="20" fillId="0" borderId="0" xfId="67" applyFont="1" applyFill="1" applyAlignment="1">
      <alignment horizontal="center" vertical="center"/>
      <protection/>
    </xf>
    <xf numFmtId="0" fontId="21" fillId="0" borderId="0" xfId="67" applyFont="1" applyFill="1" applyAlignment="1">
      <alignment vertical="center"/>
      <protection/>
    </xf>
    <xf numFmtId="0" fontId="22" fillId="0" borderId="0" xfId="67" applyFont="1" applyFill="1" applyAlignment="1">
      <alignment horizontal="center" vertical="center"/>
      <protection/>
    </xf>
    <xf numFmtId="0" fontId="22" fillId="0" borderId="0" xfId="67" applyFont="1" applyFill="1" applyAlignment="1">
      <alignment horizontal="center" vertical="center" wrapText="1"/>
      <protection/>
    </xf>
    <xf numFmtId="0" fontId="20" fillId="0" borderId="0" xfId="67" applyFont="1" applyFill="1" applyAlignment="1">
      <alignment horizontal="center"/>
      <protection/>
    </xf>
    <xf numFmtId="0" fontId="22" fillId="0" borderId="0" xfId="67" applyFont="1" applyFill="1" applyAlignment="1">
      <alignment horizontal="center"/>
      <protection/>
    </xf>
    <xf numFmtId="0" fontId="22" fillId="0" borderId="0" xfId="67" applyFont="1" applyFill="1" applyAlignment="1">
      <alignment horizontal="center" vertical="top"/>
      <protection/>
    </xf>
    <xf numFmtId="3" fontId="21" fillId="0" borderId="0" xfId="67" applyNumberFormat="1" applyFont="1" applyFill="1" applyAlignment="1">
      <alignment horizontal="right"/>
      <protection/>
    </xf>
    <xf numFmtId="0" fontId="21" fillId="0" borderId="0" xfId="67" applyFont="1" applyFill="1">
      <alignment/>
      <protection/>
    </xf>
    <xf numFmtId="3" fontId="21" fillId="0" borderId="0" xfId="67" applyNumberFormat="1" applyFont="1" applyFill="1" applyAlignment="1">
      <alignment horizontal="center"/>
      <protection/>
    </xf>
    <xf numFmtId="0" fontId="21" fillId="0" borderId="0" xfId="67" applyFont="1" applyFill="1" applyAlignment="1">
      <alignment horizontal="center"/>
      <protection/>
    </xf>
    <xf numFmtId="3" fontId="22" fillId="0" borderId="189" xfId="67" applyNumberFormat="1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vertical="center"/>
      <protection/>
    </xf>
    <xf numFmtId="0" fontId="22" fillId="0" borderId="0" xfId="67" applyFont="1" applyFill="1" applyBorder="1" applyAlignment="1">
      <alignment vertical="center"/>
      <protection/>
    </xf>
    <xf numFmtId="0" fontId="22" fillId="0" borderId="190" xfId="67" applyFont="1" applyFill="1" applyBorder="1" applyAlignment="1">
      <alignment vertical="center"/>
      <protection/>
    </xf>
    <xf numFmtId="0" fontId="22" fillId="0" borderId="191" xfId="67" applyFont="1" applyFill="1" applyBorder="1" applyAlignment="1">
      <alignment horizontal="center" vertical="center"/>
      <protection/>
    </xf>
    <xf numFmtId="0" fontId="21" fillId="0" borderId="191" xfId="74" applyFont="1" applyFill="1" applyBorder="1" applyAlignment="1">
      <alignment wrapText="1"/>
      <protection/>
    </xf>
    <xf numFmtId="3" fontId="21" fillId="0" borderId="100" xfId="67" applyNumberFormat="1" applyFont="1" applyFill="1" applyBorder="1" applyAlignment="1">
      <alignment horizontal="right"/>
      <protection/>
    </xf>
    <xf numFmtId="0" fontId="22" fillId="0" borderId="191" xfId="67" applyFont="1" applyFill="1" applyBorder="1" applyAlignment="1">
      <alignment horizontal="center" vertical="top"/>
      <protection/>
    </xf>
    <xf numFmtId="0" fontId="22" fillId="0" borderId="192" xfId="67" applyFont="1" applyFill="1" applyBorder="1" applyAlignment="1">
      <alignment vertical="center"/>
      <protection/>
    </xf>
    <xf numFmtId="0" fontId="22" fillId="0" borderId="193" xfId="67" applyFont="1" applyFill="1" applyBorder="1" applyAlignment="1">
      <alignment horizontal="center" vertical="top"/>
      <protection/>
    </xf>
    <xf numFmtId="0" fontId="21" fillId="0" borderId="193" xfId="74" applyFont="1" applyFill="1" applyBorder="1" applyAlignment="1">
      <alignment wrapText="1"/>
      <protection/>
    </xf>
    <xf numFmtId="3" fontId="21" fillId="0" borderId="102" xfId="62" applyNumberFormat="1" applyFont="1" applyFill="1" applyBorder="1" applyAlignment="1">
      <alignment horizontal="right"/>
      <protection/>
    </xf>
    <xf numFmtId="0" fontId="22" fillId="0" borderId="0" xfId="67" applyFont="1" applyFill="1" applyBorder="1" applyAlignment="1">
      <alignment horizontal="center" vertical="center"/>
      <protection/>
    </xf>
    <xf numFmtId="3" fontId="21" fillId="0" borderId="19" xfId="62" applyNumberFormat="1" applyFont="1" applyFill="1" applyBorder="1" applyAlignment="1">
      <alignment horizontal="right"/>
      <protection/>
    </xf>
    <xf numFmtId="0" fontId="22" fillId="0" borderId="194" xfId="67" applyFont="1" applyFill="1" applyBorder="1" applyAlignment="1">
      <alignment vertical="center"/>
      <protection/>
    </xf>
    <xf numFmtId="0" fontId="22" fillId="0" borderId="195" xfId="67" applyFont="1" applyFill="1" applyBorder="1" applyAlignment="1">
      <alignment horizontal="center" vertical="center"/>
      <protection/>
    </xf>
    <xf numFmtId="0" fontId="21" fillId="0" borderId="195" xfId="74" applyFont="1" applyFill="1" applyBorder="1" applyAlignment="1">
      <alignment wrapText="1"/>
      <protection/>
    </xf>
    <xf numFmtId="3" fontId="21" fillId="0" borderId="196" xfId="67" applyNumberFormat="1" applyFont="1" applyFill="1" applyBorder="1" applyAlignment="1">
      <alignment horizontal="right"/>
      <protection/>
    </xf>
    <xf numFmtId="0" fontId="22" fillId="0" borderId="192" xfId="67" applyFont="1" applyFill="1" applyBorder="1" applyAlignment="1">
      <alignment vertical="top"/>
      <protection/>
    </xf>
    <xf numFmtId="0" fontId="21" fillId="0" borderId="193" xfId="74" applyFont="1" applyFill="1" applyBorder="1" applyAlignment="1">
      <alignment vertical="top" wrapText="1"/>
      <protection/>
    </xf>
    <xf numFmtId="3" fontId="21" fillId="0" borderId="102" xfId="67" applyNumberFormat="1" applyFont="1" applyFill="1" applyBorder="1" applyAlignment="1">
      <alignment horizontal="right" vertical="top"/>
      <protection/>
    </xf>
    <xf numFmtId="0" fontId="22" fillId="0" borderId="15" xfId="67" applyFont="1" applyFill="1" applyBorder="1" applyAlignment="1">
      <alignment vertical="center"/>
      <protection/>
    </xf>
    <xf numFmtId="0" fontId="22" fillId="0" borderId="16" xfId="67" applyFont="1" applyFill="1" applyBorder="1" applyAlignment="1">
      <alignment horizontal="center" vertical="center"/>
      <protection/>
    </xf>
    <xf numFmtId="0" fontId="22" fillId="0" borderId="16" xfId="67" applyFont="1" applyFill="1" applyBorder="1" applyAlignment="1">
      <alignment horizontal="center" vertical="center" wrapText="1"/>
      <protection/>
    </xf>
    <xf numFmtId="3" fontId="22" fillId="0" borderId="127" xfId="67" applyNumberFormat="1" applyFont="1" applyFill="1" applyBorder="1" applyAlignment="1">
      <alignment horizontal="right" vertical="center"/>
      <protection/>
    </xf>
    <xf numFmtId="0" fontId="22" fillId="0" borderId="17" xfId="67" applyFont="1" applyFill="1" applyBorder="1" applyAlignment="1">
      <alignment vertical="center"/>
      <protection/>
    </xf>
    <xf numFmtId="0" fontId="22" fillId="0" borderId="17" xfId="67" applyFont="1" applyFill="1" applyBorder="1" applyAlignment="1">
      <alignment horizontal="center" vertical="center"/>
      <protection/>
    </xf>
    <xf numFmtId="0" fontId="22" fillId="0" borderId="17" xfId="67" applyFont="1" applyFill="1" applyBorder="1" applyAlignment="1">
      <alignment horizontal="center" vertical="center" wrapText="1"/>
      <protection/>
    </xf>
    <xf numFmtId="3" fontId="22" fillId="0" borderId="17" xfId="67" applyNumberFormat="1" applyFont="1" applyFill="1" applyBorder="1" applyAlignment="1">
      <alignment horizontal="right" vertical="center"/>
      <protection/>
    </xf>
    <xf numFmtId="0" fontId="21" fillId="0" borderId="0" xfId="67" applyFont="1" applyFill="1" applyAlignment="1">
      <alignment horizontal="center" vertical="center" wrapText="1"/>
      <protection/>
    </xf>
    <xf numFmtId="0" fontId="21" fillId="0" borderId="0" xfId="67" applyFont="1" applyFill="1" applyBorder="1" applyAlignment="1">
      <alignment horizontal="center"/>
      <protection/>
    </xf>
    <xf numFmtId="0" fontId="22" fillId="0" borderId="197" xfId="67" applyFont="1" applyFill="1" applyBorder="1" applyAlignment="1">
      <alignment vertical="center"/>
      <protection/>
    </xf>
    <xf numFmtId="0" fontId="22" fillId="0" borderId="198" xfId="67" applyFont="1" applyFill="1" applyBorder="1" applyAlignment="1">
      <alignment horizontal="center" vertical="center"/>
      <protection/>
    </xf>
    <xf numFmtId="0" fontId="22" fillId="0" borderId="198" xfId="67" applyFont="1" applyFill="1" applyBorder="1" applyAlignment="1">
      <alignment vertical="center"/>
      <protection/>
    </xf>
    <xf numFmtId="3" fontId="21" fillId="0" borderId="199" xfId="67" applyNumberFormat="1" applyFont="1" applyFill="1" applyBorder="1" applyAlignment="1">
      <alignment horizontal="right" vertical="center"/>
      <protection/>
    </xf>
    <xf numFmtId="0" fontId="22" fillId="0" borderId="190" xfId="67" applyFont="1" applyFill="1" applyBorder="1" applyAlignment="1">
      <alignment/>
      <protection/>
    </xf>
    <xf numFmtId="0" fontId="21" fillId="0" borderId="191" xfId="64" applyFont="1" applyFill="1" applyBorder="1" applyAlignment="1">
      <alignment horizontal="left" wrapText="1"/>
      <protection/>
    </xf>
    <xf numFmtId="0" fontId="21" fillId="0" borderId="0" xfId="67" applyFont="1" applyFill="1" applyAlignment="1">
      <alignment/>
      <protection/>
    </xf>
    <xf numFmtId="0" fontId="22" fillId="0" borderId="192" xfId="67" applyFont="1" applyFill="1" applyBorder="1" applyAlignment="1">
      <alignment/>
      <protection/>
    </xf>
    <xf numFmtId="0" fontId="22" fillId="0" borderId="0" xfId="67" applyFont="1" applyFill="1" applyBorder="1" applyAlignment="1">
      <alignment horizontal="center" vertical="top"/>
      <protection/>
    </xf>
    <xf numFmtId="3" fontId="21" fillId="0" borderId="19" xfId="67" applyNumberFormat="1" applyFont="1" applyFill="1" applyBorder="1">
      <alignment/>
      <protection/>
    </xf>
    <xf numFmtId="0" fontId="22" fillId="0" borderId="14" xfId="67" applyFont="1" applyFill="1" applyBorder="1">
      <alignment/>
      <protection/>
    </xf>
    <xf numFmtId="0" fontId="22" fillId="0" borderId="195" xfId="67" applyFont="1" applyFill="1" applyBorder="1" applyAlignment="1">
      <alignment horizontal="center" vertical="top"/>
      <protection/>
    </xf>
    <xf numFmtId="0" fontId="21" fillId="0" borderId="195" xfId="64" applyFont="1" applyFill="1" applyBorder="1" applyAlignment="1">
      <alignment wrapText="1"/>
      <protection/>
    </xf>
    <xf numFmtId="3" fontId="21" fillId="0" borderId="196" xfId="67" applyNumberFormat="1" applyFont="1" applyFill="1" applyBorder="1">
      <alignment/>
      <protection/>
    </xf>
    <xf numFmtId="0" fontId="22" fillId="0" borderId="192" xfId="67" applyFont="1" applyFill="1" applyBorder="1">
      <alignment/>
      <protection/>
    </xf>
    <xf numFmtId="0" fontId="22" fillId="0" borderId="0" xfId="67" applyFont="1" applyFill="1" applyBorder="1" applyAlignment="1">
      <alignment horizontal="center"/>
      <protection/>
    </xf>
    <xf numFmtId="0" fontId="21" fillId="0" borderId="0" xfId="74" applyNumberFormat="1" applyFont="1" applyFill="1" applyBorder="1" applyAlignment="1">
      <alignment wrapText="1"/>
      <protection/>
    </xf>
    <xf numFmtId="3" fontId="21" fillId="0" borderId="19" xfId="67" applyNumberFormat="1" applyFont="1" applyFill="1" applyBorder="1" applyAlignment="1">
      <alignment/>
      <protection/>
    </xf>
    <xf numFmtId="0" fontId="21" fillId="0" borderId="0" xfId="64" applyFont="1" applyFill="1" applyBorder="1" applyAlignment="1">
      <alignment wrapText="1"/>
      <protection/>
    </xf>
    <xf numFmtId="0" fontId="21" fillId="0" borderId="193" xfId="64" applyFont="1" applyFill="1" applyBorder="1" applyAlignment="1">
      <alignment wrapText="1"/>
      <protection/>
    </xf>
    <xf numFmtId="3" fontId="21" fillId="0" borderId="102" xfId="67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 wrapText="1"/>
      <protection/>
    </xf>
    <xf numFmtId="0" fontId="22" fillId="0" borderId="27" xfId="67" applyFont="1" applyFill="1" applyBorder="1" applyAlignment="1">
      <alignment vertical="center"/>
      <protection/>
    </xf>
    <xf numFmtId="0" fontId="22" fillId="0" borderId="27" xfId="67" applyFont="1" applyFill="1" applyBorder="1" applyAlignment="1">
      <alignment horizontal="center" vertical="center"/>
      <protection/>
    </xf>
    <xf numFmtId="3" fontId="22" fillId="0" borderId="126" xfId="67" applyNumberFormat="1" applyFont="1" applyFill="1" applyBorder="1" applyAlignment="1">
      <alignment horizontal="right" vertical="center"/>
      <protection/>
    </xf>
    <xf numFmtId="0" fontId="22" fillId="0" borderId="22" xfId="67" applyFont="1" applyFill="1" applyBorder="1">
      <alignment/>
      <protection/>
    </xf>
    <xf numFmtId="0" fontId="22" fillId="0" borderId="10" xfId="67" applyFont="1" applyFill="1" applyBorder="1" applyAlignment="1">
      <alignment horizontal="center" vertical="center"/>
      <protection/>
    </xf>
    <xf numFmtId="3" fontId="22" fillId="0" borderId="11" xfId="67" applyNumberFormat="1" applyFont="1" applyFill="1" applyBorder="1" applyAlignment="1">
      <alignment horizontal="right" vertical="center"/>
      <protection/>
    </xf>
    <xf numFmtId="0" fontId="22" fillId="0" borderId="0" xfId="67" applyFont="1" applyFill="1" applyBorder="1">
      <alignment/>
      <protection/>
    </xf>
    <xf numFmtId="0" fontId="21" fillId="0" borderId="0" xfId="67" applyFont="1" applyFill="1" applyBorder="1">
      <alignment/>
      <protection/>
    </xf>
    <xf numFmtId="3" fontId="21" fillId="0" borderId="0" xfId="67" applyNumberFormat="1" applyFont="1" applyFill="1" applyBorder="1" applyAlignment="1">
      <alignment horizontal="right"/>
      <protection/>
    </xf>
    <xf numFmtId="0" fontId="22" fillId="0" borderId="0" xfId="67" applyFont="1" applyFill="1">
      <alignment/>
      <protection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26" fillId="0" borderId="52" xfId="0" applyNumberFormat="1" applyFont="1" applyFill="1" applyBorder="1" applyAlignment="1">
      <alignment/>
    </xf>
    <xf numFmtId="3" fontId="28" fillId="0" borderId="89" xfId="75" applyNumberFormat="1" applyFont="1" applyFill="1" applyBorder="1" applyAlignment="1">
      <alignment horizontal="right" vertical="center"/>
      <protection/>
    </xf>
    <xf numFmtId="0" fontId="37" fillId="0" borderId="31" xfId="74" applyFont="1" applyFill="1" applyBorder="1" applyAlignment="1">
      <alignment wrapText="1"/>
      <protection/>
    </xf>
    <xf numFmtId="3" fontId="28" fillId="0" borderId="89" xfId="64" applyNumberFormat="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top"/>
    </xf>
    <xf numFmtId="0" fontId="21" fillId="0" borderId="0" xfId="69" applyFont="1" applyAlignment="1">
      <alignment horizontal="center"/>
      <protection/>
    </xf>
    <xf numFmtId="0" fontId="60" fillId="0" borderId="0" xfId="72">
      <alignment/>
      <protection/>
    </xf>
    <xf numFmtId="0" fontId="60" fillId="0" borderId="0" xfId="72" applyAlignment="1">
      <alignment vertical="center"/>
      <protection/>
    </xf>
    <xf numFmtId="0" fontId="23" fillId="0" borderId="0" xfId="69" applyFont="1" applyAlignment="1">
      <alignment horizontal="center" vertical="center"/>
      <protection/>
    </xf>
    <xf numFmtId="0" fontId="21" fillId="0" borderId="0" xfId="68" applyFont="1" applyAlignment="1">
      <alignment horizontal="center"/>
      <protection/>
    </xf>
    <xf numFmtId="0" fontId="60" fillId="0" borderId="0" xfId="72" applyFont="1">
      <alignment/>
      <protection/>
    </xf>
    <xf numFmtId="0" fontId="21" fillId="0" borderId="159" xfId="69" applyFont="1" applyBorder="1" applyAlignment="1">
      <alignment horizontal="center" vertical="center" wrapText="1"/>
      <protection/>
    </xf>
    <xf numFmtId="0" fontId="60" fillId="0" borderId="0" xfId="72" applyAlignment="1">
      <alignment horizontal="center" vertical="center"/>
      <protection/>
    </xf>
    <xf numFmtId="0" fontId="21" fillId="0" borderId="200" xfId="72" applyFont="1" applyBorder="1" applyAlignment="1">
      <alignment horizontal="center" vertical="center"/>
      <protection/>
    </xf>
    <xf numFmtId="0" fontId="21" fillId="0" borderId="200" xfId="72" applyFont="1" applyFill="1" applyBorder="1" applyAlignment="1">
      <alignment vertical="center"/>
      <protection/>
    </xf>
    <xf numFmtId="14" fontId="21" fillId="0" borderId="200" xfId="72" applyNumberFormat="1" applyFont="1" applyBorder="1" applyAlignment="1">
      <alignment horizontal="center" vertical="center"/>
      <protection/>
    </xf>
    <xf numFmtId="3" fontId="21" fillId="0" borderId="200" xfId="70" applyNumberFormat="1" applyFont="1" applyBorder="1" applyAlignment="1">
      <alignment horizontal="right" vertical="center"/>
      <protection/>
    </xf>
    <xf numFmtId="0" fontId="21" fillId="0" borderId="35" xfId="72" applyFont="1" applyBorder="1" applyAlignment="1">
      <alignment horizontal="center" vertical="center"/>
      <protection/>
    </xf>
    <xf numFmtId="0" fontId="21" fillId="0" borderId="35" xfId="72" applyFont="1" applyBorder="1" applyAlignment="1">
      <alignment vertical="center"/>
      <protection/>
    </xf>
    <xf numFmtId="14" fontId="21" fillId="0" borderId="35" xfId="72" applyNumberFormat="1" applyFont="1" applyBorder="1" applyAlignment="1">
      <alignment horizontal="center" vertical="center"/>
      <protection/>
    </xf>
    <xf numFmtId="3" fontId="21" fillId="0" borderId="35" xfId="45" applyNumberFormat="1" applyFont="1" applyBorder="1" applyAlignment="1">
      <alignment horizontal="right" vertical="center"/>
    </xf>
    <xf numFmtId="3" fontId="21" fillId="0" borderId="35" xfId="45" applyNumberFormat="1" applyFont="1" applyFill="1" applyBorder="1" applyAlignment="1">
      <alignment horizontal="right" vertical="center"/>
    </xf>
    <xf numFmtId="0" fontId="21" fillId="0" borderId="35" xfId="72" applyFont="1" applyFill="1" applyBorder="1" applyAlignment="1">
      <alignment vertical="center"/>
      <protection/>
    </xf>
    <xf numFmtId="0" fontId="21" fillId="0" borderId="35" xfId="72" applyFont="1" applyFill="1" applyBorder="1" applyAlignment="1">
      <alignment horizontal="center" vertical="center"/>
      <protection/>
    </xf>
    <xf numFmtId="14" fontId="21" fillId="0" borderId="35" xfId="72" applyNumberFormat="1" applyFont="1" applyFill="1" applyBorder="1" applyAlignment="1">
      <alignment horizontal="center" vertical="center"/>
      <protection/>
    </xf>
    <xf numFmtId="3" fontId="21" fillId="25" borderId="35" xfId="45" applyNumberFormat="1" applyFont="1" applyFill="1" applyBorder="1" applyAlignment="1">
      <alignment horizontal="right" vertical="center"/>
    </xf>
    <xf numFmtId="0" fontId="21" fillId="0" borderId="159" xfId="72" applyFont="1" applyBorder="1" applyAlignment="1">
      <alignment horizontal="center" vertical="center"/>
      <protection/>
    </xf>
    <xf numFmtId="0" fontId="21" fillId="0" borderId="159" xfId="72" applyFont="1" applyBorder="1" applyAlignment="1">
      <alignment vertical="center"/>
      <protection/>
    </xf>
    <xf numFmtId="14" fontId="21" fillId="0" borderId="159" xfId="72" applyNumberFormat="1" applyFont="1" applyBorder="1" applyAlignment="1">
      <alignment horizontal="center" vertical="center"/>
      <protection/>
    </xf>
    <xf numFmtId="3" fontId="21" fillId="0" borderId="159" xfId="45" applyNumberFormat="1" applyFont="1" applyBorder="1" applyAlignment="1">
      <alignment horizontal="right" vertical="center"/>
    </xf>
    <xf numFmtId="3" fontId="21" fillId="25" borderId="159" xfId="45" applyNumberFormat="1" applyFont="1" applyFill="1" applyBorder="1" applyAlignment="1">
      <alignment horizontal="right" vertical="center"/>
    </xf>
    <xf numFmtId="0" fontId="22" fillId="0" borderId="200" xfId="69" applyFont="1" applyBorder="1" applyAlignment="1">
      <alignment horizontal="center" vertical="center"/>
      <protection/>
    </xf>
    <xf numFmtId="3" fontId="60" fillId="0" borderId="200" xfId="72" applyNumberFormat="1" applyBorder="1" applyAlignment="1">
      <alignment vertical="center"/>
      <protection/>
    </xf>
    <xf numFmtId="3" fontId="60" fillId="0" borderId="0" xfId="72" applyNumberFormat="1" applyAlignment="1">
      <alignment vertical="center"/>
      <protection/>
    </xf>
    <xf numFmtId="0" fontId="21" fillId="0" borderId="0" xfId="69" applyFont="1">
      <alignment/>
      <protection/>
    </xf>
    <xf numFmtId="3" fontId="21" fillId="0" borderId="0" xfId="69" applyNumberFormat="1" applyFont="1" applyAlignment="1">
      <alignment horizontal="center"/>
      <protection/>
    </xf>
    <xf numFmtId="10" fontId="21" fillId="0" borderId="0" xfId="69" applyNumberFormat="1" applyFont="1" applyAlignment="1">
      <alignment horizontal="center"/>
      <protection/>
    </xf>
    <xf numFmtId="10" fontId="21" fillId="0" borderId="0" xfId="69" applyNumberFormat="1" applyFont="1">
      <alignment/>
      <protection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/>
    </xf>
    <xf numFmtId="3" fontId="23" fillId="0" borderId="0" xfId="61" applyNumberFormat="1" applyFont="1" applyFill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/>
    </xf>
    <xf numFmtId="3" fontId="26" fillId="0" borderId="0" xfId="61" applyNumberFormat="1" applyFont="1" applyFill="1" applyAlignment="1">
      <alignment horizontal="left" vertical="center"/>
      <protection/>
    </xf>
    <xf numFmtId="3" fontId="20" fillId="0" borderId="0" xfId="61" applyNumberFormat="1" applyFont="1" applyFill="1" applyBorder="1" applyAlignment="1">
      <alignment horizontal="right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1" fillId="0" borderId="0" xfId="73" applyNumberFormat="1" applyFont="1" applyFill="1" applyBorder="1" applyAlignment="1">
      <alignment horizontal="left" wrapText="1"/>
      <protection/>
    </xf>
    <xf numFmtId="3" fontId="21" fillId="0" borderId="0" xfId="73" applyNumberFormat="1" applyFont="1" applyFill="1" applyBorder="1" applyAlignment="1">
      <alignment horizontal="left"/>
      <protection/>
    </xf>
    <xf numFmtId="3" fontId="21" fillId="0" borderId="0" xfId="0" applyNumberFormat="1" applyFont="1" applyFill="1" applyAlignment="1">
      <alignment horizontal="left" vertical="center"/>
    </xf>
    <xf numFmtId="3" fontId="20" fillId="0" borderId="201" xfId="0" applyNumberFormat="1" applyFont="1" applyFill="1" applyBorder="1" applyAlignment="1">
      <alignment horizontal="center" vertical="center" textRotation="90"/>
    </xf>
    <xf numFmtId="3" fontId="20" fillId="0" borderId="202" xfId="0" applyNumberFormat="1" applyFont="1" applyFill="1" applyBorder="1" applyAlignment="1">
      <alignment horizontal="center" vertical="center" textRotation="90"/>
    </xf>
    <xf numFmtId="3" fontId="27" fillId="0" borderId="203" xfId="0" applyNumberFormat="1" applyFont="1" applyFill="1" applyBorder="1" applyAlignment="1">
      <alignment horizontal="center" vertical="center"/>
    </xf>
    <xf numFmtId="3" fontId="27" fillId="0" borderId="204" xfId="0" applyNumberFormat="1" applyFont="1" applyFill="1" applyBorder="1" applyAlignment="1">
      <alignment horizontal="center" vertical="center"/>
    </xf>
    <xf numFmtId="3" fontId="20" fillId="0" borderId="203" xfId="0" applyNumberFormat="1" applyFont="1" applyFill="1" applyBorder="1" applyAlignment="1">
      <alignment horizontal="center" vertical="center" textRotation="90"/>
    </xf>
    <xf numFmtId="0" fontId="34" fillId="0" borderId="204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/>
    </xf>
    <xf numFmtId="3" fontId="21" fillId="0" borderId="19" xfId="73" applyNumberFormat="1" applyFont="1" applyFill="1" applyBorder="1" applyAlignment="1">
      <alignment horizontal="left" wrapText="1"/>
      <protection/>
    </xf>
    <xf numFmtId="3" fontId="22" fillId="0" borderId="17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205" xfId="0" applyNumberFormat="1" applyFont="1" applyFill="1" applyBorder="1" applyAlignment="1">
      <alignment horizontal="center" vertical="center" wrapText="1"/>
    </xf>
    <xf numFmtId="3" fontId="21" fillId="0" borderId="206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20" xfId="0" applyNumberFormat="1" applyFont="1" applyFill="1" applyBorder="1" applyAlignment="1">
      <alignment horizontal="left" vertical="center"/>
    </xf>
    <xf numFmtId="3" fontId="21" fillId="0" borderId="20" xfId="0" applyNumberFormat="1" applyFont="1" applyFill="1" applyBorder="1" applyAlignment="1">
      <alignment horizontal="left" vertical="center" wrapText="1"/>
    </xf>
    <xf numFmtId="3" fontId="22" fillId="0" borderId="20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/>
    </xf>
    <xf numFmtId="3" fontId="20" fillId="0" borderId="203" xfId="0" applyNumberFormat="1" applyFont="1" applyFill="1" applyBorder="1" applyAlignment="1">
      <alignment horizontal="center" vertical="center" wrapText="1"/>
    </xf>
    <xf numFmtId="3" fontId="20" fillId="0" borderId="204" xfId="0" applyNumberFormat="1" applyFont="1" applyFill="1" applyBorder="1" applyAlignment="1">
      <alignment horizontal="center" vertical="center" wrapText="1"/>
    </xf>
    <xf numFmtId="3" fontId="63" fillId="0" borderId="203" xfId="0" applyNumberFormat="1" applyFont="1" applyFill="1" applyBorder="1" applyAlignment="1">
      <alignment horizontal="center" vertical="center" wrapText="1"/>
    </xf>
    <xf numFmtId="3" fontId="63" fillId="0" borderId="204" xfId="0" applyNumberFormat="1" applyFont="1" applyFill="1" applyBorder="1" applyAlignment="1">
      <alignment horizontal="center" vertical="center" wrapText="1"/>
    </xf>
    <xf numFmtId="3" fontId="20" fillId="0" borderId="207" xfId="0" applyNumberFormat="1" applyFont="1" applyFill="1" applyBorder="1" applyAlignment="1">
      <alignment horizontal="center" vertical="center" wrapText="1"/>
    </xf>
    <xf numFmtId="3" fontId="20" fillId="0" borderId="208" xfId="0" applyNumberFormat="1" applyFont="1" applyFill="1" applyBorder="1" applyAlignment="1">
      <alignment horizontal="center" vertical="center" wrapText="1"/>
    </xf>
    <xf numFmtId="3" fontId="21" fillId="0" borderId="0" xfId="73" applyNumberFormat="1" applyFont="1" applyFill="1" applyBorder="1" applyAlignment="1">
      <alignment horizontal="left" wrapText="1" indent="1"/>
      <protection/>
    </xf>
    <xf numFmtId="3" fontId="28" fillId="0" borderId="0" xfId="73" applyNumberFormat="1" applyFont="1" applyFill="1" applyBorder="1" applyAlignment="1">
      <alignment horizontal="left" vertical="center" wrapText="1"/>
      <protection/>
    </xf>
    <xf numFmtId="3" fontId="28" fillId="0" borderId="104" xfId="73" applyNumberFormat="1" applyFont="1" applyFill="1" applyBorder="1" applyAlignment="1">
      <alignment horizontal="left" vertical="center" wrapText="1"/>
      <protection/>
    </xf>
    <xf numFmtId="3" fontId="20" fillId="0" borderId="54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>
      <alignment horizontal="center" vertical="center" textRotation="90"/>
    </xf>
    <xf numFmtId="3" fontId="20" fillId="0" borderId="12" xfId="0" applyNumberFormat="1" applyFont="1" applyFill="1" applyBorder="1" applyAlignment="1">
      <alignment horizontal="center" vertical="center" textRotation="90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209" xfId="0" applyNumberFormat="1" applyFont="1" applyFill="1" applyBorder="1" applyAlignment="1">
      <alignment horizontal="center" vertical="center" wrapText="1"/>
    </xf>
    <xf numFmtId="3" fontId="21" fillId="0" borderId="2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right"/>
    </xf>
    <xf numFmtId="3" fontId="20" fillId="0" borderId="54" xfId="0" applyNumberFormat="1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3" fontId="21" fillId="0" borderId="54" xfId="61" applyNumberFormat="1" applyFont="1" applyFill="1" applyBorder="1" applyAlignment="1">
      <alignment horizontal="center" vertical="center" wrapText="1"/>
      <protection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7" fillId="0" borderId="54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left" vertical="center" wrapText="1"/>
    </xf>
    <xf numFmtId="3" fontId="29" fillId="0" borderId="14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Alignment="1">
      <alignment horizontal="left" vertical="top"/>
    </xf>
    <xf numFmtId="3" fontId="29" fillId="0" borderId="14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left" vertical="top"/>
    </xf>
    <xf numFmtId="3" fontId="29" fillId="0" borderId="14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 vertical="center"/>
    </xf>
    <xf numFmtId="3" fontId="35" fillId="0" borderId="0" xfId="0" applyNumberFormat="1" applyFont="1" applyFill="1" applyBorder="1" applyAlignment="1">
      <alignment horizontal="left"/>
    </xf>
    <xf numFmtId="3" fontId="26" fillId="0" borderId="0" xfId="61" applyNumberFormat="1" applyFont="1" applyFill="1" applyAlignment="1">
      <alignment horizontal="right"/>
      <protection/>
    </xf>
    <xf numFmtId="3" fontId="21" fillId="0" borderId="70" xfId="0" applyNumberFormat="1" applyFont="1" applyFill="1" applyBorder="1" applyAlignment="1">
      <alignment horizontal="center" vertical="center"/>
    </xf>
    <xf numFmtId="3" fontId="21" fillId="0" borderId="71" xfId="0" applyNumberFormat="1" applyFont="1" applyFill="1" applyBorder="1" applyAlignment="1">
      <alignment horizontal="center" vertical="center"/>
    </xf>
    <xf numFmtId="3" fontId="21" fillId="0" borderId="70" xfId="61" applyNumberFormat="1" applyFont="1" applyFill="1" applyBorder="1" applyAlignment="1">
      <alignment horizontal="center" vertical="center" wrapText="1"/>
      <protection/>
    </xf>
    <xf numFmtId="3" fontId="21" fillId="0" borderId="33" xfId="61" applyNumberFormat="1" applyFont="1" applyFill="1" applyBorder="1" applyAlignment="1">
      <alignment horizontal="center" vertical="center" wrapText="1"/>
      <protection/>
    </xf>
    <xf numFmtId="3" fontId="21" fillId="0" borderId="74" xfId="61" applyNumberFormat="1" applyFont="1" applyFill="1" applyBorder="1" applyAlignment="1">
      <alignment horizontal="center" vertical="center" wrapText="1"/>
      <protection/>
    </xf>
    <xf numFmtId="3" fontId="21" fillId="0" borderId="82" xfId="61" applyNumberFormat="1" applyFont="1" applyFill="1" applyBorder="1" applyAlignment="1">
      <alignment horizontal="center" vertical="center" wrapText="1"/>
      <protection/>
    </xf>
    <xf numFmtId="3" fontId="35" fillId="0" borderId="70" xfId="0" applyNumberFormat="1" applyFont="1" applyFill="1" applyBorder="1" applyAlignment="1">
      <alignment horizontal="center" vertical="center" textRotation="90" wrapText="1"/>
    </xf>
    <xf numFmtId="0" fontId="35" fillId="0" borderId="33" xfId="0" applyFont="1" applyFill="1" applyBorder="1" applyAlignment="1">
      <alignment horizontal="center" vertical="center" textRotation="90" wrapText="1"/>
    </xf>
    <xf numFmtId="3" fontId="26" fillId="0" borderId="68" xfId="61" applyNumberFormat="1" applyFont="1" applyFill="1" applyBorder="1" applyAlignment="1">
      <alignment horizontal="left"/>
      <protection/>
    </xf>
    <xf numFmtId="0" fontId="0" fillId="0" borderId="211" xfId="0" applyFont="1" applyFill="1" applyBorder="1" applyAlignment="1">
      <alignment/>
    </xf>
    <xf numFmtId="0" fontId="0" fillId="0" borderId="188" xfId="0" applyFont="1" applyFill="1" applyBorder="1" applyAlignment="1">
      <alignment/>
    </xf>
    <xf numFmtId="3" fontId="23" fillId="0" borderId="0" xfId="61" applyNumberFormat="1" applyFont="1" applyFill="1" applyAlignment="1">
      <alignment horizontal="center"/>
      <protection/>
    </xf>
    <xf numFmtId="3" fontId="26" fillId="0" borderId="0" xfId="61" applyNumberFormat="1" applyFont="1" applyFill="1" applyAlignment="1">
      <alignment horizontal="left"/>
      <protection/>
    </xf>
    <xf numFmtId="3" fontId="21" fillId="0" borderId="69" xfId="61" applyNumberFormat="1" applyFont="1" applyFill="1" applyBorder="1" applyAlignment="1">
      <alignment horizontal="center" vertical="center" textRotation="90"/>
      <protection/>
    </xf>
    <xf numFmtId="3" fontId="21" fillId="0" borderId="122" xfId="61" applyNumberFormat="1" applyFont="1" applyFill="1" applyBorder="1" applyAlignment="1">
      <alignment horizontal="center" vertical="center" textRotation="90"/>
      <protection/>
    </xf>
    <xf numFmtId="0" fontId="22" fillId="0" borderId="70" xfId="61" applyFont="1" applyFill="1" applyBorder="1" applyAlignment="1">
      <alignment horizontal="center" vertical="center"/>
      <protection/>
    </xf>
    <xf numFmtId="0" fontId="22" fillId="0" borderId="33" xfId="61" applyFont="1" applyFill="1" applyBorder="1" applyAlignment="1">
      <alignment horizontal="center" vertical="center"/>
      <protection/>
    </xf>
    <xf numFmtId="3" fontId="21" fillId="0" borderId="78" xfId="61" applyNumberFormat="1" applyFont="1" applyFill="1" applyBorder="1" applyAlignment="1">
      <alignment horizontal="center" vertical="center" wrapText="1"/>
      <protection/>
    </xf>
    <xf numFmtId="3" fontId="21" fillId="0" borderId="90" xfId="61" applyNumberFormat="1" applyFont="1" applyFill="1" applyBorder="1" applyAlignment="1">
      <alignment horizontal="center" vertical="center" wrapText="1"/>
      <protection/>
    </xf>
    <xf numFmtId="3" fontId="21" fillId="0" borderId="70" xfId="61" applyNumberFormat="1" applyFont="1" applyFill="1" applyBorder="1" applyAlignment="1">
      <alignment horizontal="center" vertical="center" textRotation="90"/>
      <protection/>
    </xf>
    <xf numFmtId="3" fontId="21" fillId="0" borderId="33" xfId="61" applyNumberFormat="1" applyFont="1" applyFill="1" applyBorder="1" applyAlignment="1">
      <alignment horizontal="center" vertical="center" textRotation="90"/>
      <protection/>
    </xf>
    <xf numFmtId="0" fontId="22" fillId="0" borderId="68" xfId="74" applyFont="1" applyFill="1" applyBorder="1" applyAlignment="1">
      <alignment horizontal="left" wrapText="1"/>
      <protection/>
    </xf>
    <xf numFmtId="0" fontId="22" fillId="0" borderId="211" xfId="74" applyFont="1" applyFill="1" applyBorder="1" applyAlignment="1">
      <alignment horizontal="left" wrapText="1"/>
      <protection/>
    </xf>
    <xf numFmtId="0" fontId="22" fillId="0" borderId="188" xfId="74" applyFont="1" applyFill="1" applyBorder="1" applyAlignment="1">
      <alignment horizontal="left" wrapText="1"/>
      <protection/>
    </xf>
    <xf numFmtId="0" fontId="21" fillId="0" borderId="0" xfId="75" applyFont="1" applyFill="1" applyBorder="1" applyAlignment="1">
      <alignment horizontal="left"/>
      <protection/>
    </xf>
    <xf numFmtId="3" fontId="21" fillId="0" borderId="212" xfId="61" applyNumberFormat="1" applyFont="1" applyFill="1" applyBorder="1" applyAlignment="1">
      <alignment horizontal="center" vertical="center" textRotation="90"/>
      <protection/>
    </xf>
    <xf numFmtId="3" fontId="21" fillId="0" borderId="213" xfId="61" applyNumberFormat="1" applyFont="1" applyFill="1" applyBorder="1" applyAlignment="1">
      <alignment horizontal="center" vertical="center" textRotation="90"/>
      <protection/>
    </xf>
    <xf numFmtId="3" fontId="21" fillId="0" borderId="214" xfId="61" applyNumberFormat="1" applyFont="1" applyFill="1" applyBorder="1" applyAlignment="1">
      <alignment horizontal="center" textRotation="90"/>
      <protection/>
    </xf>
    <xf numFmtId="3" fontId="21" fillId="0" borderId="215" xfId="61" applyNumberFormat="1" applyFont="1" applyFill="1" applyBorder="1" applyAlignment="1">
      <alignment horizontal="center" textRotation="90"/>
      <protection/>
    </xf>
    <xf numFmtId="3" fontId="22" fillId="0" borderId="216" xfId="75" applyNumberFormat="1" applyFont="1" applyFill="1" applyBorder="1" applyAlignment="1">
      <alignment horizontal="center" vertical="center" wrapText="1"/>
      <protection/>
    </xf>
    <xf numFmtId="3" fontId="22" fillId="0" borderId="217" xfId="75" applyNumberFormat="1" applyFont="1" applyFill="1" applyBorder="1" applyAlignment="1">
      <alignment horizontal="center" vertical="center" wrapText="1"/>
      <protection/>
    </xf>
    <xf numFmtId="0" fontId="22" fillId="0" borderId="218" xfId="75" applyFont="1" applyFill="1" applyBorder="1" applyAlignment="1">
      <alignment horizontal="center" vertical="center" wrapText="1"/>
      <protection/>
    </xf>
    <xf numFmtId="0" fontId="22" fillId="0" borderId="219" xfId="75" applyFont="1" applyFill="1" applyBorder="1" applyAlignment="1">
      <alignment horizontal="center" vertical="center" wrapText="1"/>
      <protection/>
    </xf>
    <xf numFmtId="0" fontId="22" fillId="0" borderId="0" xfId="75" applyFont="1" applyFill="1" applyBorder="1" applyAlignment="1">
      <alignment horizontal="center"/>
      <protection/>
    </xf>
    <xf numFmtId="0" fontId="21" fillId="0" borderId="216" xfId="74" applyFont="1" applyFill="1" applyBorder="1" applyAlignment="1">
      <alignment horizontal="center" vertical="center" textRotation="90" wrapText="1"/>
      <protection/>
    </xf>
    <xf numFmtId="0" fontId="21" fillId="0" borderId="217" xfId="74" applyFont="1" applyFill="1" applyBorder="1" applyAlignment="1">
      <alignment horizontal="center" vertical="center" textRotation="90" wrapText="1"/>
      <protection/>
    </xf>
    <xf numFmtId="3" fontId="22" fillId="0" borderId="18" xfId="75" applyNumberFormat="1" applyFont="1" applyFill="1" applyBorder="1" applyAlignment="1">
      <alignment horizontal="center" vertical="center" wrapText="1"/>
      <protection/>
    </xf>
    <xf numFmtId="3" fontId="22" fillId="0" borderId="11" xfId="75" applyNumberFormat="1" applyFont="1" applyFill="1" applyBorder="1" applyAlignment="1">
      <alignment horizontal="center" vertical="center" wrapText="1"/>
      <protection/>
    </xf>
    <xf numFmtId="3" fontId="22" fillId="0" borderId="220" xfId="75" applyNumberFormat="1" applyFont="1" applyFill="1" applyBorder="1" applyAlignment="1">
      <alignment horizontal="center" vertical="center" wrapText="1"/>
      <protection/>
    </xf>
    <xf numFmtId="3" fontId="22" fillId="0" borderId="221" xfId="75" applyNumberFormat="1" applyFont="1" applyFill="1" applyBorder="1" applyAlignment="1">
      <alignment horizontal="center" vertical="center" wrapText="1"/>
      <protection/>
    </xf>
    <xf numFmtId="3" fontId="22" fillId="0" borderId="222" xfId="75" applyNumberFormat="1" applyFont="1" applyFill="1" applyBorder="1" applyAlignment="1">
      <alignment horizontal="center" vertical="center" wrapText="1"/>
      <protection/>
    </xf>
    <xf numFmtId="3" fontId="22" fillId="0" borderId="223" xfId="75" applyNumberFormat="1" applyFont="1" applyFill="1" applyBorder="1" applyAlignment="1">
      <alignment horizontal="center" vertical="center" wrapText="1"/>
      <protection/>
    </xf>
    <xf numFmtId="3" fontId="22" fillId="0" borderId="110" xfId="75" applyNumberFormat="1" applyFont="1" applyFill="1" applyBorder="1" applyAlignment="1">
      <alignment horizontal="center" vertical="center" wrapText="1"/>
      <protection/>
    </xf>
    <xf numFmtId="3" fontId="22" fillId="0" borderId="218" xfId="75" applyNumberFormat="1" applyFont="1" applyFill="1" applyBorder="1" applyAlignment="1">
      <alignment horizontal="center" vertical="center" wrapText="1"/>
      <protection/>
    </xf>
    <xf numFmtId="0" fontId="21" fillId="0" borderId="0" xfId="74" applyFont="1" applyFill="1" applyBorder="1" applyAlignment="1">
      <alignment horizontal="left" vertical="top"/>
      <protection/>
    </xf>
    <xf numFmtId="0" fontId="22" fillId="0" borderId="0" xfId="74" applyFont="1" applyFill="1" applyBorder="1" applyAlignment="1">
      <alignment horizontal="center"/>
      <protection/>
    </xf>
    <xf numFmtId="3" fontId="21" fillId="0" borderId="0" xfId="74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top"/>
    </xf>
    <xf numFmtId="0" fontId="21" fillId="0" borderId="159" xfId="69" applyFont="1" applyBorder="1" applyAlignment="1">
      <alignment horizontal="center" vertical="center" wrapText="1"/>
      <protection/>
    </xf>
    <xf numFmtId="0" fontId="23" fillId="0" borderId="200" xfId="69" applyFont="1" applyBorder="1" applyAlignment="1">
      <alignment horizontal="left" vertical="center"/>
      <protection/>
    </xf>
    <xf numFmtId="0" fontId="21" fillId="0" borderId="0" xfId="71" applyFont="1" applyFill="1" applyAlignment="1">
      <alignment horizontal="left"/>
      <protection/>
    </xf>
    <xf numFmtId="0" fontId="22" fillId="0" borderId="0" xfId="69" applyFont="1" applyAlignment="1">
      <alignment horizontal="center" vertical="center"/>
      <protection/>
    </xf>
    <xf numFmtId="0" fontId="23" fillId="0" borderId="0" xfId="69" applyFont="1" applyAlignment="1">
      <alignment horizontal="center" vertical="center"/>
      <protection/>
    </xf>
    <xf numFmtId="0" fontId="21" fillId="0" borderId="0" xfId="69" applyFont="1" applyAlignment="1">
      <alignment horizontal="right" vertical="center"/>
      <protection/>
    </xf>
    <xf numFmtId="0" fontId="21" fillId="0" borderId="195" xfId="68" applyFont="1" applyBorder="1" applyAlignment="1">
      <alignment horizontal="center"/>
      <protection/>
    </xf>
    <xf numFmtId="0" fontId="22" fillId="0" borderId="48" xfId="67" applyFont="1" applyFill="1" applyBorder="1" applyAlignment="1">
      <alignment horizontal="left" vertical="center" wrapText="1"/>
      <protection/>
    </xf>
    <xf numFmtId="0" fontId="22" fillId="0" borderId="49" xfId="67" applyFont="1" applyFill="1" applyBorder="1" applyAlignment="1">
      <alignment horizontal="left" vertical="center" wrapText="1"/>
      <protection/>
    </xf>
    <xf numFmtId="0" fontId="21" fillId="0" borderId="0" xfId="67" applyFont="1" applyFill="1" applyAlignment="1">
      <alignment horizontal="center" vertical="center" wrapText="1"/>
      <protection/>
    </xf>
    <xf numFmtId="0" fontId="21" fillId="0" borderId="0" xfId="67" applyFont="1" applyFill="1" applyBorder="1" applyAlignment="1">
      <alignment horizontal="center"/>
      <protection/>
    </xf>
    <xf numFmtId="0" fontId="21" fillId="0" borderId="0" xfId="67" applyFont="1" applyAlignment="1">
      <alignment horizontal="left" vertical="top"/>
      <protection/>
    </xf>
    <xf numFmtId="0" fontId="22" fillId="0" borderId="0" xfId="67" applyFont="1" applyFill="1" applyAlignment="1">
      <alignment horizontal="center" vertical="center"/>
      <protection/>
    </xf>
    <xf numFmtId="0" fontId="22" fillId="0" borderId="224" xfId="67" applyFont="1" applyFill="1" applyBorder="1" applyAlignment="1">
      <alignment horizontal="center" vertical="center"/>
      <protection/>
    </xf>
    <xf numFmtId="0" fontId="22" fillId="0" borderId="225" xfId="67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left" vertical="top"/>
    </xf>
    <xf numFmtId="0" fontId="20" fillId="0" borderId="19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3" fillId="0" borderId="46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7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_2007.évi konc. összefoglaló bevétel" xfId="61"/>
    <cellStyle name="Normál_2008.évi költségvetési javaslat_hitel_beruhazas-felujitas 2" xfId="62"/>
    <cellStyle name="Normál_2012. évi KONCEPCIÓ_2011_11_04" xfId="63"/>
    <cellStyle name="Normál_Beruházási tábla 2007" xfId="64"/>
    <cellStyle name="Normál_Beruházási tábla 2007_Koltsegvetes_modositas_aprilis_tablazatai" xfId="65"/>
    <cellStyle name="Normál_EU-s tábla kv-hez" xfId="66"/>
    <cellStyle name="Normál_fejlesztesi hitel 2" xfId="67"/>
    <cellStyle name="Normál_Hitel tábla 2012 terv (2) 2" xfId="68"/>
    <cellStyle name="Normál_Hitel tábla 2012 terv 2" xfId="69"/>
    <cellStyle name="Normál_hitelállomány07_12 2" xfId="70"/>
    <cellStyle name="Normál_hiteltörl költségvetés 2014" xfId="71"/>
    <cellStyle name="Normál_hiteltörl költségvetés 2014 2" xfId="72"/>
    <cellStyle name="Normál_Intézményi bevétel-kiadás" xfId="73"/>
    <cellStyle name="Normál_Városfejlesztési Iroda - 2008. kv. tervezés" xfId="74"/>
    <cellStyle name="Normál_Városfejlesztési Iroda - 2008. kv. tervezés_2014.évi eredeti előirányzat" xfId="75"/>
    <cellStyle name="Normál_Városfejlesztési Iroda - 2008. kv. tervezés_Koltsegvetes_modositas_aprilis_tablazatai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  <cellStyle name="Százalék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zilvi\2014k&#246;lts&#233;gvet&#233;s\Onbe,%20Onki%20munkap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3.Onki"/>
    </sheetNames>
    <sheetDataSet>
      <sheetData sheetId="1">
        <row r="32">
          <cell r="G32">
            <v>15438188</v>
          </cell>
          <cell r="H32">
            <v>13498810</v>
          </cell>
          <cell r="I32">
            <v>16224863</v>
          </cell>
          <cell r="J32">
            <v>16308080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.625" style="1386" bestFit="1" customWidth="1"/>
    <col min="2" max="2" width="3.75390625" style="240" customWidth="1"/>
    <col min="3" max="3" width="4.125" style="241" customWidth="1"/>
    <col min="4" max="4" width="81.25390625" style="242" bestFit="1" customWidth="1"/>
    <col min="5" max="5" width="15.25390625" style="39" bestFit="1" customWidth="1"/>
    <col min="6" max="6" width="10.25390625" style="240" hidden="1" customWidth="1"/>
    <col min="7" max="7" width="0" style="240" hidden="1" customWidth="1"/>
    <col min="8" max="8" width="11.25390625" style="240" hidden="1" customWidth="1"/>
    <col min="9" max="11" width="0" style="240" hidden="1" customWidth="1"/>
    <col min="12" max="12" width="10.125" style="240" bestFit="1" customWidth="1"/>
    <col min="13" max="16384" width="9.125" style="240" customWidth="1"/>
  </cols>
  <sheetData>
    <row r="1" spans="1:5" s="6" customFormat="1" ht="24" customHeight="1">
      <c r="A1" s="1386"/>
      <c r="B1" s="1627" t="s">
        <v>381</v>
      </c>
      <c r="C1" s="1627"/>
      <c r="D1" s="1627"/>
      <c r="E1" s="1627"/>
    </row>
    <row r="2" spans="1:5" s="6" customFormat="1" ht="24" customHeight="1">
      <c r="A2" s="1386"/>
      <c r="B2" s="1628" t="s">
        <v>382</v>
      </c>
      <c r="C2" s="1628"/>
      <c r="D2" s="1628"/>
      <c r="E2" s="1628"/>
    </row>
    <row r="3" spans="1:5" s="6" customFormat="1" ht="24" customHeight="1">
      <c r="A3" s="1386"/>
      <c r="B3" s="1628" t="s">
        <v>1061</v>
      </c>
      <c r="C3" s="1628"/>
      <c r="D3" s="1628"/>
      <c r="E3" s="1628"/>
    </row>
    <row r="4" spans="3:5" ht="16.5">
      <c r="C4" s="241" t="s">
        <v>383</v>
      </c>
      <c r="E4" s="243" t="s">
        <v>135</v>
      </c>
    </row>
    <row r="5" spans="1:5" s="244" customFormat="1" ht="17.25" thickBot="1">
      <c r="A5" s="1386"/>
      <c r="C5" s="245"/>
      <c r="D5" s="246" t="s">
        <v>146</v>
      </c>
      <c r="E5" s="247" t="s">
        <v>147</v>
      </c>
    </row>
    <row r="6" spans="1:5" s="7" customFormat="1" ht="30" customHeight="1" thickBot="1">
      <c r="A6" s="1386"/>
      <c r="B6" s="248"/>
      <c r="C6" s="249"/>
      <c r="D6" s="250" t="s">
        <v>136</v>
      </c>
      <c r="E6" s="251" t="s">
        <v>134</v>
      </c>
    </row>
    <row r="7" spans="1:4" ht="30" customHeight="1">
      <c r="A7" s="1386">
        <v>1</v>
      </c>
      <c r="B7" s="252" t="s">
        <v>515</v>
      </c>
      <c r="C7" s="253"/>
      <c r="D7" s="254" t="s">
        <v>385</v>
      </c>
    </row>
    <row r="8" spans="1:4" ht="21.75" customHeight="1">
      <c r="A8" s="1386">
        <v>2</v>
      </c>
      <c r="B8" s="252"/>
      <c r="C8" s="302" t="s">
        <v>791</v>
      </c>
      <c r="D8" s="257" t="s">
        <v>27</v>
      </c>
    </row>
    <row r="9" spans="1:5" ht="17.25">
      <c r="A9" s="1386">
        <v>3</v>
      </c>
      <c r="B9" s="252"/>
      <c r="C9" s="253"/>
      <c r="D9" s="696" t="s">
        <v>1076</v>
      </c>
      <c r="E9" s="263">
        <v>11100</v>
      </c>
    </row>
    <row r="10" spans="1:5" s="255" customFormat="1" ht="21.75" customHeight="1">
      <c r="A10" s="1386">
        <v>4</v>
      </c>
      <c r="C10" s="256" t="s">
        <v>792</v>
      </c>
      <c r="D10" s="257" t="s">
        <v>805</v>
      </c>
      <c r="E10" s="258"/>
    </row>
    <row r="11" spans="1:5" s="255" customFormat="1" ht="17.25">
      <c r="A11" s="1386">
        <v>5</v>
      </c>
      <c r="C11" s="256"/>
      <c r="D11" s="696" t="s">
        <v>1071</v>
      </c>
      <c r="E11" s="978">
        <v>6127</v>
      </c>
    </row>
    <row r="12" spans="1:5" ht="17.25">
      <c r="A12" s="1386">
        <v>6</v>
      </c>
      <c r="B12" s="252"/>
      <c r="C12" s="253"/>
      <c r="D12" s="280" t="s">
        <v>1075</v>
      </c>
      <c r="E12" s="28">
        <v>1326</v>
      </c>
    </row>
    <row r="13" spans="1:5" s="255" customFormat="1" ht="17.25">
      <c r="A13" s="1386">
        <v>7</v>
      </c>
      <c r="C13" s="256"/>
      <c r="D13" s="696" t="s">
        <v>1081</v>
      </c>
      <c r="E13" s="1267">
        <v>832</v>
      </c>
    </row>
    <row r="14" spans="1:5" s="255" customFormat="1" ht="17.25">
      <c r="A14" s="1386">
        <v>8</v>
      </c>
      <c r="C14" s="256"/>
      <c r="D14" s="696" t="s">
        <v>1158</v>
      </c>
      <c r="E14" s="1109">
        <v>1950</v>
      </c>
    </row>
    <row r="15" spans="1:5" s="241" customFormat="1" ht="17.25">
      <c r="A15" s="1386">
        <v>9</v>
      </c>
      <c r="C15" s="262"/>
      <c r="D15" s="977"/>
      <c r="E15" s="260">
        <f>SUM(E11:E14)</f>
        <v>10235</v>
      </c>
    </row>
    <row r="16" spans="1:5" s="255" customFormat="1" ht="24" customHeight="1">
      <c r="A16" s="1386">
        <v>10</v>
      </c>
      <c r="C16" s="256" t="s">
        <v>793</v>
      </c>
      <c r="D16" s="257" t="s">
        <v>28</v>
      </c>
      <c r="E16" s="258"/>
    </row>
    <row r="17" spans="1:5" s="255" customFormat="1" ht="17.25">
      <c r="A17" s="1386">
        <v>11</v>
      </c>
      <c r="C17" s="256"/>
      <c r="D17" s="696" t="s">
        <v>1147</v>
      </c>
      <c r="E17" s="978">
        <v>-54460</v>
      </c>
    </row>
    <row r="18" spans="1:5" s="255" customFormat="1" ht="17.25">
      <c r="A18" s="1386">
        <v>12</v>
      </c>
      <c r="C18" s="256"/>
      <c r="D18" s="696" t="s">
        <v>1146</v>
      </c>
      <c r="E18" s="978">
        <v>-11100</v>
      </c>
    </row>
    <row r="19" spans="1:5" s="255" customFormat="1" ht="15.75" customHeight="1">
      <c r="A19" s="1386">
        <v>13</v>
      </c>
      <c r="C19" s="256"/>
      <c r="D19" s="280" t="s">
        <v>1154</v>
      </c>
      <c r="E19" s="1109">
        <v>1388</v>
      </c>
    </row>
    <row r="20" spans="1:5" s="241" customFormat="1" ht="17.25">
      <c r="A20" s="1386">
        <v>14</v>
      </c>
      <c r="C20" s="262"/>
      <c r="D20" s="977"/>
      <c r="E20" s="260">
        <f>SUM(E17:E19)</f>
        <v>-64172</v>
      </c>
    </row>
    <row r="21" spans="1:5" s="255" customFormat="1" ht="24" customHeight="1">
      <c r="A21" s="1386">
        <v>15</v>
      </c>
      <c r="C21" s="256" t="s">
        <v>680</v>
      </c>
      <c r="D21" s="257" t="s">
        <v>566</v>
      </c>
      <c r="E21" s="258"/>
    </row>
    <row r="22" spans="1:5" s="255" customFormat="1" ht="17.25">
      <c r="A22" s="1386">
        <v>16</v>
      </c>
      <c r="C22" s="256"/>
      <c r="D22" s="280" t="s">
        <v>852</v>
      </c>
      <c r="E22" s="978"/>
    </row>
    <row r="23" spans="1:5" s="255" customFormat="1" ht="17.25">
      <c r="A23" s="1386">
        <v>17</v>
      </c>
      <c r="C23" s="256"/>
      <c r="D23" s="1300" t="s">
        <v>1289</v>
      </c>
      <c r="E23" s="978">
        <v>527</v>
      </c>
    </row>
    <row r="24" spans="1:5" s="255" customFormat="1" ht="17.25">
      <c r="A24" s="1386">
        <v>18</v>
      </c>
      <c r="C24" s="256"/>
      <c r="D24" s="280" t="s">
        <v>346</v>
      </c>
      <c r="E24" s="978"/>
    </row>
    <row r="25" spans="1:5" s="255" customFormat="1" ht="33.75">
      <c r="A25" s="1273">
        <v>19</v>
      </c>
      <c r="C25" s="256"/>
      <c r="D25" s="1300" t="s">
        <v>462</v>
      </c>
      <c r="E25" s="978">
        <v>4510</v>
      </c>
    </row>
    <row r="26" spans="1:5" s="255" customFormat="1" ht="17.25">
      <c r="A26" s="1386">
        <v>20</v>
      </c>
      <c r="C26" s="256"/>
      <c r="D26" s="280" t="s">
        <v>29</v>
      </c>
      <c r="E26" s="978"/>
    </row>
    <row r="27" spans="1:5" s="255" customFormat="1" ht="17.25">
      <c r="A27" s="1386">
        <v>21</v>
      </c>
      <c r="C27" s="256"/>
      <c r="D27" s="1300" t="s">
        <v>1171</v>
      </c>
      <c r="E27" s="978">
        <v>4750</v>
      </c>
    </row>
    <row r="28" spans="1:5" s="255" customFormat="1" ht="17.25">
      <c r="A28" s="1386">
        <v>22</v>
      </c>
      <c r="C28" s="256"/>
      <c r="D28" s="1300" t="s">
        <v>1289</v>
      </c>
      <c r="E28" s="978">
        <v>1150</v>
      </c>
    </row>
    <row r="29" spans="1:5" s="255" customFormat="1" ht="33.75">
      <c r="A29" s="1273">
        <v>23</v>
      </c>
      <c r="C29" s="256"/>
      <c r="D29" s="1300" t="s">
        <v>462</v>
      </c>
      <c r="E29" s="978">
        <v>2050</v>
      </c>
    </row>
    <row r="30" spans="1:5" s="255" customFormat="1" ht="17.25">
      <c r="A30" s="1386">
        <v>24</v>
      </c>
      <c r="C30" s="256"/>
      <c r="D30" s="280" t="s">
        <v>853</v>
      </c>
      <c r="E30" s="978"/>
    </row>
    <row r="31" spans="1:5" s="255" customFormat="1" ht="17.25">
      <c r="A31" s="1386">
        <v>25</v>
      </c>
      <c r="C31" s="256"/>
      <c r="D31" s="1300" t="s">
        <v>1289</v>
      </c>
      <c r="E31" s="1109">
        <v>7000</v>
      </c>
    </row>
    <row r="32" spans="1:5" s="241" customFormat="1" ht="17.25">
      <c r="A32" s="1386">
        <v>26</v>
      </c>
      <c r="C32" s="262"/>
      <c r="D32" s="1359"/>
      <c r="E32" s="260">
        <f>SUM(E22:E31)</f>
        <v>19987</v>
      </c>
    </row>
    <row r="33" spans="1:5" s="255" customFormat="1" ht="24" customHeight="1">
      <c r="A33" s="1386">
        <v>27</v>
      </c>
      <c r="C33" s="256" t="s">
        <v>682</v>
      </c>
      <c r="D33" s="257" t="s">
        <v>10</v>
      </c>
      <c r="E33" s="258"/>
    </row>
    <row r="34" spans="1:5" s="241" customFormat="1" ht="17.25">
      <c r="A34" s="1386">
        <v>28</v>
      </c>
      <c r="C34" s="262"/>
      <c r="D34" s="280" t="s">
        <v>1172</v>
      </c>
      <c r="E34" s="260">
        <v>150000</v>
      </c>
    </row>
    <row r="35" spans="1:5" s="255" customFormat="1" ht="24" customHeight="1">
      <c r="A35" s="1386">
        <v>29</v>
      </c>
      <c r="C35" s="256" t="s">
        <v>684</v>
      </c>
      <c r="D35" s="257" t="s">
        <v>177</v>
      </c>
      <c r="E35" s="258"/>
    </row>
    <row r="36" spans="1:5" s="255" customFormat="1" ht="33.75">
      <c r="A36" s="1273">
        <v>30</v>
      </c>
      <c r="C36" s="256"/>
      <c r="D36" s="280" t="s">
        <v>1098</v>
      </c>
      <c r="E36" s="978">
        <v>1416</v>
      </c>
    </row>
    <row r="37" spans="1:5" s="255" customFormat="1" ht="33.75">
      <c r="A37" s="1273">
        <v>31</v>
      </c>
      <c r="C37" s="256"/>
      <c r="D37" s="280" t="s">
        <v>1170</v>
      </c>
      <c r="E37" s="1109">
        <v>-700</v>
      </c>
    </row>
    <row r="38" spans="1:5" s="255" customFormat="1" ht="17.25">
      <c r="A38" s="1386">
        <v>32</v>
      </c>
      <c r="C38" s="256"/>
      <c r="D38" s="280"/>
      <c r="E38" s="260">
        <f>SUM(E36:E37)</f>
        <v>716</v>
      </c>
    </row>
    <row r="39" spans="1:5" s="255" customFormat="1" ht="24" customHeight="1">
      <c r="A39" s="1386">
        <v>33</v>
      </c>
      <c r="C39" s="256" t="s">
        <v>424</v>
      </c>
      <c r="D39" s="257" t="s">
        <v>568</v>
      </c>
      <c r="E39" s="258"/>
    </row>
    <row r="40" spans="1:5" s="255" customFormat="1" ht="17.25">
      <c r="A40" s="1386">
        <v>34</v>
      </c>
      <c r="C40" s="256"/>
      <c r="D40" s="696" t="s">
        <v>1168</v>
      </c>
      <c r="E40" s="978">
        <v>611</v>
      </c>
    </row>
    <row r="41" spans="1:5" s="255" customFormat="1" ht="17.25">
      <c r="A41" s="1386">
        <v>35</v>
      </c>
      <c r="C41" s="256"/>
      <c r="D41" s="696" t="s">
        <v>1173</v>
      </c>
      <c r="E41" s="978">
        <v>35000</v>
      </c>
    </row>
    <row r="42" spans="1:5" s="255" customFormat="1" ht="17.25">
      <c r="A42" s="1386">
        <v>36</v>
      </c>
      <c r="C42" s="256"/>
      <c r="D42" s="696" t="s">
        <v>1106</v>
      </c>
      <c r="E42" s="978">
        <v>700</v>
      </c>
    </row>
    <row r="43" spans="1:5" s="255" customFormat="1" ht="17.25">
      <c r="A43" s="1386">
        <v>37</v>
      </c>
      <c r="C43" s="256"/>
      <c r="D43" s="696" t="s">
        <v>1122</v>
      </c>
      <c r="E43" s="978">
        <v>3270</v>
      </c>
    </row>
    <row r="44" spans="1:5" s="255" customFormat="1" ht="17.25">
      <c r="A44" s="1386">
        <v>38</v>
      </c>
      <c r="B44" s="1273"/>
      <c r="C44" s="256"/>
      <c r="D44" s="280" t="s">
        <v>1140</v>
      </c>
      <c r="E44" s="1109">
        <v>921</v>
      </c>
    </row>
    <row r="45" spans="1:5" s="241" customFormat="1" ht="17.25">
      <c r="A45" s="1386">
        <v>39</v>
      </c>
      <c r="C45" s="262"/>
      <c r="D45" s="977"/>
      <c r="E45" s="260">
        <f>SUM(E41:E44)+E40</f>
        <v>40502</v>
      </c>
    </row>
    <row r="46" spans="1:5" s="255" customFormat="1" ht="24" customHeight="1">
      <c r="A46" s="1386">
        <v>40</v>
      </c>
      <c r="C46" s="256" t="s">
        <v>802</v>
      </c>
      <c r="D46" s="257" t="s">
        <v>1169</v>
      </c>
      <c r="E46" s="258">
        <v>89</v>
      </c>
    </row>
    <row r="47" spans="1:5" s="255" customFormat="1" ht="24" customHeight="1">
      <c r="A47" s="1386">
        <v>41</v>
      </c>
      <c r="C47" s="256" t="s">
        <v>1048</v>
      </c>
      <c r="D47" s="257" t="s">
        <v>567</v>
      </c>
      <c r="E47" s="258"/>
    </row>
    <row r="48" spans="1:5" s="255" customFormat="1" ht="17.25">
      <c r="A48" s="1386">
        <v>42</v>
      </c>
      <c r="C48" s="256"/>
      <c r="D48" s="696" t="s">
        <v>852</v>
      </c>
      <c r="E48" s="978"/>
    </row>
    <row r="49" spans="1:5" s="255" customFormat="1" ht="17.25">
      <c r="A49" s="1386">
        <v>43</v>
      </c>
      <c r="C49" s="256"/>
      <c r="D49" s="1501" t="s">
        <v>1134</v>
      </c>
      <c r="E49" s="1109">
        <v>999</v>
      </c>
    </row>
    <row r="50" spans="1:5" s="241" customFormat="1" ht="17.25">
      <c r="A50" s="1386">
        <v>44</v>
      </c>
      <c r="C50" s="262"/>
      <c r="D50" s="977"/>
      <c r="E50" s="260">
        <f>SUM(E48:E49)</f>
        <v>999</v>
      </c>
    </row>
    <row r="51" spans="1:5" s="241" customFormat="1" ht="24" customHeight="1">
      <c r="A51" s="1386">
        <v>45</v>
      </c>
      <c r="C51" s="256" t="s">
        <v>1049</v>
      </c>
      <c r="D51" s="257" t="s">
        <v>959</v>
      </c>
      <c r="E51" s="260"/>
    </row>
    <row r="52" spans="1:5" s="241" customFormat="1" ht="33">
      <c r="A52" s="1273">
        <v>46</v>
      </c>
      <c r="C52" s="262"/>
      <c r="D52" s="280" t="s">
        <v>1077</v>
      </c>
      <c r="E52" s="1109">
        <v>28262</v>
      </c>
    </row>
    <row r="53" spans="1:5" s="241" customFormat="1" ht="17.25">
      <c r="A53" s="1386">
        <v>47</v>
      </c>
      <c r="C53" s="262"/>
      <c r="D53" s="977"/>
      <c r="E53" s="260">
        <f>SUM(E52:E52)</f>
        <v>28262</v>
      </c>
    </row>
    <row r="54" spans="1:5" s="241" customFormat="1" ht="21.75" customHeight="1">
      <c r="A54" s="1386">
        <v>48</v>
      </c>
      <c r="C54" s="256" t="s">
        <v>803</v>
      </c>
      <c r="D54" s="257" t="s">
        <v>960</v>
      </c>
      <c r="E54" s="260"/>
    </row>
    <row r="55" spans="1:5" s="241" customFormat="1" ht="33">
      <c r="A55" s="1273">
        <v>49</v>
      </c>
      <c r="C55" s="262"/>
      <c r="D55" s="280" t="s">
        <v>1077</v>
      </c>
      <c r="E55" s="778">
        <v>-28262</v>
      </c>
    </row>
    <row r="56" spans="1:5" s="241" customFormat="1" ht="15.75" customHeight="1">
      <c r="A56" s="1386">
        <v>50</v>
      </c>
      <c r="C56" s="262"/>
      <c r="D56" s="280" t="s">
        <v>462</v>
      </c>
      <c r="E56" s="1267">
        <v>-45390</v>
      </c>
    </row>
    <row r="57" spans="1:5" s="241" customFormat="1" ht="15.75" customHeight="1">
      <c r="A57" s="1386">
        <v>51</v>
      </c>
      <c r="C57" s="262"/>
      <c r="D57" s="280" t="s">
        <v>1181</v>
      </c>
      <c r="E57" s="1109">
        <v>-2000</v>
      </c>
    </row>
    <row r="58" spans="1:5" s="241" customFormat="1" ht="15.75" customHeight="1">
      <c r="A58" s="1386">
        <v>52</v>
      </c>
      <c r="C58" s="262"/>
      <c r="D58" s="280"/>
      <c r="E58" s="260">
        <f>SUM(E55:E57)</f>
        <v>-75652</v>
      </c>
    </row>
    <row r="59" spans="1:5" s="6" customFormat="1" ht="21.75" customHeight="1">
      <c r="A59" s="1274">
        <v>53</v>
      </c>
      <c r="C59" s="261"/>
      <c r="D59" s="1502" t="s">
        <v>1182</v>
      </c>
      <c r="E59" s="1503">
        <v>2000</v>
      </c>
    </row>
    <row r="60" spans="1:12" s="6" customFormat="1" ht="21.75" customHeight="1" thickBot="1">
      <c r="A60" s="1274">
        <v>54</v>
      </c>
      <c r="C60" s="261" t="s">
        <v>804</v>
      </c>
      <c r="D60" s="1502" t="s">
        <v>354</v>
      </c>
      <c r="E60" s="1503">
        <v>-137650</v>
      </c>
      <c r="L60" s="726">
        <f>E60+E34+E17</f>
        <v>-42110</v>
      </c>
    </row>
    <row r="61" spans="1:5" s="6" customFormat="1" ht="25.5" customHeight="1" thickBot="1">
      <c r="A61" s="1274">
        <v>55</v>
      </c>
      <c r="B61" s="248" t="s">
        <v>515</v>
      </c>
      <c r="C61" s="264"/>
      <c r="D61" s="265" t="s">
        <v>386</v>
      </c>
      <c r="E61" s="266">
        <f>E53+E50+E45+E38+E32+E20+E15+E55+E56+E9+E60+E34+E46+E57+E59</f>
        <v>-13584</v>
      </c>
    </row>
    <row r="62" spans="1:4" ht="21.75" customHeight="1">
      <c r="A62" s="1386">
        <v>56</v>
      </c>
      <c r="B62" s="252" t="s">
        <v>516</v>
      </c>
      <c r="C62" s="253"/>
      <c r="D62" s="254" t="s">
        <v>387</v>
      </c>
    </row>
    <row r="63" spans="1:5" s="255" customFormat="1" ht="17.25">
      <c r="A63" s="1386">
        <v>57</v>
      </c>
      <c r="C63" s="256" t="s">
        <v>791</v>
      </c>
      <c r="D63" s="257" t="s">
        <v>460</v>
      </c>
      <c r="E63" s="978"/>
    </row>
    <row r="64" spans="1:4" ht="17.25">
      <c r="A64" s="1386">
        <v>58</v>
      </c>
      <c r="C64" s="262"/>
      <c r="D64" s="1108" t="s">
        <v>1290</v>
      </c>
    </row>
    <row r="65" spans="1:5" ht="17.25">
      <c r="A65" s="1386">
        <v>59</v>
      </c>
      <c r="C65" s="262"/>
      <c r="D65" s="696" t="s">
        <v>1073</v>
      </c>
      <c r="E65" s="39">
        <v>739</v>
      </c>
    </row>
    <row r="66" spans="1:4" ht="17.25">
      <c r="A66" s="1386">
        <v>60</v>
      </c>
      <c r="C66" s="262"/>
      <c r="D66" s="1108" t="s">
        <v>195</v>
      </c>
    </row>
    <row r="67" spans="1:5" ht="17.25">
      <c r="A67" s="1386">
        <v>61</v>
      </c>
      <c r="C67" s="262"/>
      <c r="D67" s="696" t="s">
        <v>1072</v>
      </c>
      <c r="E67" s="28">
        <v>471</v>
      </c>
    </row>
    <row r="68" spans="1:5" ht="17.25">
      <c r="A68" s="1386">
        <v>62</v>
      </c>
      <c r="C68" s="262"/>
      <c r="D68" s="1108" t="s">
        <v>1078</v>
      </c>
      <c r="E68" s="28"/>
    </row>
    <row r="69" spans="1:5" ht="17.25">
      <c r="A69" s="1386">
        <v>63</v>
      </c>
      <c r="C69" s="262"/>
      <c r="D69" s="280" t="s">
        <v>1291</v>
      </c>
      <c r="E69" s="28">
        <v>832</v>
      </c>
    </row>
    <row r="70" spans="1:5" ht="17.25">
      <c r="A70" s="1386">
        <v>64</v>
      </c>
      <c r="C70" s="262"/>
      <c r="D70" s="1108" t="s">
        <v>1101</v>
      </c>
      <c r="E70" s="28"/>
    </row>
    <row r="71" spans="1:5" ht="33">
      <c r="A71" s="1386">
        <v>65</v>
      </c>
      <c r="C71" s="262"/>
      <c r="D71" s="280" t="s">
        <v>1183</v>
      </c>
      <c r="E71" s="28">
        <v>-365</v>
      </c>
    </row>
    <row r="72" spans="1:5" ht="33">
      <c r="A72" s="1273">
        <v>66</v>
      </c>
      <c r="C72" s="262"/>
      <c r="D72" s="280" t="s">
        <v>1184</v>
      </c>
      <c r="E72" s="28">
        <v>-4800</v>
      </c>
    </row>
    <row r="73" spans="1:5" ht="17.25">
      <c r="A73" s="1386">
        <v>67</v>
      </c>
      <c r="C73" s="262"/>
      <c r="D73" s="1108" t="s">
        <v>1186</v>
      </c>
      <c r="E73" s="28">
        <v>-53000</v>
      </c>
    </row>
    <row r="74" spans="1:5" ht="17.25">
      <c r="A74" s="1386">
        <v>68</v>
      </c>
      <c r="C74" s="262"/>
      <c r="D74" s="1108" t="s">
        <v>1185</v>
      </c>
      <c r="E74" s="28">
        <v>-12000</v>
      </c>
    </row>
    <row r="75" spans="1:5" ht="17.25">
      <c r="A75" s="1386">
        <v>69</v>
      </c>
      <c r="C75" s="262"/>
      <c r="D75" s="1108" t="s">
        <v>1150</v>
      </c>
      <c r="E75" s="28">
        <v>-1400</v>
      </c>
    </row>
    <row r="76" spans="1:5" ht="17.25">
      <c r="A76" s="1386">
        <v>70</v>
      </c>
      <c r="C76" s="262"/>
      <c r="D76" s="1108" t="s">
        <v>1148</v>
      </c>
      <c r="E76" s="28">
        <v>-1800</v>
      </c>
    </row>
    <row r="77" spans="1:5" ht="17.25">
      <c r="A77" s="1386">
        <v>71</v>
      </c>
      <c r="C77" s="262"/>
      <c r="D77" s="1108" t="s">
        <v>1149</v>
      </c>
      <c r="E77" s="28">
        <v>-36627</v>
      </c>
    </row>
    <row r="78" spans="1:5" ht="17.25">
      <c r="A78" s="1386">
        <v>72</v>
      </c>
      <c r="C78" s="262"/>
      <c r="D78" s="1108" t="s">
        <v>1151</v>
      </c>
      <c r="E78" s="28">
        <v>-7500</v>
      </c>
    </row>
    <row r="79" spans="1:5" ht="17.25">
      <c r="A79" s="1386">
        <v>73</v>
      </c>
      <c r="C79" s="262"/>
      <c r="D79" s="1108" t="s">
        <v>1153</v>
      </c>
      <c r="E79" s="28">
        <v>123000</v>
      </c>
    </row>
    <row r="80" spans="1:5" ht="17.25">
      <c r="A80" s="1386">
        <v>74</v>
      </c>
      <c r="C80" s="262"/>
      <c r="D80" s="1108" t="s">
        <v>857</v>
      </c>
      <c r="E80" s="28"/>
    </row>
    <row r="81" spans="1:5" ht="33">
      <c r="A81" s="1273">
        <v>75</v>
      </c>
      <c r="C81" s="262"/>
      <c r="D81" s="280" t="s">
        <v>1187</v>
      </c>
      <c r="E81" s="28">
        <v>1603</v>
      </c>
    </row>
    <row r="82" spans="1:5" ht="17.25">
      <c r="A82" s="1386">
        <v>76</v>
      </c>
      <c r="C82" s="262"/>
      <c r="D82" s="1108" t="s">
        <v>1159</v>
      </c>
      <c r="E82" s="28">
        <v>150</v>
      </c>
    </row>
    <row r="83" spans="1:5" ht="17.25">
      <c r="A83" s="1386">
        <v>77</v>
      </c>
      <c r="C83" s="262"/>
      <c r="D83" s="280" t="s">
        <v>1158</v>
      </c>
      <c r="E83" s="28">
        <v>1950</v>
      </c>
    </row>
    <row r="84" spans="1:5" ht="16.5" customHeight="1">
      <c r="A84" s="1386">
        <v>78</v>
      </c>
      <c r="C84" s="262"/>
      <c r="D84" s="1108" t="s">
        <v>111</v>
      </c>
      <c r="E84" s="28"/>
    </row>
    <row r="85" spans="1:5" ht="17.25">
      <c r="A85" s="1386">
        <v>79</v>
      </c>
      <c r="C85" s="262"/>
      <c r="D85" s="280" t="s">
        <v>1096</v>
      </c>
      <c r="E85" s="28">
        <v>-35</v>
      </c>
    </row>
    <row r="86" spans="1:5" ht="17.25">
      <c r="A86" s="1386">
        <v>80</v>
      </c>
      <c r="C86" s="262"/>
      <c r="D86" s="1108" t="s">
        <v>1152</v>
      </c>
      <c r="E86" s="28"/>
    </row>
    <row r="87" spans="1:5" ht="33">
      <c r="A87" s="1273">
        <v>81</v>
      </c>
      <c r="C87" s="262"/>
      <c r="D87" s="280" t="s">
        <v>1097</v>
      </c>
      <c r="E87" s="28">
        <v>1416</v>
      </c>
    </row>
    <row r="88" spans="1:5" ht="17.25">
      <c r="A88" s="1386">
        <v>82</v>
      </c>
      <c r="C88" s="262"/>
      <c r="D88" s="267" t="s">
        <v>1084</v>
      </c>
      <c r="E88" s="28">
        <v>1046</v>
      </c>
    </row>
    <row r="89" spans="1:5" ht="33">
      <c r="A89" s="1273">
        <v>83</v>
      </c>
      <c r="C89" s="262"/>
      <c r="D89" s="1110" t="s">
        <v>176</v>
      </c>
      <c r="E89" s="28">
        <v>-807</v>
      </c>
    </row>
    <row r="90" spans="1:5" ht="33">
      <c r="A90" s="1273">
        <v>84</v>
      </c>
      <c r="C90" s="262"/>
      <c r="D90" s="1110" t="s">
        <v>175</v>
      </c>
      <c r="E90" s="28">
        <v>-10000</v>
      </c>
    </row>
    <row r="91" spans="1:5" s="262" customFormat="1" ht="21.75" customHeight="1">
      <c r="A91" s="1273">
        <v>85</v>
      </c>
      <c r="D91" s="269" t="s">
        <v>388</v>
      </c>
      <c r="E91" s="260">
        <f>SUM(E64:E90)</f>
        <v>2873</v>
      </c>
    </row>
    <row r="92" spans="1:5" s="261" customFormat="1" ht="21.75" customHeight="1" thickBot="1">
      <c r="A92" s="1274">
        <v>86</v>
      </c>
      <c r="B92" s="270"/>
      <c r="C92" s="270"/>
      <c r="D92" s="271" t="s">
        <v>390</v>
      </c>
      <c r="E92" s="272">
        <f>E91</f>
        <v>2873</v>
      </c>
    </row>
    <row r="93" spans="1:4" ht="21.75" customHeight="1" thickTop="1">
      <c r="A93" s="1386">
        <v>87</v>
      </c>
      <c r="C93" s="256" t="s">
        <v>792</v>
      </c>
      <c r="D93" s="257" t="s">
        <v>391</v>
      </c>
    </row>
    <row r="94" spans="1:4" ht="17.25">
      <c r="A94" s="1386">
        <v>88</v>
      </c>
      <c r="C94" s="256"/>
      <c r="D94" s="257" t="s">
        <v>652</v>
      </c>
    </row>
    <row r="95" spans="1:5" ht="33.75">
      <c r="A95" s="1273">
        <v>89</v>
      </c>
      <c r="C95" s="256"/>
      <c r="D95" s="280" t="s">
        <v>175</v>
      </c>
      <c r="E95" s="273">
        <v>10000</v>
      </c>
    </row>
    <row r="96" spans="1:8" s="268" customFormat="1" ht="17.25">
      <c r="A96" s="1386">
        <v>90</v>
      </c>
      <c r="C96" s="274"/>
      <c r="D96" s="280" t="s">
        <v>1095</v>
      </c>
      <c r="E96" s="273">
        <v>35</v>
      </c>
      <c r="F96" s="275"/>
      <c r="G96" s="275"/>
      <c r="H96" s="275"/>
    </row>
    <row r="97" spans="1:8" s="268" customFormat="1" ht="17.25">
      <c r="A97" s="1386">
        <v>91</v>
      </c>
      <c r="C97" s="274"/>
      <c r="D97" s="280" t="s">
        <v>1188</v>
      </c>
      <c r="E97" s="273">
        <v>-77</v>
      </c>
      <c r="F97" s="275"/>
      <c r="G97" s="275"/>
      <c r="H97" s="275"/>
    </row>
    <row r="98" spans="1:8" s="268" customFormat="1" ht="33.75">
      <c r="A98" s="1273">
        <v>92</v>
      </c>
      <c r="C98" s="274"/>
      <c r="D98" s="280" t="s">
        <v>455</v>
      </c>
      <c r="E98" s="273">
        <v>27</v>
      </c>
      <c r="F98" s="275"/>
      <c r="G98" s="275"/>
      <c r="H98" s="275"/>
    </row>
    <row r="99" spans="1:8" s="268" customFormat="1" ht="33.75">
      <c r="A99" s="1273">
        <v>93</v>
      </c>
      <c r="C99" s="274"/>
      <c r="D99" s="280" t="s">
        <v>1189</v>
      </c>
      <c r="E99" s="273">
        <v>50</v>
      </c>
      <c r="F99" s="275"/>
      <c r="G99" s="275"/>
      <c r="H99" s="275"/>
    </row>
    <row r="100" spans="1:8" s="268" customFormat="1" ht="17.25">
      <c r="A100" s="1386">
        <v>94</v>
      </c>
      <c r="C100" s="274"/>
      <c r="D100" s="280" t="s">
        <v>70</v>
      </c>
      <c r="E100" s="273">
        <v>-2700</v>
      </c>
      <c r="F100" s="275"/>
      <c r="G100" s="275"/>
      <c r="H100" s="275"/>
    </row>
    <row r="101" spans="1:8" s="268" customFormat="1" ht="17.25">
      <c r="A101" s="1386">
        <v>95</v>
      </c>
      <c r="C101" s="274"/>
      <c r="D101" s="280" t="s">
        <v>471</v>
      </c>
      <c r="E101" s="273">
        <v>-7200</v>
      </c>
      <c r="F101" s="275"/>
      <c r="G101" s="275"/>
      <c r="H101" s="275"/>
    </row>
    <row r="102" spans="1:13" s="291" customFormat="1" ht="33">
      <c r="A102" s="1386">
        <v>96</v>
      </c>
      <c r="C102" s="279"/>
      <c r="D102" s="280" t="s">
        <v>462</v>
      </c>
      <c r="E102" s="283">
        <v>-67390</v>
      </c>
      <c r="F102" s="1301"/>
      <c r="G102" s="1301"/>
      <c r="H102" s="1301"/>
      <c r="M102" s="1362"/>
    </row>
    <row r="103" spans="1:5" s="261" customFormat="1" ht="18" thickBot="1">
      <c r="A103" s="1386">
        <v>97</v>
      </c>
      <c r="B103" s="270"/>
      <c r="C103" s="270"/>
      <c r="D103" s="727" t="s">
        <v>235</v>
      </c>
      <c r="E103" s="728">
        <f>SUM(E95:E102)</f>
        <v>-67255</v>
      </c>
    </row>
    <row r="104" spans="1:4" ht="31.5" customHeight="1" thickTop="1">
      <c r="A104" s="1386">
        <v>98</v>
      </c>
      <c r="C104" s="256"/>
      <c r="D104" s="257" t="s">
        <v>51</v>
      </c>
    </row>
    <row r="105" spans="1:5" s="241" customFormat="1" ht="17.25">
      <c r="A105" s="1386">
        <v>99</v>
      </c>
      <c r="C105" s="262"/>
      <c r="D105" s="1266" t="s">
        <v>852</v>
      </c>
      <c r="E105" s="283"/>
    </row>
    <row r="106" spans="1:5" s="241" customFormat="1" ht="17.25">
      <c r="A106" s="1386">
        <v>100</v>
      </c>
      <c r="C106" s="262"/>
      <c r="D106" s="1266" t="s">
        <v>640</v>
      </c>
      <c r="E106" s="283">
        <v>80</v>
      </c>
    </row>
    <row r="107" spans="1:5" s="241" customFormat="1" ht="17.25">
      <c r="A107" s="1386">
        <v>101</v>
      </c>
      <c r="C107" s="262"/>
      <c r="D107" s="1266" t="s">
        <v>642</v>
      </c>
      <c r="E107" s="283">
        <v>-80</v>
      </c>
    </row>
    <row r="108" spans="1:5" s="241" customFormat="1" ht="17.25">
      <c r="A108" s="1386">
        <v>102</v>
      </c>
      <c r="C108" s="262"/>
      <c r="D108" s="1504" t="s">
        <v>603</v>
      </c>
      <c r="E108" s="283">
        <v>-3000</v>
      </c>
    </row>
    <row r="109" spans="1:5" s="261" customFormat="1" ht="27.75" customHeight="1" thickBot="1">
      <c r="A109" s="1274">
        <v>103</v>
      </c>
      <c r="B109" s="270"/>
      <c r="C109" s="270"/>
      <c r="D109" s="727" t="s">
        <v>889</v>
      </c>
      <c r="E109" s="728">
        <f>SUM(E105:E108)</f>
        <v>-3000</v>
      </c>
    </row>
    <row r="110" spans="1:5" s="6" customFormat="1" ht="27.75" customHeight="1" thickBot="1" thickTop="1">
      <c r="A110" s="1274">
        <v>104</v>
      </c>
      <c r="B110" s="769"/>
      <c r="C110" s="769"/>
      <c r="D110" s="770" t="s">
        <v>392</v>
      </c>
      <c r="E110" s="771">
        <f>SUM(E109,E103)</f>
        <v>-70255</v>
      </c>
    </row>
    <row r="111" spans="1:5" s="276" customFormat="1" ht="30" customHeight="1" thickTop="1">
      <c r="A111" s="1386">
        <v>105</v>
      </c>
      <c r="C111" s="277" t="s">
        <v>802</v>
      </c>
      <c r="D111" s="278" t="s">
        <v>393</v>
      </c>
      <c r="E111" s="164"/>
    </row>
    <row r="112" spans="1:5" s="276" customFormat="1" ht="17.25">
      <c r="A112" s="1386">
        <v>106</v>
      </c>
      <c r="C112" s="277"/>
      <c r="D112" s="772" t="s">
        <v>888</v>
      </c>
      <c r="E112" s="164"/>
    </row>
    <row r="113" spans="1:4" ht="17.25">
      <c r="A113" s="1386">
        <v>107</v>
      </c>
      <c r="C113" s="279"/>
      <c r="D113" s="979" t="s">
        <v>851</v>
      </c>
    </row>
    <row r="114" spans="1:5" ht="17.25">
      <c r="A114" s="1386">
        <v>108</v>
      </c>
      <c r="C114" s="279"/>
      <c r="D114" s="696" t="s">
        <v>1072</v>
      </c>
      <c r="E114" s="39">
        <v>683</v>
      </c>
    </row>
    <row r="115" spans="1:5" ht="17.25">
      <c r="A115" s="1386">
        <v>109</v>
      </c>
      <c r="C115" s="279"/>
      <c r="D115" s="280" t="s">
        <v>1121</v>
      </c>
      <c r="E115" s="39">
        <v>-9500</v>
      </c>
    </row>
    <row r="116" spans="1:5" s="255" customFormat="1" ht="25.5" customHeight="1">
      <c r="A116" s="1386">
        <v>110</v>
      </c>
      <c r="C116" s="274"/>
      <c r="D116" s="267" t="s">
        <v>951</v>
      </c>
      <c r="E116" s="978"/>
    </row>
    <row r="117" spans="1:5" ht="17.25">
      <c r="A117" s="1386">
        <v>111</v>
      </c>
      <c r="C117" s="279"/>
      <c r="D117" s="696" t="s">
        <v>1072</v>
      </c>
      <c r="E117" s="39">
        <v>548</v>
      </c>
    </row>
    <row r="118" spans="1:5" ht="17.25">
      <c r="A118" s="1386">
        <v>112</v>
      </c>
      <c r="C118" s="279"/>
      <c r="D118" s="696" t="s">
        <v>1102</v>
      </c>
      <c r="E118" s="39">
        <v>-2500</v>
      </c>
    </row>
    <row r="119" spans="1:5" ht="17.25">
      <c r="A119" s="1386">
        <v>113</v>
      </c>
      <c r="C119" s="279"/>
      <c r="D119" s="280" t="s">
        <v>1091</v>
      </c>
      <c r="E119" s="39">
        <v>2500</v>
      </c>
    </row>
    <row r="120" spans="1:5" ht="17.25">
      <c r="A120" s="1386">
        <v>114</v>
      </c>
      <c r="C120" s="279"/>
      <c r="D120" s="280" t="s">
        <v>1164</v>
      </c>
      <c r="E120" s="39">
        <v>-836</v>
      </c>
    </row>
    <row r="121" spans="1:5" s="255" customFormat="1" ht="25.5" customHeight="1">
      <c r="A121" s="1386">
        <v>115</v>
      </c>
      <c r="C121" s="274"/>
      <c r="D121" s="267" t="s">
        <v>389</v>
      </c>
      <c r="E121" s="978"/>
    </row>
    <row r="122" spans="1:5" ht="17.25">
      <c r="A122" s="1386">
        <v>116</v>
      </c>
      <c r="C122" s="279"/>
      <c r="D122" s="696" t="s">
        <v>1072</v>
      </c>
      <c r="E122" s="39">
        <v>1092</v>
      </c>
    </row>
    <row r="123" spans="1:5" ht="17.25">
      <c r="A123" s="1386">
        <v>117</v>
      </c>
      <c r="C123" s="279"/>
      <c r="D123" s="696" t="s">
        <v>1190</v>
      </c>
      <c r="E123" s="39">
        <v>3270</v>
      </c>
    </row>
    <row r="124" spans="1:5" ht="17.25">
      <c r="A124" s="1386">
        <v>118</v>
      </c>
      <c r="C124" s="279"/>
      <c r="D124" s="696" t="s">
        <v>1121</v>
      </c>
      <c r="E124" s="39">
        <v>-1100</v>
      </c>
    </row>
    <row r="125" spans="1:5" ht="17.25">
      <c r="A125" s="1386">
        <v>119</v>
      </c>
      <c r="C125" s="279"/>
      <c r="D125" s="696" t="s">
        <v>1123</v>
      </c>
      <c r="E125" s="39">
        <v>100</v>
      </c>
    </row>
    <row r="126" spans="1:5" s="255" customFormat="1" ht="25.5" customHeight="1">
      <c r="A126" s="1386">
        <v>120</v>
      </c>
      <c r="C126" s="274"/>
      <c r="D126" s="267" t="s">
        <v>421</v>
      </c>
      <c r="E126" s="978"/>
    </row>
    <row r="127" spans="1:5" ht="17.25">
      <c r="A127" s="1386">
        <v>121</v>
      </c>
      <c r="C127" s="279"/>
      <c r="D127" s="696" t="s">
        <v>1072</v>
      </c>
      <c r="E127" s="39">
        <v>71</v>
      </c>
    </row>
    <row r="128" spans="1:5" ht="17.25">
      <c r="A128" s="1386">
        <v>122</v>
      </c>
      <c r="C128" s="279"/>
      <c r="D128" s="696" t="s">
        <v>1102</v>
      </c>
      <c r="E128" s="39">
        <v>-1800</v>
      </c>
    </row>
    <row r="129" spans="1:5" ht="17.25">
      <c r="A129" s="1386">
        <v>123</v>
      </c>
      <c r="C129" s="279"/>
      <c r="D129" s="696" t="s">
        <v>1141</v>
      </c>
      <c r="E129" s="39">
        <v>1800</v>
      </c>
    </row>
    <row r="130" spans="1:5" s="255" customFormat="1" ht="25.5" customHeight="1">
      <c r="A130" s="1386">
        <v>124</v>
      </c>
      <c r="C130" s="274"/>
      <c r="D130" s="267" t="s">
        <v>426</v>
      </c>
      <c r="E130" s="978"/>
    </row>
    <row r="131" spans="1:5" ht="17.25">
      <c r="A131" s="1386">
        <v>125</v>
      </c>
      <c r="C131" s="279"/>
      <c r="D131" s="696" t="s">
        <v>1072</v>
      </c>
      <c r="E131" s="39">
        <v>19</v>
      </c>
    </row>
    <row r="132" spans="1:5" ht="33">
      <c r="A132" s="1273">
        <v>126</v>
      </c>
      <c r="C132" s="279"/>
      <c r="D132" s="280" t="s">
        <v>1156</v>
      </c>
      <c r="E132" s="39">
        <v>-150</v>
      </c>
    </row>
    <row r="133" spans="1:5" s="255" customFormat="1" ht="25.5" customHeight="1">
      <c r="A133" s="1386">
        <v>127</v>
      </c>
      <c r="C133" s="274"/>
      <c r="D133" s="267" t="s">
        <v>422</v>
      </c>
      <c r="E133" s="978"/>
    </row>
    <row r="134" spans="1:5" ht="17.25">
      <c r="A134" s="1386">
        <v>128</v>
      </c>
      <c r="C134" s="279"/>
      <c r="D134" s="696" t="s">
        <v>1072</v>
      </c>
      <c r="E134" s="39">
        <v>85</v>
      </c>
    </row>
    <row r="135" spans="1:5" ht="17.25">
      <c r="A135" s="1386">
        <v>129</v>
      </c>
      <c r="C135" s="279"/>
      <c r="D135" s="696" t="s">
        <v>1104</v>
      </c>
      <c r="E135" s="39">
        <v>-32</v>
      </c>
    </row>
    <row r="136" spans="1:5" s="255" customFormat="1" ht="25.5" customHeight="1">
      <c r="A136" s="1386">
        <v>130</v>
      </c>
      <c r="C136" s="274"/>
      <c r="D136" s="267" t="s">
        <v>425</v>
      </c>
      <c r="E136" s="978"/>
    </row>
    <row r="137" spans="1:5" ht="17.25">
      <c r="A137" s="1386">
        <v>131</v>
      </c>
      <c r="C137" s="279"/>
      <c r="D137" s="696" t="s">
        <v>1072</v>
      </c>
      <c r="E137" s="39">
        <v>111</v>
      </c>
    </row>
    <row r="138" spans="1:5" ht="17.25">
      <c r="A138" s="1386">
        <v>132</v>
      </c>
      <c r="C138" s="279"/>
      <c r="D138" s="696" t="s">
        <v>1102</v>
      </c>
      <c r="E138" s="39">
        <v>-1500</v>
      </c>
    </row>
    <row r="139" spans="1:5" ht="17.25">
      <c r="A139" s="1386">
        <v>133</v>
      </c>
      <c r="C139" s="279"/>
      <c r="D139" s="696" t="s">
        <v>1141</v>
      </c>
      <c r="E139" s="39">
        <v>1500</v>
      </c>
    </row>
    <row r="140" spans="1:5" s="255" customFormat="1" ht="25.5" customHeight="1">
      <c r="A140" s="1386">
        <v>134</v>
      </c>
      <c r="C140" s="274"/>
      <c r="D140" s="267" t="s">
        <v>420</v>
      </c>
      <c r="E140" s="978"/>
    </row>
    <row r="141" spans="1:5" s="255" customFormat="1" ht="17.25">
      <c r="A141" s="1386">
        <v>135</v>
      </c>
      <c r="C141" s="274"/>
      <c r="D141" s="696" t="s">
        <v>1072</v>
      </c>
      <c r="E141" s="978">
        <v>174</v>
      </c>
    </row>
    <row r="142" spans="1:5" ht="17.25">
      <c r="A142" s="1386">
        <v>136</v>
      </c>
      <c r="C142" s="279"/>
      <c r="D142" s="696" t="s">
        <v>1090</v>
      </c>
      <c r="E142" s="39">
        <v>-900</v>
      </c>
    </row>
    <row r="143" spans="1:5" ht="17.25">
      <c r="A143" s="1386">
        <v>137</v>
      </c>
      <c r="C143" s="279"/>
      <c r="D143" s="280" t="s">
        <v>1103</v>
      </c>
      <c r="E143" s="39">
        <v>900</v>
      </c>
    </row>
    <row r="144" spans="1:5" ht="17.25">
      <c r="A144" s="1386">
        <v>138</v>
      </c>
      <c r="C144" s="279"/>
      <c r="D144" s="280" t="s">
        <v>1104</v>
      </c>
      <c r="E144" s="39">
        <v>-500</v>
      </c>
    </row>
    <row r="145" spans="1:5" s="255" customFormat="1" ht="25.5" customHeight="1">
      <c r="A145" s="1386">
        <v>139</v>
      </c>
      <c r="C145" s="274"/>
      <c r="D145" s="267" t="s">
        <v>419</v>
      </c>
      <c r="E145" s="978"/>
    </row>
    <row r="146" spans="1:5" ht="17.25">
      <c r="A146" s="1386">
        <v>140</v>
      </c>
      <c r="C146" s="279"/>
      <c r="D146" s="696" t="s">
        <v>1072</v>
      </c>
      <c r="E146" s="39">
        <v>90</v>
      </c>
    </row>
    <row r="147" spans="1:5" ht="33">
      <c r="A147" s="1273">
        <v>141</v>
      </c>
      <c r="C147" s="279"/>
      <c r="D147" s="280" t="s">
        <v>1120</v>
      </c>
      <c r="E147" s="39">
        <v>-2462</v>
      </c>
    </row>
    <row r="148" spans="1:5" s="255" customFormat="1" ht="25.5" customHeight="1">
      <c r="A148" s="1386">
        <v>142</v>
      </c>
      <c r="C148" s="274"/>
      <c r="D148" s="267" t="s">
        <v>227</v>
      </c>
      <c r="E148" s="978"/>
    </row>
    <row r="149" spans="1:5" ht="17.25">
      <c r="A149" s="1386">
        <v>143</v>
      </c>
      <c r="C149" s="279"/>
      <c r="D149" s="696" t="s">
        <v>1072</v>
      </c>
      <c r="E149" s="39">
        <v>91</v>
      </c>
    </row>
    <row r="150" spans="1:5" s="255" customFormat="1" ht="25.5" customHeight="1">
      <c r="A150" s="1386">
        <v>144</v>
      </c>
      <c r="C150" s="274"/>
      <c r="D150" s="267" t="s">
        <v>853</v>
      </c>
      <c r="E150" s="978"/>
    </row>
    <row r="151" spans="1:5" ht="17.25">
      <c r="A151" s="1386">
        <v>145</v>
      </c>
      <c r="C151" s="279"/>
      <c r="D151" s="696" t="s">
        <v>1072</v>
      </c>
      <c r="E151" s="39">
        <v>261</v>
      </c>
    </row>
    <row r="152" spans="1:5" ht="15.75" customHeight="1">
      <c r="A152" s="1386">
        <v>146</v>
      </c>
      <c r="C152" s="279"/>
      <c r="D152" s="280" t="s">
        <v>1175</v>
      </c>
      <c r="E152" s="39">
        <v>35000</v>
      </c>
    </row>
    <row r="153" spans="1:5" ht="15.75" customHeight="1">
      <c r="A153" s="1386">
        <v>147</v>
      </c>
      <c r="C153" s="279"/>
      <c r="D153" s="280" t="s">
        <v>1191</v>
      </c>
      <c r="E153" s="39">
        <v>7000</v>
      </c>
    </row>
    <row r="154" spans="1:5" s="255" customFormat="1" ht="25.5" customHeight="1">
      <c r="A154" s="1386">
        <v>148</v>
      </c>
      <c r="C154" s="274"/>
      <c r="D154" s="267" t="s">
        <v>852</v>
      </c>
      <c r="E154" s="978"/>
    </row>
    <row r="155" spans="1:5" ht="17.25">
      <c r="A155" s="1386">
        <v>149</v>
      </c>
      <c r="C155" s="279"/>
      <c r="D155" s="696" t="s">
        <v>1072</v>
      </c>
      <c r="E155" s="39">
        <v>377</v>
      </c>
    </row>
    <row r="156" spans="1:5" ht="17.25">
      <c r="A156" s="1386">
        <v>150</v>
      </c>
      <c r="C156" s="279"/>
      <c r="D156" s="696" t="s">
        <v>1132</v>
      </c>
      <c r="E156" s="39">
        <v>954</v>
      </c>
    </row>
    <row r="157" spans="1:5" ht="17.25">
      <c r="A157" s="1386">
        <v>151</v>
      </c>
      <c r="C157" s="279"/>
      <c r="D157" s="696" t="s">
        <v>1135</v>
      </c>
      <c r="E157" s="39">
        <v>951</v>
      </c>
    </row>
    <row r="158" spans="1:5" ht="17.25">
      <c r="A158" s="1386">
        <v>152</v>
      </c>
      <c r="C158" s="279"/>
      <c r="D158" s="280" t="s">
        <v>1192</v>
      </c>
      <c r="E158" s="39">
        <v>527</v>
      </c>
    </row>
    <row r="159" spans="1:5" ht="17.25">
      <c r="A159" s="1386">
        <v>153</v>
      </c>
      <c r="C159" s="279"/>
      <c r="D159" s="280" t="s">
        <v>1137</v>
      </c>
      <c r="E159" s="39">
        <v>921</v>
      </c>
    </row>
    <row r="160" spans="1:5" ht="17.25">
      <c r="A160" s="1386">
        <v>154</v>
      </c>
      <c r="C160" s="279"/>
      <c r="D160" s="280" t="s">
        <v>1104</v>
      </c>
      <c r="E160" s="39">
        <v>-18</v>
      </c>
    </row>
    <row r="161" spans="1:5" s="255" customFormat="1" ht="25.5" customHeight="1">
      <c r="A161" s="1386">
        <v>155</v>
      </c>
      <c r="C161" s="274"/>
      <c r="D161" s="267" t="s">
        <v>346</v>
      </c>
      <c r="E161" s="978"/>
    </row>
    <row r="162" spans="1:5" ht="17.25">
      <c r="A162" s="1386">
        <v>156</v>
      </c>
      <c r="C162" s="279"/>
      <c r="D162" s="696" t="s">
        <v>1072</v>
      </c>
      <c r="E162" s="39">
        <v>139</v>
      </c>
    </row>
    <row r="163" spans="1:5" ht="17.25">
      <c r="A163" s="1386">
        <v>157</v>
      </c>
      <c r="C163" s="279"/>
      <c r="D163" s="280" t="s">
        <v>1193</v>
      </c>
      <c r="E163" s="39">
        <v>1326</v>
      </c>
    </row>
    <row r="164" spans="1:5" ht="17.25">
      <c r="A164" s="1386">
        <v>158</v>
      </c>
      <c r="C164" s="279"/>
      <c r="D164" s="280" t="s">
        <v>1194</v>
      </c>
      <c r="E164" s="39">
        <v>280</v>
      </c>
    </row>
    <row r="165" spans="1:5" ht="33">
      <c r="A165" s="1386">
        <v>159</v>
      </c>
      <c r="C165" s="279"/>
      <c r="D165" s="280" t="s">
        <v>1167</v>
      </c>
      <c r="E165" s="39">
        <v>-8800</v>
      </c>
    </row>
    <row r="166" spans="1:5" ht="17.25">
      <c r="A166" s="1386">
        <v>160</v>
      </c>
      <c r="C166" s="279"/>
      <c r="D166" s="280" t="s">
        <v>1104</v>
      </c>
      <c r="E166" s="39">
        <v>-1200</v>
      </c>
    </row>
    <row r="167" spans="1:5" ht="33">
      <c r="A167" s="1386">
        <v>161</v>
      </c>
      <c r="C167" s="279"/>
      <c r="D167" s="280" t="s">
        <v>1292</v>
      </c>
      <c r="E167" s="39">
        <v>4510</v>
      </c>
    </row>
    <row r="168" spans="1:5" s="255" customFormat="1" ht="25.5" customHeight="1">
      <c r="A168" s="1386">
        <v>162</v>
      </c>
      <c r="C168" s="274"/>
      <c r="D168" s="267" t="s">
        <v>182</v>
      </c>
      <c r="E168" s="978"/>
    </row>
    <row r="169" spans="1:5" ht="17.25">
      <c r="A169" s="1386">
        <v>163</v>
      </c>
      <c r="C169" s="279"/>
      <c r="D169" s="696" t="s">
        <v>1072</v>
      </c>
      <c r="E169" s="39">
        <v>130</v>
      </c>
    </row>
    <row r="170" spans="1:5" ht="33">
      <c r="A170" s="1273">
        <v>164</v>
      </c>
      <c r="C170" s="279"/>
      <c r="D170" s="280" t="s">
        <v>176</v>
      </c>
      <c r="E170" s="39">
        <v>617</v>
      </c>
    </row>
    <row r="171" spans="1:5" ht="17.25">
      <c r="A171" s="1386">
        <v>165</v>
      </c>
      <c r="C171" s="279"/>
      <c r="D171" s="280" t="s">
        <v>1104</v>
      </c>
      <c r="E171" s="39">
        <v>-76</v>
      </c>
    </row>
    <row r="172" spans="1:5" s="255" customFormat="1" ht="25.5" customHeight="1">
      <c r="A172" s="1386">
        <v>166</v>
      </c>
      <c r="C172" s="274"/>
      <c r="D172" s="267" t="s">
        <v>29</v>
      </c>
      <c r="E172" s="978"/>
    </row>
    <row r="173" spans="1:5" ht="17.25">
      <c r="A173" s="1386">
        <v>167</v>
      </c>
      <c r="C173" s="279"/>
      <c r="D173" s="696" t="s">
        <v>1072</v>
      </c>
      <c r="E173" s="39">
        <v>72</v>
      </c>
    </row>
    <row r="174" spans="1:5" ht="33">
      <c r="A174" s="1273">
        <v>168</v>
      </c>
      <c r="C174" s="279"/>
      <c r="D174" s="280" t="s">
        <v>176</v>
      </c>
      <c r="E174" s="39">
        <v>-79</v>
      </c>
    </row>
    <row r="175" spans="1:5" ht="17.25">
      <c r="A175" s="1386">
        <v>169</v>
      </c>
      <c r="C175" s="279"/>
      <c r="D175" s="280" t="s">
        <v>1293</v>
      </c>
      <c r="E175" s="39">
        <v>9500</v>
      </c>
    </row>
    <row r="176" spans="1:5" ht="33">
      <c r="A176" s="1386">
        <v>170</v>
      </c>
      <c r="C176" s="279"/>
      <c r="D176" s="280" t="s">
        <v>462</v>
      </c>
      <c r="E176" s="39">
        <v>2050</v>
      </c>
    </row>
    <row r="177" spans="1:5" ht="17.25">
      <c r="A177" s="1386">
        <v>171</v>
      </c>
      <c r="C177" s="279"/>
      <c r="D177" s="280" t="s">
        <v>1178</v>
      </c>
      <c r="E177" s="39">
        <v>4750</v>
      </c>
    </row>
    <row r="178" spans="1:5" ht="33">
      <c r="A178" s="1386">
        <v>172</v>
      </c>
      <c r="C178" s="279"/>
      <c r="D178" s="280" t="s">
        <v>1195</v>
      </c>
      <c r="E178" s="39">
        <v>1150</v>
      </c>
    </row>
    <row r="179" spans="1:5" s="255" customFormat="1" ht="25.5" customHeight="1">
      <c r="A179" s="1386">
        <v>173</v>
      </c>
      <c r="C179" s="274"/>
      <c r="D179" s="267" t="s">
        <v>874</v>
      </c>
      <c r="E179" s="978"/>
    </row>
    <row r="180" spans="1:5" s="255" customFormat="1" ht="17.25">
      <c r="A180" s="1386">
        <v>174</v>
      </c>
      <c r="C180" s="274"/>
      <c r="D180" s="696" t="s">
        <v>1072</v>
      </c>
      <c r="E180" s="978">
        <v>321</v>
      </c>
    </row>
    <row r="181" spans="1:5" ht="17.25">
      <c r="A181" s="1386">
        <v>175</v>
      </c>
      <c r="C181" s="279"/>
      <c r="D181" s="696" t="s">
        <v>1104</v>
      </c>
      <c r="E181" s="165">
        <v>-1151</v>
      </c>
    </row>
    <row r="182" spans="1:5" s="241" customFormat="1" ht="25.5" customHeight="1">
      <c r="A182" s="1273">
        <v>176</v>
      </c>
      <c r="C182" s="279"/>
      <c r="D182" s="269" t="s">
        <v>137</v>
      </c>
      <c r="E182" s="284">
        <f>SUM(E113:E180)+E181</f>
        <v>51266</v>
      </c>
    </row>
    <row r="183" spans="1:4" ht="25.5" customHeight="1">
      <c r="A183" s="1386">
        <v>177</v>
      </c>
      <c r="C183" s="279"/>
      <c r="D183" s="281" t="s">
        <v>394</v>
      </c>
    </row>
    <row r="184" spans="1:4" ht="17.25">
      <c r="A184" s="1386">
        <v>178</v>
      </c>
      <c r="C184" s="279"/>
      <c r="D184" s="267" t="s">
        <v>30</v>
      </c>
    </row>
    <row r="185" spans="1:5" ht="17.25">
      <c r="A185" s="1386">
        <v>179</v>
      </c>
      <c r="C185" s="279"/>
      <c r="D185" s="696" t="s">
        <v>1072</v>
      </c>
      <c r="E185" s="39">
        <v>653</v>
      </c>
    </row>
    <row r="186" spans="1:5" ht="17.25">
      <c r="A186" s="1386">
        <v>180</v>
      </c>
      <c r="C186" s="279"/>
      <c r="D186" s="267" t="s">
        <v>1084</v>
      </c>
      <c r="E186" s="39">
        <v>-1046</v>
      </c>
    </row>
    <row r="187" spans="1:5" ht="33">
      <c r="A187" s="1273">
        <v>181</v>
      </c>
      <c r="C187" s="279"/>
      <c r="D187" s="1110" t="s">
        <v>176</v>
      </c>
      <c r="E187" s="39">
        <v>269</v>
      </c>
    </row>
    <row r="188" spans="1:4" ht="17.25">
      <c r="A188" s="1386">
        <v>182</v>
      </c>
      <c r="C188" s="279"/>
      <c r="D188" s="1110" t="s">
        <v>924</v>
      </c>
    </row>
    <row r="189" spans="1:5" ht="17.25">
      <c r="A189" s="1386">
        <v>183</v>
      </c>
      <c r="C189" s="279"/>
      <c r="D189" s="696" t="s">
        <v>1090</v>
      </c>
      <c r="E189" s="39">
        <v>-93</v>
      </c>
    </row>
    <row r="190" spans="1:5" ht="17.25">
      <c r="A190" s="1386">
        <v>184</v>
      </c>
      <c r="C190" s="279"/>
      <c r="D190" s="696" t="s">
        <v>1091</v>
      </c>
      <c r="E190" s="39">
        <v>93</v>
      </c>
    </row>
    <row r="191" spans="1:4" ht="17.25">
      <c r="A191" s="1386">
        <v>185</v>
      </c>
      <c r="C191" s="279"/>
      <c r="D191" s="1110" t="s">
        <v>572</v>
      </c>
    </row>
    <row r="192" spans="1:5" ht="17.25">
      <c r="A192" s="1386">
        <v>186</v>
      </c>
      <c r="C192" s="279"/>
      <c r="D192" s="696" t="s">
        <v>1090</v>
      </c>
      <c r="E192" s="39">
        <v>-96</v>
      </c>
    </row>
    <row r="193" spans="1:5" ht="17.25">
      <c r="A193" s="1386">
        <v>187</v>
      </c>
      <c r="C193" s="279"/>
      <c r="D193" s="696" t="s">
        <v>1091</v>
      </c>
      <c r="E193" s="39">
        <v>96</v>
      </c>
    </row>
    <row r="194" spans="1:4" ht="17.25">
      <c r="A194" s="1386">
        <v>188</v>
      </c>
      <c r="C194" s="279"/>
      <c r="D194" s="1110" t="s">
        <v>413</v>
      </c>
    </row>
    <row r="195" spans="1:5" ht="17.25">
      <c r="A195" s="1386">
        <v>189</v>
      </c>
      <c r="C195" s="279"/>
      <c r="D195" s="696" t="s">
        <v>1092</v>
      </c>
      <c r="E195" s="39">
        <v>-550</v>
      </c>
    </row>
    <row r="196" spans="1:5" ht="17.25">
      <c r="A196" s="1386">
        <v>190</v>
      </c>
      <c r="C196" s="279"/>
      <c r="D196" s="696" t="s">
        <v>1196</v>
      </c>
      <c r="E196" s="165">
        <v>550</v>
      </c>
    </row>
    <row r="197" spans="1:5" s="241" customFormat="1" ht="30" customHeight="1">
      <c r="A197" s="1273">
        <v>191</v>
      </c>
      <c r="B197" s="279"/>
      <c r="C197" s="279"/>
      <c r="D197" s="269" t="s">
        <v>395</v>
      </c>
      <c r="E197" s="284">
        <f>SUM(E184:E196)</f>
        <v>-124</v>
      </c>
    </row>
    <row r="198" spans="1:5" s="6" customFormat="1" ht="30" customHeight="1" thickBot="1">
      <c r="A198" s="1274">
        <v>192</v>
      </c>
      <c r="B198" s="270"/>
      <c r="C198" s="270"/>
      <c r="D198" s="285" t="s">
        <v>933</v>
      </c>
      <c r="E198" s="272">
        <f>SUM(E197,E182)</f>
        <v>51142</v>
      </c>
    </row>
    <row r="199" spans="1:4" ht="30" customHeight="1" thickTop="1">
      <c r="A199" s="1386">
        <v>193</v>
      </c>
      <c r="C199" s="279"/>
      <c r="D199" s="281" t="s">
        <v>878</v>
      </c>
    </row>
    <row r="200" spans="1:4" ht="17.25">
      <c r="A200" s="1386">
        <v>194</v>
      </c>
      <c r="C200" s="279"/>
      <c r="D200" s="1110" t="s">
        <v>420</v>
      </c>
    </row>
    <row r="201" spans="1:5" ht="17.25">
      <c r="A201" s="1386">
        <v>195</v>
      </c>
      <c r="C201" s="279"/>
      <c r="D201" s="280" t="s">
        <v>1197</v>
      </c>
      <c r="E201" s="1271">
        <v>500</v>
      </c>
    </row>
    <row r="202" spans="1:5" ht="17.25">
      <c r="A202" s="1386">
        <v>196</v>
      </c>
      <c r="C202" s="279"/>
      <c r="D202" s="1110" t="s">
        <v>419</v>
      </c>
      <c r="E202" s="283"/>
    </row>
    <row r="203" spans="1:5" ht="15.75" customHeight="1">
      <c r="A203" s="1386">
        <v>197</v>
      </c>
      <c r="C203" s="279"/>
      <c r="D203" s="280" t="s">
        <v>1294</v>
      </c>
      <c r="E203" s="1271">
        <v>700</v>
      </c>
    </row>
    <row r="204" spans="1:5" ht="17.25">
      <c r="A204" s="1386">
        <v>198</v>
      </c>
      <c r="C204" s="279"/>
      <c r="D204" s="280" t="s">
        <v>1166</v>
      </c>
      <c r="E204" s="283"/>
    </row>
    <row r="205" spans="1:5" ht="33">
      <c r="A205" s="1386">
        <v>199</v>
      </c>
      <c r="C205" s="279"/>
      <c r="D205" s="280" t="s">
        <v>1119</v>
      </c>
      <c r="E205" s="283">
        <v>2462</v>
      </c>
    </row>
    <row r="206" spans="1:5" ht="17.25">
      <c r="A206" s="1386">
        <v>200</v>
      </c>
      <c r="C206" s="279"/>
      <c r="D206" s="1110" t="s">
        <v>1124</v>
      </c>
      <c r="E206" s="283"/>
    </row>
    <row r="207" spans="1:5" ht="17.25">
      <c r="A207" s="1386">
        <v>201</v>
      </c>
      <c r="C207" s="279"/>
      <c r="D207" s="1153" t="s">
        <v>1125</v>
      </c>
      <c r="E207" s="1271">
        <v>1000</v>
      </c>
    </row>
    <row r="208" spans="1:5" ht="17.25">
      <c r="A208" s="1386">
        <v>202</v>
      </c>
      <c r="C208" s="279"/>
      <c r="D208" s="1110" t="s">
        <v>874</v>
      </c>
      <c r="E208" s="1271"/>
    </row>
    <row r="209" spans="1:5" ht="33">
      <c r="A209" s="1273">
        <v>203</v>
      </c>
      <c r="C209" s="279"/>
      <c r="D209" s="1153" t="s">
        <v>1177</v>
      </c>
      <c r="E209" s="1271">
        <v>1151</v>
      </c>
    </row>
    <row r="210" spans="1:15" ht="17.25">
      <c r="A210" s="1386">
        <v>204</v>
      </c>
      <c r="C210" s="279"/>
      <c r="D210" s="1110" t="s">
        <v>182</v>
      </c>
      <c r="E210" s="1271"/>
      <c r="O210" s="268"/>
    </row>
    <row r="211" spans="1:5" ht="17.25">
      <c r="A211" s="1386">
        <v>205</v>
      </c>
      <c r="C211" s="279"/>
      <c r="D211" s="1153" t="s">
        <v>1128</v>
      </c>
      <c r="E211" s="283">
        <v>76</v>
      </c>
    </row>
    <row r="212" spans="1:5" ht="17.25">
      <c r="A212" s="1386">
        <v>206</v>
      </c>
      <c r="C212" s="279"/>
      <c r="D212" s="1110" t="s">
        <v>852</v>
      </c>
      <c r="E212" s="283"/>
    </row>
    <row r="213" spans="1:5" ht="17.25">
      <c r="A213" s="1386">
        <v>207</v>
      </c>
      <c r="C213" s="279"/>
      <c r="D213" s="1153" t="s">
        <v>1136</v>
      </c>
      <c r="E213" s="283">
        <v>48</v>
      </c>
    </row>
    <row r="214" spans="1:5" ht="17.25">
      <c r="A214" s="1386">
        <v>208</v>
      </c>
      <c r="C214" s="279"/>
      <c r="D214" s="1153" t="s">
        <v>1138</v>
      </c>
      <c r="E214" s="283">
        <v>18</v>
      </c>
    </row>
    <row r="215" spans="1:5" ht="17.25">
      <c r="A215" s="1386">
        <v>209</v>
      </c>
      <c r="C215" s="279"/>
      <c r="D215" s="1153" t="s">
        <v>1295</v>
      </c>
      <c r="E215" s="283">
        <v>1200</v>
      </c>
    </row>
    <row r="216" spans="1:5" ht="17.25">
      <c r="A216" s="1386">
        <v>210</v>
      </c>
      <c r="C216" s="279"/>
      <c r="D216" s="1110" t="s">
        <v>426</v>
      </c>
      <c r="E216" s="283"/>
    </row>
    <row r="217" spans="1:5" ht="17.25">
      <c r="A217" s="1386">
        <v>211</v>
      </c>
      <c r="C217" s="279"/>
      <c r="D217" s="1153" t="s">
        <v>1296</v>
      </c>
      <c r="E217" s="283">
        <v>150</v>
      </c>
    </row>
    <row r="218" spans="1:5" ht="17.25">
      <c r="A218" s="1386">
        <v>212</v>
      </c>
      <c r="C218" s="279"/>
      <c r="D218" s="1110" t="s">
        <v>422</v>
      </c>
      <c r="E218" s="283"/>
    </row>
    <row r="219" spans="1:5" ht="17.25">
      <c r="A219" s="1386">
        <v>213</v>
      </c>
      <c r="C219" s="279"/>
      <c r="D219" s="1153" t="s">
        <v>1297</v>
      </c>
      <c r="E219" s="1272">
        <v>32</v>
      </c>
    </row>
    <row r="220" spans="1:5" s="241" customFormat="1" ht="17.25">
      <c r="A220" s="1386">
        <v>214</v>
      </c>
      <c r="B220" s="279"/>
      <c r="C220" s="279"/>
      <c r="D220" s="269"/>
      <c r="E220" s="284">
        <f>SUM(E200:E219)</f>
        <v>7337</v>
      </c>
    </row>
    <row r="221" spans="1:5" s="241" customFormat="1" ht="17.25">
      <c r="A221" s="1386">
        <v>215</v>
      </c>
      <c r="B221" s="279"/>
      <c r="C221" s="279"/>
      <c r="D221" s="281" t="s">
        <v>51</v>
      </c>
      <c r="E221" s="284"/>
    </row>
    <row r="222" spans="1:5" s="241" customFormat="1" ht="17.25">
      <c r="A222" s="1386">
        <v>216</v>
      </c>
      <c r="B222" s="279"/>
      <c r="C222" s="279"/>
      <c r="D222" s="1482" t="s">
        <v>874</v>
      </c>
      <c r="E222" s="284"/>
    </row>
    <row r="223" spans="1:5" s="241" customFormat="1" ht="17.25">
      <c r="A223" s="1386">
        <v>217</v>
      </c>
      <c r="B223" s="279"/>
      <c r="C223" s="279"/>
      <c r="D223" s="1153" t="s">
        <v>524</v>
      </c>
      <c r="E223" s="284">
        <v>1788</v>
      </c>
    </row>
    <row r="224" spans="1:5" s="241" customFormat="1" ht="17.25">
      <c r="A224" s="1386">
        <v>218</v>
      </c>
      <c r="B224" s="279"/>
      <c r="C224" s="279"/>
      <c r="D224" s="1153" t="s">
        <v>672</v>
      </c>
      <c r="E224" s="1363">
        <v>1788</v>
      </c>
    </row>
    <row r="225" spans="1:5" s="241" customFormat="1" ht="21.75" customHeight="1">
      <c r="A225" s="1273">
        <v>219</v>
      </c>
      <c r="B225" s="1273"/>
      <c r="C225" s="279"/>
      <c r="D225" s="269"/>
      <c r="E225" s="284">
        <f>SUM(E223:E224)</f>
        <v>3576</v>
      </c>
    </row>
    <row r="226" spans="1:5" s="6" customFormat="1" ht="21.75" customHeight="1" thickBot="1">
      <c r="A226" s="1274">
        <v>220</v>
      </c>
      <c r="B226" s="1274"/>
      <c r="C226" s="270"/>
      <c r="D226" s="285" t="s">
        <v>868</v>
      </c>
      <c r="E226" s="272">
        <f>SUM(E197,E182)+E220+E225</f>
        <v>62055</v>
      </c>
    </row>
    <row r="227" spans="1:5" s="6" customFormat="1" ht="25.5" customHeight="1" thickTop="1">
      <c r="A227" s="1386">
        <v>221</v>
      </c>
      <c r="B227" s="286"/>
      <c r="C227" s="286"/>
      <c r="D227" s="281" t="s">
        <v>897</v>
      </c>
      <c r="E227" s="39"/>
    </row>
    <row r="228" spans="1:5" s="6" customFormat="1" ht="17.25">
      <c r="A228" s="1386">
        <v>222</v>
      </c>
      <c r="B228" s="286"/>
      <c r="C228" s="286"/>
      <c r="D228" s="240" t="s">
        <v>1131</v>
      </c>
      <c r="E228" s="39">
        <v>-118</v>
      </c>
    </row>
    <row r="229" spans="1:5" s="6" customFormat="1" ht="25.5" customHeight="1">
      <c r="A229" s="1386">
        <v>223</v>
      </c>
      <c r="B229" s="286"/>
      <c r="C229" s="286"/>
      <c r="D229" s="281" t="s">
        <v>396</v>
      </c>
      <c r="E229" s="39"/>
    </row>
    <row r="230" spans="1:5" s="6" customFormat="1" ht="17.25">
      <c r="A230" s="1386">
        <v>224</v>
      </c>
      <c r="B230" s="286"/>
      <c r="C230" s="286"/>
      <c r="D230" s="240" t="s">
        <v>961</v>
      </c>
      <c r="E230" s="39"/>
    </row>
    <row r="231" spans="1:5" s="6" customFormat="1" ht="17.25">
      <c r="A231" s="1386">
        <v>225</v>
      </c>
      <c r="B231" s="286"/>
      <c r="C231" s="286"/>
      <c r="D231" s="696" t="s">
        <v>1198</v>
      </c>
      <c r="E231" s="165">
        <v>-280</v>
      </c>
    </row>
    <row r="232" spans="1:10" s="241" customFormat="1" ht="25.5" customHeight="1">
      <c r="A232" s="1273">
        <v>226</v>
      </c>
      <c r="B232" s="279"/>
      <c r="C232" s="279"/>
      <c r="D232" s="269" t="s">
        <v>397</v>
      </c>
      <c r="E232" s="284">
        <f>SUM(E230:E231)</f>
        <v>-280</v>
      </c>
      <c r="J232" s="778" t="e">
        <f>#REF!+#REF!+#REF!+#REF!+#REF!+E95+E117+#REF!+E136+E137+E149+#REF!+#REF!+#REF!+#REF!+#REF!+#REF!+#REF!+#REF!+#REF!+#REF!+#REF!+#REF!+#REF!+#REF!+#REF!+#REF!+#REF!+#REF!+#REF!+E179+#REF!+#REF!+#REF!</f>
        <v>#REF!</v>
      </c>
    </row>
    <row r="233" spans="1:8" s="6" customFormat="1" ht="30" customHeight="1" thickBot="1">
      <c r="A233" s="1274">
        <v>227</v>
      </c>
      <c r="B233" s="286"/>
      <c r="C233" s="286"/>
      <c r="D233" s="287" t="s">
        <v>398</v>
      </c>
      <c r="E233" s="272">
        <f>E232+E228</f>
        <v>-398</v>
      </c>
      <c r="H233" s="726"/>
    </row>
    <row r="234" spans="1:8" s="6" customFormat="1" ht="30" customHeight="1" thickBot="1" thickTop="1">
      <c r="A234" s="1274">
        <v>228</v>
      </c>
      <c r="B234" s="286"/>
      <c r="C234" s="286"/>
      <c r="D234" s="1506" t="s">
        <v>1199</v>
      </c>
      <c r="E234" s="1481">
        <v>-7859</v>
      </c>
      <c r="H234" s="726"/>
    </row>
    <row r="235" spans="1:6" s="6" customFormat="1" ht="30" customHeight="1" thickBot="1">
      <c r="A235" s="1274">
        <v>229</v>
      </c>
      <c r="B235" s="248"/>
      <c r="C235" s="1505"/>
      <c r="D235" s="265" t="s">
        <v>399</v>
      </c>
      <c r="E235" s="266">
        <f>SUM(E233,E226,E92)+E110+E234</f>
        <v>-13584</v>
      </c>
      <c r="F235" s="6" t="s">
        <v>13</v>
      </c>
    </row>
    <row r="236" spans="4:6" ht="17.25">
      <c r="D236" s="674"/>
      <c r="F236" s="240">
        <v>881</v>
      </c>
    </row>
    <row r="237" ht="16.5">
      <c r="F237" s="240">
        <v>2500</v>
      </c>
    </row>
    <row r="238" ht="16.5">
      <c r="F238" s="240">
        <v>10000</v>
      </c>
    </row>
    <row r="239" ht="16.5">
      <c r="F239" s="240">
        <f>SUM(F236:F238)</f>
        <v>13381</v>
      </c>
    </row>
    <row r="240" ht="16.5">
      <c r="F240" s="240">
        <v>19025</v>
      </c>
    </row>
    <row r="241" ht="16.5">
      <c r="F241" s="240">
        <f>SUM(F239:F240)</f>
        <v>32406</v>
      </c>
    </row>
    <row r="252" spans="2:5" ht="17.25">
      <c r="B252" s="288"/>
      <c r="C252" s="289"/>
      <c r="E252" s="5"/>
    </row>
    <row r="253" spans="2:5" ht="17.25">
      <c r="B253" s="288"/>
      <c r="C253" s="289"/>
      <c r="D253" s="290"/>
      <c r="E253" s="5"/>
    </row>
    <row r="254" spans="2:5" ht="17.25">
      <c r="B254" s="288"/>
      <c r="C254" s="289"/>
      <c r="D254" s="290"/>
      <c r="E254" s="5"/>
    </row>
    <row r="255" spans="2:5" ht="17.25">
      <c r="B255" s="288"/>
      <c r="C255" s="289"/>
      <c r="D255" s="290"/>
      <c r="E255" s="5"/>
    </row>
    <row r="256" spans="2:5" ht="17.25">
      <c r="B256" s="288"/>
      <c r="C256" s="289"/>
      <c r="D256" s="290"/>
      <c r="E256" s="5"/>
    </row>
    <row r="257" spans="2:5" ht="17.25">
      <c r="B257" s="268"/>
      <c r="C257" s="291"/>
      <c r="D257" s="290"/>
      <c r="E257" s="28"/>
    </row>
    <row r="258" spans="3:4" ht="16.5">
      <c r="C258" s="291"/>
      <c r="D258" s="292"/>
    </row>
    <row r="259" ht="16.5">
      <c r="C259" s="291"/>
    </row>
    <row r="260" ht="16.5">
      <c r="C260" s="291"/>
    </row>
    <row r="261" ht="16.5">
      <c r="C261" s="291"/>
    </row>
    <row r="262" ht="16.5">
      <c r="C262" s="291"/>
    </row>
    <row r="263" ht="16.5">
      <c r="C263" s="291"/>
    </row>
    <row r="264" ht="16.5">
      <c r="C264" s="291"/>
    </row>
    <row r="275" spans="2:5" ht="16.5">
      <c r="B275" s="293"/>
      <c r="C275" s="294"/>
      <c r="E275" s="28"/>
    </row>
    <row r="276" ht="16.5">
      <c r="D276" s="295"/>
    </row>
    <row r="325" spans="2:5" ht="16.5">
      <c r="B325" s="268"/>
      <c r="C325" s="291"/>
      <c r="E325" s="296"/>
    </row>
    <row r="326" spans="2:5" ht="16.5">
      <c r="B326" s="293"/>
      <c r="C326" s="294"/>
      <c r="D326" s="292"/>
      <c r="E326" s="28"/>
    </row>
    <row r="327" spans="2:5" ht="16.5">
      <c r="B327" s="268"/>
      <c r="C327" s="294"/>
      <c r="D327" s="295"/>
      <c r="E327" s="297"/>
    </row>
    <row r="328" spans="2:5" ht="16.5">
      <c r="B328" s="293"/>
      <c r="C328" s="294"/>
      <c r="D328" s="295"/>
      <c r="E328" s="28"/>
    </row>
    <row r="329" spans="2:5" ht="16.5">
      <c r="B329" s="268"/>
      <c r="C329" s="291"/>
      <c r="D329" s="295"/>
      <c r="E329" s="28"/>
    </row>
    <row r="330" spans="2:5" ht="17.25">
      <c r="B330" s="288"/>
      <c r="C330" s="289"/>
      <c r="D330" s="292"/>
      <c r="E330" s="28"/>
    </row>
    <row r="331" spans="2:5" ht="17.25">
      <c r="B331" s="268"/>
      <c r="C331" s="291"/>
      <c r="D331" s="290"/>
      <c r="E331" s="28"/>
    </row>
    <row r="332" spans="2:5" ht="17.25">
      <c r="B332" s="268"/>
      <c r="C332" s="279"/>
      <c r="D332" s="298"/>
      <c r="E332" s="28"/>
    </row>
    <row r="333" spans="2:5" ht="17.25">
      <c r="B333" s="268"/>
      <c r="C333" s="291"/>
      <c r="D333" s="299"/>
      <c r="E333" s="28"/>
    </row>
    <row r="334" ht="16.5">
      <c r="D334" s="292"/>
    </row>
    <row r="378" spans="2:5" ht="16.5">
      <c r="B378" s="268"/>
      <c r="C378" s="291"/>
      <c r="E378" s="296"/>
    </row>
    <row r="379" spans="2:5" ht="16.5">
      <c r="B379" s="293"/>
      <c r="C379" s="294"/>
      <c r="D379" s="292"/>
      <c r="E379" s="28"/>
    </row>
    <row r="380" spans="2:5" ht="16.5">
      <c r="B380" s="268"/>
      <c r="C380" s="294"/>
      <c r="D380" s="295"/>
      <c r="E380" s="297"/>
    </row>
    <row r="381" spans="2:5" ht="16.5">
      <c r="B381" s="293"/>
      <c r="C381" s="294"/>
      <c r="D381" s="295"/>
      <c r="E381" s="28"/>
    </row>
    <row r="382" spans="2:5" ht="16.5">
      <c r="B382" s="268"/>
      <c r="C382" s="291"/>
      <c r="D382" s="295"/>
      <c r="E382" s="28"/>
    </row>
    <row r="383" ht="16.5">
      <c r="D383" s="292"/>
    </row>
    <row r="398" ht="16.5">
      <c r="C398" s="291"/>
    </row>
    <row r="419" spans="2:5" ht="16.5">
      <c r="B419" s="268"/>
      <c r="C419" s="291"/>
      <c r="E419" s="28"/>
    </row>
    <row r="420" spans="2:5" ht="17.25">
      <c r="B420" s="268"/>
      <c r="C420" s="279"/>
      <c r="D420" s="292"/>
      <c r="E420" s="263"/>
    </row>
    <row r="421" spans="2:5" ht="17.25">
      <c r="B421" s="268"/>
      <c r="C421" s="279"/>
      <c r="D421" s="299"/>
      <c r="E421" s="263"/>
    </row>
    <row r="422" spans="2:5" ht="17.25">
      <c r="B422" s="268"/>
      <c r="C422" s="291"/>
      <c r="D422" s="299"/>
      <c r="E422" s="28"/>
    </row>
    <row r="423" spans="2:5" ht="17.25">
      <c r="B423" s="268"/>
      <c r="C423" s="279"/>
      <c r="D423" s="292"/>
      <c r="E423" s="28"/>
    </row>
    <row r="424" spans="2:5" ht="17.25">
      <c r="B424" s="268"/>
      <c r="C424" s="291"/>
      <c r="D424" s="299"/>
      <c r="E424" s="28"/>
    </row>
    <row r="425" spans="2:5" ht="16.5">
      <c r="B425" s="268"/>
      <c r="C425" s="291"/>
      <c r="D425" s="292"/>
      <c r="E425" s="28"/>
    </row>
    <row r="426" spans="2:5" ht="16.5">
      <c r="B426" s="268"/>
      <c r="C426" s="291"/>
      <c r="D426" s="292"/>
      <c r="E426" s="28"/>
    </row>
    <row r="427" spans="2:5" ht="16.5">
      <c r="B427" s="268"/>
      <c r="C427" s="291"/>
      <c r="D427" s="292"/>
      <c r="E427" s="28"/>
    </row>
    <row r="428" spans="2:5" ht="16.5">
      <c r="B428" s="268"/>
      <c r="C428" s="291"/>
      <c r="D428" s="292"/>
      <c r="E428" s="28"/>
    </row>
    <row r="429" spans="2:5" ht="17.25">
      <c r="B429" s="268"/>
      <c r="C429" s="279"/>
      <c r="D429" s="292"/>
      <c r="E429" s="263"/>
    </row>
    <row r="430" spans="2:5" ht="17.25">
      <c r="B430" s="268"/>
      <c r="C430" s="291"/>
      <c r="D430" s="299"/>
      <c r="E430" s="28"/>
    </row>
    <row r="431" spans="2:5" ht="16.5">
      <c r="B431" s="268"/>
      <c r="C431" s="291"/>
      <c r="D431" s="292"/>
      <c r="E431" s="28"/>
    </row>
    <row r="432" spans="2:5" ht="16.5">
      <c r="B432" s="268"/>
      <c r="C432" s="291"/>
      <c r="D432" s="292"/>
      <c r="E432" s="296"/>
    </row>
    <row r="433" spans="2:5" ht="16.5">
      <c r="B433" s="293"/>
      <c r="C433" s="294"/>
      <c r="D433" s="292"/>
      <c r="E433" s="28"/>
    </row>
    <row r="434" spans="2:5" ht="16.5">
      <c r="B434" s="268"/>
      <c r="C434" s="294"/>
      <c r="D434" s="295"/>
      <c r="E434" s="297"/>
    </row>
    <row r="435" spans="2:5" ht="16.5">
      <c r="B435" s="293"/>
      <c r="C435" s="294"/>
      <c r="D435" s="295"/>
      <c r="E435" s="28"/>
    </row>
    <row r="436" spans="2:5" ht="16.5">
      <c r="B436" s="268"/>
      <c r="C436" s="291"/>
      <c r="D436" s="295"/>
      <c r="E436" s="28"/>
    </row>
    <row r="437" spans="2:5" ht="17.25">
      <c r="B437" s="268"/>
      <c r="C437" s="279"/>
      <c r="D437" s="292"/>
      <c r="E437" s="28"/>
    </row>
    <row r="438" spans="2:5" ht="17.25">
      <c r="B438" s="268"/>
      <c r="C438" s="291"/>
      <c r="D438" s="299"/>
      <c r="E438" s="28"/>
    </row>
    <row r="439" spans="2:5" ht="16.5">
      <c r="B439" s="268"/>
      <c r="C439" s="291"/>
      <c r="D439" s="292"/>
      <c r="E439" s="28"/>
    </row>
    <row r="440" spans="2:5" ht="16.5">
      <c r="B440" s="268"/>
      <c r="C440" s="291"/>
      <c r="D440" s="292"/>
      <c r="E440" s="28"/>
    </row>
    <row r="441" spans="2:5" ht="16.5">
      <c r="B441" s="268"/>
      <c r="C441" s="291"/>
      <c r="D441" s="292"/>
      <c r="E441" s="28"/>
    </row>
    <row r="442" spans="2:5" ht="17.25">
      <c r="B442" s="268"/>
      <c r="C442" s="279"/>
      <c r="D442" s="292"/>
      <c r="E442" s="263"/>
    </row>
    <row r="443" spans="2:5" ht="17.25">
      <c r="B443" s="268"/>
      <c r="C443" s="291"/>
      <c r="D443" s="299"/>
      <c r="E443" s="28"/>
    </row>
    <row r="444" spans="2:5" ht="17.25">
      <c r="B444" s="268"/>
      <c r="C444" s="279"/>
      <c r="D444" s="292"/>
      <c r="E444" s="28"/>
    </row>
    <row r="445" spans="2:5" ht="17.25">
      <c r="B445" s="268"/>
      <c r="C445" s="291"/>
      <c r="D445" s="299"/>
      <c r="E445" s="28"/>
    </row>
    <row r="446" spans="2:5" ht="16.5">
      <c r="B446" s="268"/>
      <c r="C446" s="291"/>
      <c r="D446" s="292"/>
      <c r="E446" s="28"/>
    </row>
    <row r="447" spans="2:5" ht="16.5">
      <c r="B447" s="268"/>
      <c r="C447" s="291"/>
      <c r="D447" s="292"/>
      <c r="E447" s="28"/>
    </row>
    <row r="448" spans="2:5" ht="16.5">
      <c r="B448" s="268"/>
      <c r="C448" s="291"/>
      <c r="D448" s="292"/>
      <c r="E448" s="28"/>
    </row>
    <row r="449" spans="2:5" ht="16.5">
      <c r="B449" s="268"/>
      <c r="C449" s="291"/>
      <c r="D449" s="292"/>
      <c r="E449" s="28"/>
    </row>
    <row r="450" spans="2:5" ht="16.5">
      <c r="B450" s="268"/>
      <c r="C450" s="291"/>
      <c r="D450" s="292"/>
      <c r="E450" s="28"/>
    </row>
    <row r="451" spans="2:5" ht="16.5">
      <c r="B451" s="268"/>
      <c r="C451" s="291"/>
      <c r="D451" s="292"/>
      <c r="E451" s="28"/>
    </row>
    <row r="452" spans="2:5" ht="16.5">
      <c r="B452" s="268"/>
      <c r="C452" s="291"/>
      <c r="D452" s="292"/>
      <c r="E452" s="28"/>
    </row>
    <row r="453" spans="2:5" ht="16.5">
      <c r="B453" s="268"/>
      <c r="C453" s="291"/>
      <c r="D453" s="292"/>
      <c r="E453" s="28"/>
    </row>
    <row r="454" spans="2:5" ht="16.5">
      <c r="B454" s="268"/>
      <c r="C454" s="291"/>
      <c r="D454" s="292"/>
      <c r="E454" s="28"/>
    </row>
    <row r="455" spans="2:5" ht="16.5">
      <c r="B455" s="268"/>
      <c r="C455" s="291"/>
      <c r="D455" s="292"/>
      <c r="E455" s="28"/>
    </row>
    <row r="456" spans="2:5" ht="16.5">
      <c r="B456" s="268"/>
      <c r="C456" s="291"/>
      <c r="D456" s="292"/>
      <c r="E456" s="28"/>
    </row>
    <row r="457" spans="2:5" ht="16.5">
      <c r="B457" s="268"/>
      <c r="C457" s="291"/>
      <c r="D457" s="292"/>
      <c r="E457" s="28"/>
    </row>
    <row r="458" spans="2:5" ht="16.5">
      <c r="B458" s="268"/>
      <c r="C458" s="291"/>
      <c r="D458" s="292"/>
      <c r="E458" s="28"/>
    </row>
    <row r="459" spans="2:5" ht="17.25">
      <c r="B459" s="268"/>
      <c r="C459" s="279"/>
      <c r="D459" s="292"/>
      <c r="E459" s="263"/>
    </row>
    <row r="460" spans="2:5" ht="17.25">
      <c r="B460" s="268"/>
      <c r="C460" s="291"/>
      <c r="D460" s="299"/>
      <c r="E460" s="28"/>
    </row>
    <row r="461" spans="2:5" ht="17.25">
      <c r="B461" s="268"/>
      <c r="C461" s="279"/>
      <c r="D461" s="292"/>
      <c r="E461" s="28"/>
    </row>
    <row r="462" spans="2:5" ht="17.25">
      <c r="B462" s="268"/>
      <c r="C462" s="291"/>
      <c r="D462" s="299"/>
      <c r="E462" s="28"/>
    </row>
    <row r="463" spans="2:5" ht="16.5">
      <c r="B463" s="268"/>
      <c r="C463" s="291"/>
      <c r="D463" s="292"/>
      <c r="E463" s="28"/>
    </row>
    <row r="464" spans="2:5" ht="16.5">
      <c r="B464" s="268"/>
      <c r="C464" s="291"/>
      <c r="D464" s="292"/>
      <c r="E464" s="28"/>
    </row>
    <row r="465" spans="2:5" ht="16.5">
      <c r="B465" s="268"/>
      <c r="C465" s="291"/>
      <c r="D465" s="292"/>
      <c r="E465" s="28"/>
    </row>
    <row r="466" spans="2:5" ht="16.5">
      <c r="B466" s="268"/>
      <c r="C466" s="291"/>
      <c r="D466" s="292"/>
      <c r="E466" s="28"/>
    </row>
    <row r="467" spans="2:5" ht="16.5">
      <c r="B467" s="268"/>
      <c r="C467" s="291"/>
      <c r="D467" s="292"/>
      <c r="E467" s="28"/>
    </row>
    <row r="468" spans="2:5" ht="16.5">
      <c r="B468" s="268"/>
      <c r="C468" s="291"/>
      <c r="D468" s="292"/>
      <c r="E468" s="28"/>
    </row>
    <row r="469" spans="2:5" ht="16.5">
      <c r="B469" s="268"/>
      <c r="C469" s="291"/>
      <c r="D469" s="292"/>
      <c r="E469" s="28"/>
    </row>
    <row r="470" spans="2:5" ht="16.5">
      <c r="B470" s="268"/>
      <c r="C470" s="291"/>
      <c r="D470" s="292"/>
      <c r="E470" s="28"/>
    </row>
    <row r="471" spans="2:5" ht="16.5">
      <c r="B471" s="268"/>
      <c r="C471" s="291"/>
      <c r="D471" s="292"/>
      <c r="E471" s="28"/>
    </row>
    <row r="472" spans="2:5" ht="16.5">
      <c r="B472" s="268"/>
      <c r="C472" s="291"/>
      <c r="D472" s="292"/>
      <c r="E472" s="28"/>
    </row>
    <row r="473" spans="2:5" ht="16.5">
      <c r="B473" s="268"/>
      <c r="C473" s="291"/>
      <c r="D473" s="292"/>
      <c r="E473" s="28"/>
    </row>
    <row r="474" spans="2:5" ht="16.5">
      <c r="B474" s="268"/>
      <c r="C474" s="291"/>
      <c r="D474" s="292"/>
      <c r="E474" s="28"/>
    </row>
    <row r="475" spans="2:5" ht="16.5">
      <c r="B475" s="268"/>
      <c r="C475" s="291"/>
      <c r="D475" s="292"/>
      <c r="E475" s="28"/>
    </row>
    <row r="476" spans="2:5" ht="16.5">
      <c r="B476" s="268"/>
      <c r="C476" s="291"/>
      <c r="D476" s="292"/>
      <c r="E476" s="28"/>
    </row>
    <row r="477" spans="2:5" ht="16.5">
      <c r="B477" s="268"/>
      <c r="C477" s="291"/>
      <c r="D477" s="292"/>
      <c r="E477" s="28"/>
    </row>
    <row r="478" spans="2:5" ht="16.5">
      <c r="B478" s="268"/>
      <c r="C478" s="291"/>
      <c r="D478" s="292"/>
      <c r="E478" s="28"/>
    </row>
    <row r="479" spans="2:5" ht="16.5">
      <c r="B479" s="268"/>
      <c r="C479" s="291"/>
      <c r="D479" s="292"/>
      <c r="E479" s="28"/>
    </row>
    <row r="480" spans="2:5" ht="16.5">
      <c r="B480" s="268"/>
      <c r="C480" s="291"/>
      <c r="D480" s="292"/>
      <c r="E480" s="28"/>
    </row>
    <row r="481" spans="2:5" ht="16.5">
      <c r="B481" s="268"/>
      <c r="C481" s="291"/>
      <c r="D481" s="292"/>
      <c r="E481" s="28"/>
    </row>
    <row r="482" spans="2:5" ht="16.5">
      <c r="B482" s="268"/>
      <c r="C482" s="291"/>
      <c r="D482" s="292"/>
      <c r="E482" s="28"/>
    </row>
    <row r="483" spans="2:5" ht="16.5">
      <c r="B483" s="268"/>
      <c r="C483" s="291"/>
      <c r="D483" s="292"/>
      <c r="E483" s="28"/>
    </row>
    <row r="484" spans="2:5" ht="16.5">
      <c r="B484" s="268"/>
      <c r="C484" s="291"/>
      <c r="D484" s="292"/>
      <c r="E484" s="28"/>
    </row>
    <row r="485" spans="2:5" ht="16.5">
      <c r="B485" s="268"/>
      <c r="C485" s="291"/>
      <c r="D485" s="292"/>
      <c r="E485" s="28"/>
    </row>
    <row r="486" spans="2:5" ht="16.5">
      <c r="B486" s="268"/>
      <c r="C486" s="291"/>
      <c r="D486" s="292"/>
      <c r="E486" s="28"/>
    </row>
    <row r="487" spans="2:5" ht="16.5">
      <c r="B487" s="268"/>
      <c r="C487" s="291"/>
      <c r="D487" s="292"/>
      <c r="E487" s="28"/>
    </row>
    <row r="488" spans="2:5" ht="16.5">
      <c r="B488" s="268"/>
      <c r="C488" s="291"/>
      <c r="D488" s="292"/>
      <c r="E488" s="28"/>
    </row>
    <row r="489" spans="2:5" ht="16.5">
      <c r="B489" s="268"/>
      <c r="C489" s="291"/>
      <c r="D489" s="292"/>
      <c r="E489" s="28"/>
    </row>
    <row r="490" spans="2:5" ht="16.5">
      <c r="B490" s="268"/>
      <c r="C490" s="291"/>
      <c r="D490" s="292"/>
      <c r="E490" s="28"/>
    </row>
    <row r="491" spans="2:5" ht="16.5">
      <c r="B491" s="268"/>
      <c r="C491" s="291"/>
      <c r="D491" s="292"/>
      <c r="E491" s="300"/>
    </row>
    <row r="492" spans="2:5" ht="17.25">
      <c r="B492" s="268"/>
      <c r="C492" s="279"/>
      <c r="D492" s="292"/>
      <c r="E492" s="263"/>
    </row>
    <row r="493" spans="2:5" ht="17.25">
      <c r="B493" s="268"/>
      <c r="C493" s="291"/>
      <c r="D493" s="299"/>
      <c r="E493" s="28"/>
    </row>
    <row r="494" spans="2:5" ht="17.25">
      <c r="B494" s="268"/>
      <c r="C494" s="279"/>
      <c r="D494" s="292"/>
      <c r="E494" s="28"/>
    </row>
    <row r="495" spans="2:5" ht="17.25">
      <c r="B495" s="268"/>
      <c r="C495" s="291"/>
      <c r="D495" s="299"/>
      <c r="E495" s="28"/>
    </row>
    <row r="496" spans="2:5" ht="16.5">
      <c r="B496" s="268"/>
      <c r="C496" s="291"/>
      <c r="D496" s="298"/>
      <c r="E496" s="28"/>
    </row>
    <row r="497" spans="2:5" ht="16.5">
      <c r="B497" s="268"/>
      <c r="C497" s="291"/>
      <c r="D497" s="292"/>
      <c r="E497" s="28"/>
    </row>
    <row r="498" spans="2:5" ht="16.5">
      <c r="B498" s="268"/>
      <c r="C498" s="291"/>
      <c r="D498" s="292"/>
      <c r="E498" s="28"/>
    </row>
    <row r="499" spans="2:5" ht="16.5">
      <c r="B499" s="268"/>
      <c r="C499" s="291"/>
      <c r="D499" s="292"/>
      <c r="E499" s="28"/>
    </row>
    <row r="500" spans="2:5" ht="16.5">
      <c r="B500" s="268"/>
      <c r="C500" s="291"/>
      <c r="D500" s="292"/>
      <c r="E500" s="28"/>
    </row>
    <row r="501" spans="2:5" ht="16.5">
      <c r="B501" s="268"/>
      <c r="C501" s="291"/>
      <c r="D501" s="292"/>
      <c r="E501" s="28"/>
    </row>
    <row r="502" spans="2:5" ht="16.5">
      <c r="B502" s="268"/>
      <c r="C502" s="291"/>
      <c r="D502" s="292"/>
      <c r="E502" s="28"/>
    </row>
    <row r="503" spans="2:5" ht="16.5">
      <c r="B503" s="268"/>
      <c r="C503" s="291"/>
      <c r="D503" s="292"/>
      <c r="E503" s="28"/>
    </row>
    <row r="504" spans="2:5" ht="16.5">
      <c r="B504" s="268"/>
      <c r="C504" s="291"/>
      <c r="D504" s="292"/>
      <c r="E504" s="28"/>
    </row>
    <row r="505" spans="2:5" ht="16.5">
      <c r="B505" s="268"/>
      <c r="C505" s="291"/>
      <c r="D505" s="292"/>
      <c r="E505" s="28"/>
    </row>
    <row r="506" spans="2:5" ht="16.5">
      <c r="B506" s="268"/>
      <c r="C506" s="291"/>
      <c r="D506" s="292"/>
      <c r="E506" s="28"/>
    </row>
    <row r="507" spans="2:5" ht="16.5">
      <c r="B507" s="268"/>
      <c r="C507" s="291"/>
      <c r="D507" s="292"/>
      <c r="E507" s="28"/>
    </row>
    <row r="508" spans="2:5" ht="16.5">
      <c r="B508" s="268"/>
      <c r="C508" s="291"/>
      <c r="D508" s="292"/>
      <c r="E508" s="28"/>
    </row>
    <row r="509" spans="2:5" ht="16.5">
      <c r="B509" s="268"/>
      <c r="C509" s="291"/>
      <c r="D509" s="292"/>
      <c r="E509" s="28"/>
    </row>
    <row r="510" spans="2:5" ht="17.25">
      <c r="B510" s="268"/>
      <c r="C510" s="279"/>
      <c r="D510" s="292"/>
      <c r="E510" s="263"/>
    </row>
    <row r="511" spans="2:5" ht="17.25">
      <c r="B511" s="268"/>
      <c r="C511" s="291"/>
      <c r="D511" s="299"/>
      <c r="E511" s="28"/>
    </row>
    <row r="512" ht="16.5">
      <c r="D512" s="298"/>
    </row>
    <row r="518" ht="16.5">
      <c r="D518" s="267"/>
    </row>
    <row r="525" ht="16.5">
      <c r="E525" s="301"/>
    </row>
    <row r="531" spans="2:5" ht="16.5">
      <c r="B531" s="268"/>
      <c r="C531" s="291"/>
      <c r="E531" s="296"/>
    </row>
    <row r="532" spans="2:5" ht="16.5">
      <c r="B532" s="293"/>
      <c r="C532" s="294"/>
      <c r="D532" s="292"/>
      <c r="E532" s="28"/>
    </row>
    <row r="533" spans="2:5" ht="16.5">
      <c r="B533" s="268"/>
      <c r="C533" s="294"/>
      <c r="D533" s="295"/>
      <c r="E533" s="297"/>
    </row>
    <row r="534" spans="2:5" ht="16.5">
      <c r="B534" s="293"/>
      <c r="C534" s="294"/>
      <c r="D534" s="295"/>
      <c r="E534" s="28"/>
    </row>
    <row r="535" spans="2:5" ht="16.5">
      <c r="B535" s="268"/>
      <c r="C535" s="291"/>
      <c r="D535" s="295"/>
      <c r="E535" s="28"/>
    </row>
    <row r="536" ht="16.5">
      <c r="D536" s="292"/>
    </row>
    <row r="537" ht="16.5">
      <c r="D537" s="267"/>
    </row>
    <row r="545" ht="16.5">
      <c r="E545" s="301"/>
    </row>
    <row r="549" spans="2:5" ht="17.25">
      <c r="B549" s="268"/>
      <c r="C549" s="291"/>
      <c r="E549" s="263"/>
    </row>
    <row r="550" spans="2:5" ht="17.25">
      <c r="B550" s="268"/>
      <c r="C550" s="291"/>
      <c r="D550" s="299"/>
      <c r="E550" s="263"/>
    </row>
    <row r="551" spans="2:5" ht="17.25">
      <c r="B551" s="268"/>
      <c r="C551" s="291"/>
      <c r="D551" s="299"/>
      <c r="E551" s="28"/>
    </row>
    <row r="552" ht="16.5">
      <c r="D552" s="292"/>
    </row>
    <row r="568" ht="17.25">
      <c r="E568" s="259"/>
    </row>
    <row r="569" ht="17.25">
      <c r="D569" s="302"/>
    </row>
    <row r="570" ht="16.5">
      <c r="E570" s="28"/>
    </row>
    <row r="571" spans="4:5" ht="16.5">
      <c r="D571" s="298"/>
      <c r="E571" s="28"/>
    </row>
    <row r="572" spans="4:5" ht="16.5">
      <c r="D572" s="292"/>
      <c r="E572" s="28"/>
    </row>
    <row r="573" spans="4:5" ht="16.5">
      <c r="D573" s="292"/>
      <c r="E573" s="28"/>
    </row>
    <row r="574" spans="4:5" ht="16.5">
      <c r="D574" s="292"/>
      <c r="E574" s="28"/>
    </row>
    <row r="575" spans="4:5" ht="16.5">
      <c r="D575" s="292"/>
      <c r="E575" s="28"/>
    </row>
    <row r="576" spans="4:5" ht="16.5">
      <c r="D576" s="292"/>
      <c r="E576" s="28"/>
    </row>
    <row r="577" spans="4:5" ht="16.5">
      <c r="D577" s="292"/>
      <c r="E577" s="28"/>
    </row>
    <row r="578" spans="4:5" ht="16.5">
      <c r="D578" s="292"/>
      <c r="E578" s="28"/>
    </row>
    <row r="579" spans="4:5" ht="16.5">
      <c r="D579" s="292"/>
      <c r="E579" s="28"/>
    </row>
    <row r="580" spans="4:5" ht="16.5">
      <c r="D580" s="292"/>
      <c r="E580" s="28"/>
    </row>
    <row r="581" spans="4:5" ht="16.5">
      <c r="D581" s="292"/>
      <c r="E581" s="300"/>
    </row>
    <row r="582" spans="4:5" ht="16.5">
      <c r="D582" s="292"/>
      <c r="E582" s="28"/>
    </row>
    <row r="583" spans="4:5" ht="16.5">
      <c r="D583" s="292"/>
      <c r="E583" s="28"/>
    </row>
    <row r="584" spans="2:5" ht="16.5">
      <c r="B584" s="268"/>
      <c r="C584" s="291"/>
      <c r="D584" s="292"/>
      <c r="E584" s="296"/>
    </row>
    <row r="585" spans="2:5" ht="16.5">
      <c r="B585" s="293"/>
      <c r="C585" s="294"/>
      <c r="D585" s="292"/>
      <c r="E585" s="28"/>
    </row>
    <row r="586" spans="2:5" ht="16.5">
      <c r="B586" s="268"/>
      <c r="C586" s="294"/>
      <c r="D586" s="295"/>
      <c r="E586" s="297"/>
    </row>
    <row r="587" spans="2:5" ht="16.5">
      <c r="B587" s="293"/>
      <c r="C587" s="294"/>
      <c r="D587" s="295"/>
      <c r="E587" s="28"/>
    </row>
    <row r="588" spans="2:5" ht="16.5">
      <c r="B588" s="268"/>
      <c r="C588" s="291"/>
      <c r="D588" s="295"/>
      <c r="E588" s="28"/>
    </row>
    <row r="589" ht="16.5">
      <c r="D589" s="292"/>
    </row>
    <row r="590" ht="17.25">
      <c r="D590" s="302"/>
    </row>
    <row r="592" ht="16.5">
      <c r="D592" s="267"/>
    </row>
    <row r="638" spans="2:5" ht="16.5">
      <c r="B638" s="268"/>
      <c r="C638" s="291"/>
      <c r="E638" s="296"/>
    </row>
    <row r="639" spans="2:5" ht="16.5">
      <c r="B639" s="293"/>
      <c r="C639" s="294"/>
      <c r="D639" s="292"/>
      <c r="E639" s="28"/>
    </row>
    <row r="640" spans="2:5" ht="16.5">
      <c r="B640" s="268"/>
      <c r="C640" s="294"/>
      <c r="D640" s="295"/>
      <c r="E640" s="297"/>
    </row>
    <row r="641" spans="2:5" ht="16.5">
      <c r="B641" s="293"/>
      <c r="C641" s="294"/>
      <c r="D641" s="295"/>
      <c r="E641" s="28"/>
    </row>
    <row r="642" spans="2:5" ht="16.5">
      <c r="B642" s="268"/>
      <c r="C642" s="291"/>
      <c r="D642" s="295"/>
      <c r="E642" s="28"/>
    </row>
    <row r="643" spans="2:5" ht="16.5">
      <c r="B643" s="268"/>
      <c r="C643" s="291"/>
      <c r="D643" s="292"/>
      <c r="E643" s="300"/>
    </row>
    <row r="644" spans="4:5" ht="16.5">
      <c r="D644" s="292"/>
      <c r="E644" s="28"/>
    </row>
    <row r="645" spans="4:5" ht="16.5">
      <c r="D645" s="292"/>
      <c r="E645" s="28"/>
    </row>
    <row r="646" spans="4:5" ht="16.5">
      <c r="D646" s="292"/>
      <c r="E646" s="28"/>
    </row>
    <row r="647" spans="4:5" ht="16.5">
      <c r="D647" s="292"/>
      <c r="E647" s="28"/>
    </row>
    <row r="648" spans="4:5" ht="17.25">
      <c r="D648" s="292"/>
      <c r="E648" s="263"/>
    </row>
    <row r="649" spans="4:5" ht="17.25">
      <c r="D649" s="299"/>
      <c r="E649" s="28"/>
    </row>
    <row r="650" spans="4:5" ht="16.5">
      <c r="D650" s="292"/>
      <c r="E650" s="28"/>
    </row>
    <row r="651" spans="4:5" ht="16.5">
      <c r="D651" s="292"/>
      <c r="E651" s="28"/>
    </row>
    <row r="652" spans="4:5" ht="16.5">
      <c r="D652" s="298"/>
      <c r="E652" s="28"/>
    </row>
    <row r="653" spans="4:5" ht="16.5">
      <c r="D653" s="292"/>
      <c r="E653" s="28"/>
    </row>
    <row r="654" spans="4:5" ht="16.5">
      <c r="D654" s="292"/>
      <c r="E654" s="28"/>
    </row>
    <row r="655" spans="4:5" ht="16.5">
      <c r="D655" s="292"/>
      <c r="E655" s="28"/>
    </row>
    <row r="656" spans="4:5" ht="16.5">
      <c r="D656" s="292"/>
      <c r="E656" s="28"/>
    </row>
    <row r="657" spans="4:5" ht="16.5">
      <c r="D657" s="292"/>
      <c r="E657" s="28"/>
    </row>
    <row r="658" spans="4:5" ht="16.5">
      <c r="D658" s="292"/>
      <c r="E658" s="28"/>
    </row>
    <row r="659" spans="4:5" ht="16.5">
      <c r="D659" s="292"/>
      <c r="E659" s="28"/>
    </row>
    <row r="660" ht="16.5">
      <c r="D660" s="298"/>
    </row>
    <row r="675" ht="16.5">
      <c r="E675" s="28"/>
    </row>
    <row r="676" ht="16.5">
      <c r="D676" s="292"/>
    </row>
    <row r="678" spans="1:5" s="252" customFormat="1" ht="17.25">
      <c r="A678" s="1386"/>
      <c r="C678" s="253"/>
      <c r="D678" s="242"/>
      <c r="E678" s="303"/>
    </row>
    <row r="679" ht="17.25">
      <c r="D679" s="254"/>
    </row>
  </sheetData>
  <sheetProtection/>
  <mergeCells count="3">
    <mergeCell ref="B1:E1"/>
    <mergeCell ref="B2:E2"/>
    <mergeCell ref="B3:E3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headerFooter alignWithMargins="0">
    <oddFooter>&amp;C&amp;P</oddFooter>
  </headerFooter>
  <rowBreaks count="1" manualBreakCount="1">
    <brk id="2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Normal="75" zoomScaleSheetLayoutView="100" zoomScalePageLayoutView="0" workbookViewId="0" topLeftCell="A1">
      <selection activeCell="B24" sqref="B24"/>
    </sheetView>
  </sheetViews>
  <sheetFormatPr defaultColWidth="9.125" defaultRowHeight="12.75"/>
  <cols>
    <col min="1" max="1" width="5.75390625" style="1455" customWidth="1"/>
    <col min="2" max="2" width="62.625" style="817" bestFit="1" customWidth="1"/>
    <col min="3" max="4" width="12.75390625" style="399" customWidth="1"/>
    <col min="5" max="5" width="5.75390625" style="1455" customWidth="1"/>
    <col min="6" max="6" width="54.00390625" style="817" bestFit="1" customWidth="1"/>
    <col min="7" max="8" width="12.75390625" style="399" customWidth="1"/>
    <col min="9" max="16384" width="9.125" style="817" customWidth="1"/>
  </cols>
  <sheetData>
    <row r="1" spans="1:8" s="822" customFormat="1" ht="15">
      <c r="A1" s="1752" t="s">
        <v>926</v>
      </c>
      <c r="B1" s="1752"/>
      <c r="C1" s="71"/>
      <c r="D1" s="71"/>
      <c r="E1" s="1387"/>
      <c r="G1" s="483"/>
      <c r="H1" s="71"/>
    </row>
    <row r="2" spans="1:8" s="822" customFormat="1" ht="26.25" customHeight="1">
      <c r="A2" s="1753" t="s">
        <v>674</v>
      </c>
      <c r="B2" s="1753"/>
      <c r="C2" s="1753"/>
      <c r="D2" s="1753"/>
      <c r="E2" s="1753"/>
      <c r="F2" s="1753"/>
      <c r="G2" s="1753"/>
      <c r="H2" s="1753"/>
    </row>
    <row r="3" spans="1:8" s="822" customFormat="1" ht="27.75" customHeight="1">
      <c r="A3" s="1753" t="s">
        <v>675</v>
      </c>
      <c r="B3" s="1753"/>
      <c r="C3" s="1753"/>
      <c r="D3" s="1753"/>
      <c r="E3" s="1753"/>
      <c r="F3" s="1753"/>
      <c r="G3" s="1753"/>
      <c r="H3" s="1753"/>
    </row>
    <row r="4" spans="1:8" s="822" customFormat="1" ht="15">
      <c r="A4" s="1388"/>
      <c r="B4" s="1388"/>
      <c r="C4" s="1388"/>
      <c r="D4" s="1388"/>
      <c r="E4" s="1388"/>
      <c r="F4" s="1388"/>
      <c r="G4" s="1754" t="s">
        <v>135</v>
      </c>
      <c r="H4" s="1754"/>
    </row>
    <row r="5" spans="1:8" s="822" customFormat="1" ht="33" customHeight="1">
      <c r="A5" s="1389"/>
      <c r="B5" s="1390" t="s">
        <v>676</v>
      </c>
      <c r="C5" s="1391" t="s">
        <v>403</v>
      </c>
      <c r="D5" s="1392" t="s">
        <v>1067</v>
      </c>
      <c r="E5" s="1393"/>
      <c r="F5" s="1394" t="s">
        <v>677</v>
      </c>
      <c r="G5" s="1391" t="s">
        <v>403</v>
      </c>
      <c r="H5" s="1391" t="s">
        <v>1067</v>
      </c>
    </row>
    <row r="6" spans="1:8" ht="15" customHeight="1">
      <c r="A6" s="1395" t="s">
        <v>791</v>
      </c>
      <c r="B6" s="817" t="s">
        <v>678</v>
      </c>
      <c r="C6" s="1396">
        <v>3622793</v>
      </c>
      <c r="D6" s="1397">
        <f>'1.Onbe'!M10+'1.Onbe'!M15+'1.Onbe'!M17</f>
        <v>4056926</v>
      </c>
      <c r="E6" s="1398" t="s">
        <v>791</v>
      </c>
      <c r="F6" s="817" t="s">
        <v>869</v>
      </c>
      <c r="G6" s="1396">
        <v>3073312</v>
      </c>
      <c r="H6" s="1396">
        <f>'5.Inki'!J396+'6.Önk.műk.'!J775</f>
        <v>3425151</v>
      </c>
    </row>
    <row r="7" spans="1:8" ht="15" customHeight="1">
      <c r="A7" s="1395" t="s">
        <v>792</v>
      </c>
      <c r="B7" s="817" t="s">
        <v>10</v>
      </c>
      <c r="C7" s="1396">
        <v>5485000</v>
      </c>
      <c r="D7" s="1397">
        <f>'1.Onbe'!M18</f>
        <v>5635000</v>
      </c>
      <c r="E7" s="1398" t="s">
        <v>792</v>
      </c>
      <c r="F7" s="817" t="s">
        <v>679</v>
      </c>
      <c r="G7" s="1396">
        <v>869842</v>
      </c>
      <c r="H7" s="1396">
        <f>'5.Inki'!K396+'6.Önk.műk.'!K775</f>
        <v>929893</v>
      </c>
    </row>
    <row r="8" spans="1:8" ht="15">
      <c r="A8" s="1395" t="s">
        <v>793</v>
      </c>
      <c r="B8" s="1399" t="s">
        <v>177</v>
      </c>
      <c r="C8" s="1396">
        <v>1325691</v>
      </c>
      <c r="D8" s="1397">
        <f>'1.Onbe'!M32+'1.Onbe'!M36</f>
        <v>1662918</v>
      </c>
      <c r="E8" s="1398" t="s">
        <v>793</v>
      </c>
      <c r="F8" s="817" t="s">
        <v>870</v>
      </c>
      <c r="G8" s="1396">
        <v>5160266</v>
      </c>
      <c r="H8" s="1396">
        <f>'5.Inki'!L396+'6.Önk.műk.'!L775</f>
        <v>5648367</v>
      </c>
    </row>
    <row r="9" spans="1:8" ht="15">
      <c r="A9" s="1395" t="s">
        <v>680</v>
      </c>
      <c r="B9" s="817" t="s">
        <v>193</v>
      </c>
      <c r="C9" s="1396">
        <v>80000</v>
      </c>
      <c r="D9" s="1397">
        <f>'1.Onbe'!M37+'1.Onbe'!M38</f>
        <v>96648</v>
      </c>
      <c r="E9" s="1400" t="s">
        <v>680</v>
      </c>
      <c r="F9" s="817" t="s">
        <v>681</v>
      </c>
      <c r="G9" s="1396">
        <v>276400</v>
      </c>
      <c r="H9" s="1396">
        <f>'5.Inki'!M396+'6.Önk.műk.'!M775</f>
        <v>203035</v>
      </c>
    </row>
    <row r="10" spans="1:8" ht="15">
      <c r="A10" s="1395"/>
      <c r="B10" s="1399"/>
      <c r="C10" s="1396"/>
      <c r="D10" s="1397"/>
      <c r="E10" s="1400" t="s">
        <v>682</v>
      </c>
      <c r="F10" s="818" t="s">
        <v>683</v>
      </c>
      <c r="G10" s="1401">
        <v>815969</v>
      </c>
      <c r="H10" s="1396">
        <f>'5.Inki'!N396+'6.Önk.műk.'!N775</f>
        <v>1422590</v>
      </c>
    </row>
    <row r="11" spans="1:8" ht="15">
      <c r="A11" s="1395"/>
      <c r="B11" s="1399"/>
      <c r="C11" s="1396"/>
      <c r="D11" s="1397"/>
      <c r="E11" s="1400" t="s">
        <v>684</v>
      </c>
      <c r="F11" s="818" t="s">
        <v>685</v>
      </c>
      <c r="G11" s="1401">
        <v>205000</v>
      </c>
      <c r="H11" s="1396">
        <f>'2.Onki'!M16+'2.Onki'!M25</f>
        <v>4712</v>
      </c>
    </row>
    <row r="12" spans="1:8" s="822" customFormat="1" ht="24.75" customHeight="1">
      <c r="A12" s="1402"/>
      <c r="B12" s="819" t="s">
        <v>686</v>
      </c>
      <c r="C12" s="1403">
        <f>SUM(C6:C10)</f>
        <v>10513484</v>
      </c>
      <c r="D12" s="1404">
        <f>SUM(D6:D9)</f>
        <v>11451492</v>
      </c>
      <c r="E12" s="1405"/>
      <c r="F12" s="819" t="s">
        <v>687</v>
      </c>
      <c r="G12" s="1406">
        <f>SUM(G6:G11)</f>
        <v>10400789</v>
      </c>
      <c r="H12" s="1406">
        <f>SUM(H6:H11)</f>
        <v>11633748</v>
      </c>
    </row>
    <row r="13" spans="1:8" ht="23.25" customHeight="1">
      <c r="A13" s="1407"/>
      <c r="B13" s="1408" t="s">
        <v>688</v>
      </c>
      <c r="C13" s="1409"/>
      <c r="D13" s="1410"/>
      <c r="E13" s="1411"/>
      <c r="F13" s="1408" t="s">
        <v>689</v>
      </c>
      <c r="G13" s="1412"/>
      <c r="H13" s="1413"/>
    </row>
    <row r="14" spans="1:8" ht="15">
      <c r="A14" s="1414" t="s">
        <v>791</v>
      </c>
      <c r="B14" s="1415" t="s">
        <v>690</v>
      </c>
      <c r="C14" s="1412">
        <v>5640156</v>
      </c>
      <c r="D14" s="1416">
        <f>'1.Onbe'!M40</f>
        <v>6711053</v>
      </c>
      <c r="E14" s="1417" t="s">
        <v>791</v>
      </c>
      <c r="F14" s="1415" t="s">
        <v>119</v>
      </c>
      <c r="G14" s="1412">
        <v>3111297</v>
      </c>
      <c r="H14" s="1412">
        <f>'2.Onki'!M27+'2.Onki'!M11</f>
        <v>6506701</v>
      </c>
    </row>
    <row r="15" spans="1:8" ht="15">
      <c r="A15" s="1414" t="s">
        <v>792</v>
      </c>
      <c r="B15" s="1415" t="s">
        <v>189</v>
      </c>
      <c r="C15" s="1412">
        <v>550000</v>
      </c>
      <c r="D15" s="1416">
        <f>'1.Onbe'!M46</f>
        <v>385000</v>
      </c>
      <c r="E15" s="1417" t="s">
        <v>792</v>
      </c>
      <c r="F15" s="1415" t="s">
        <v>51</v>
      </c>
      <c r="G15" s="1412">
        <v>223615</v>
      </c>
      <c r="H15" s="1412">
        <f>'2.Onki'!M12+'2.Onki'!M28</f>
        <v>654458</v>
      </c>
    </row>
    <row r="16" spans="1:8" ht="15">
      <c r="A16" s="1414" t="s">
        <v>793</v>
      </c>
      <c r="B16" s="817" t="s">
        <v>194</v>
      </c>
      <c r="C16" s="1412">
        <v>0</v>
      </c>
      <c r="D16" s="1416">
        <f>'1.Onbe'!M52</f>
        <v>9000</v>
      </c>
      <c r="E16" s="1417" t="s">
        <v>793</v>
      </c>
      <c r="F16" s="1415" t="s">
        <v>809</v>
      </c>
      <c r="G16" s="1412">
        <v>1418800</v>
      </c>
      <c r="H16" s="1412">
        <f>'2.Onki'!M29</f>
        <v>27613</v>
      </c>
    </row>
    <row r="17" spans="1:8" ht="15">
      <c r="A17" s="1414"/>
      <c r="C17" s="1412"/>
      <c r="D17" s="1416"/>
      <c r="E17" s="1417" t="s">
        <v>680</v>
      </c>
      <c r="F17" s="1415" t="s">
        <v>691</v>
      </c>
      <c r="G17" s="1412">
        <v>1153579</v>
      </c>
      <c r="H17" s="1412">
        <f>'2.Onki'!M21</f>
        <v>148229</v>
      </c>
    </row>
    <row r="18" spans="1:8" s="822" customFormat="1" ht="24.75" customHeight="1" thickBot="1">
      <c r="A18" s="1418"/>
      <c r="B18" s="820" t="s">
        <v>734</v>
      </c>
      <c r="C18" s="1419">
        <f>SUM(C14:C16)</f>
        <v>6190156</v>
      </c>
      <c r="D18" s="1420">
        <f>SUM(D14:D16)</f>
        <v>7105053</v>
      </c>
      <c r="E18" s="1421"/>
      <c r="F18" s="820" t="s">
        <v>735</v>
      </c>
      <c r="G18" s="1422">
        <f>SUM(G14:G17)</f>
        <v>5907291</v>
      </c>
      <c r="H18" s="1422">
        <f>SUM(H14:H17)</f>
        <v>7337001</v>
      </c>
    </row>
    <row r="19" spans="1:8" s="822" customFormat="1" ht="24.75" customHeight="1" thickBot="1" thickTop="1">
      <c r="A19" s="1423"/>
      <c r="B19" s="1424" t="s">
        <v>196</v>
      </c>
      <c r="C19" s="1425">
        <f>C12+C18</f>
        <v>16703640</v>
      </c>
      <c r="D19" s="1426">
        <f>SUM(D18+D12)</f>
        <v>18556545</v>
      </c>
      <c r="E19" s="1427"/>
      <c r="F19" s="1424" t="s">
        <v>427</v>
      </c>
      <c r="G19" s="1425">
        <f>G12+G18</f>
        <v>16308080</v>
      </c>
      <c r="H19" s="1425">
        <f>H12+H18</f>
        <v>18970749</v>
      </c>
    </row>
    <row r="20" spans="1:8" s="822" customFormat="1" ht="24.75" customHeight="1" thickTop="1">
      <c r="A20" s="1428"/>
      <c r="B20" s="1408" t="s">
        <v>736</v>
      </c>
      <c r="C20" s="1429"/>
      <c r="D20" s="1430"/>
      <c r="E20" s="821"/>
      <c r="F20" s="1408" t="s">
        <v>737</v>
      </c>
      <c r="G20" s="1429"/>
      <c r="H20" s="1429"/>
    </row>
    <row r="21" spans="1:8" s="822" customFormat="1" ht="15">
      <c r="A21" s="1431" t="s">
        <v>791</v>
      </c>
      <c r="B21" s="822" t="s">
        <v>738</v>
      </c>
      <c r="C21" s="1429">
        <v>0</v>
      </c>
      <c r="D21" s="1430">
        <v>0</v>
      </c>
      <c r="E21" s="821" t="s">
        <v>791</v>
      </c>
      <c r="F21" s="822" t="s">
        <v>739</v>
      </c>
      <c r="G21" s="1429">
        <v>0</v>
      </c>
      <c r="H21" s="1429">
        <v>0</v>
      </c>
    </row>
    <row r="22" spans="1:8" s="822" customFormat="1" ht="15">
      <c r="A22" s="1431" t="s">
        <v>792</v>
      </c>
      <c r="B22" s="822" t="s">
        <v>740</v>
      </c>
      <c r="C22" s="1429">
        <v>0</v>
      </c>
      <c r="D22" s="1430">
        <f>'1.Onbe'!M61</f>
        <v>1067026</v>
      </c>
      <c r="E22" s="821"/>
      <c r="G22" s="1429"/>
      <c r="H22" s="1429"/>
    </row>
    <row r="23" spans="1:8" s="822" customFormat="1" ht="24.75" customHeight="1">
      <c r="A23" s="1428"/>
      <c r="B23" s="1408" t="s">
        <v>741</v>
      </c>
      <c r="C23" s="1429"/>
      <c r="D23" s="1430"/>
      <c r="E23" s="821"/>
      <c r="F23" s="1408" t="s">
        <v>742</v>
      </c>
      <c r="G23" s="1429"/>
      <c r="H23" s="1429"/>
    </row>
    <row r="24" spans="1:8" s="822" customFormat="1" ht="15">
      <c r="A24" s="1431" t="s">
        <v>793</v>
      </c>
      <c r="B24" s="822" t="s">
        <v>743</v>
      </c>
      <c r="C24" s="1429">
        <v>1352433</v>
      </c>
      <c r="D24" s="1430">
        <f>'1.Onbe'!M71</f>
        <v>1087312</v>
      </c>
      <c r="E24" s="821" t="s">
        <v>792</v>
      </c>
      <c r="F24" s="822" t="s">
        <v>744</v>
      </c>
      <c r="G24" s="1429">
        <v>1747993</v>
      </c>
      <c r="H24" s="1429">
        <f>'2.Onki'!M38</f>
        <v>1740134</v>
      </c>
    </row>
    <row r="25" spans="1:8" s="822" customFormat="1" ht="15">
      <c r="A25" s="1431" t="s">
        <v>680</v>
      </c>
      <c r="B25" s="822" t="s">
        <v>738</v>
      </c>
      <c r="C25" s="1429">
        <v>0</v>
      </c>
      <c r="D25" s="1430">
        <v>0</v>
      </c>
      <c r="E25" s="821" t="s">
        <v>793</v>
      </c>
      <c r="F25" s="822" t="s">
        <v>739</v>
      </c>
      <c r="G25" s="1429">
        <v>0</v>
      </c>
      <c r="H25" s="1429">
        <v>0</v>
      </c>
    </row>
    <row r="26" spans="1:8" s="822" customFormat="1" ht="15">
      <c r="A26" s="1431" t="s">
        <v>682</v>
      </c>
      <c r="B26" s="822" t="s">
        <v>740</v>
      </c>
      <c r="C26" s="1429">
        <v>0</v>
      </c>
      <c r="D26" s="1430">
        <v>0</v>
      </c>
      <c r="E26" s="821"/>
      <c r="G26" s="1429"/>
      <c r="H26" s="1429"/>
    </row>
    <row r="27" spans="1:8" s="1436" customFormat="1" ht="15.75" thickBot="1">
      <c r="A27" s="1432"/>
      <c r="B27" s="1433" t="s">
        <v>745</v>
      </c>
      <c r="C27" s="1434">
        <f>SUM(C21:C26)</f>
        <v>1352433</v>
      </c>
      <c r="D27" s="1435">
        <f>SUM(D21:D26)</f>
        <v>2154338</v>
      </c>
      <c r="E27" s="823"/>
      <c r="F27" s="1433" t="s">
        <v>746</v>
      </c>
      <c r="G27" s="1434">
        <f>SUM(G20:G25)</f>
        <v>1747993</v>
      </c>
      <c r="H27" s="1434">
        <f>SUM(H20:H25)</f>
        <v>1740134</v>
      </c>
    </row>
    <row r="28" spans="1:8" s="822" customFormat="1" ht="30" customHeight="1" thickBot="1" thickTop="1">
      <c r="A28" s="1437"/>
      <c r="B28" s="1433" t="s">
        <v>747</v>
      </c>
      <c r="C28" s="1419">
        <f>SUM(C24:C25,C21:C21,C18,C12)</f>
        <v>18056073</v>
      </c>
      <c r="D28" s="1419">
        <f>SUM(D24:D25,D21:D21,D18,D12)+D22</f>
        <v>20710883</v>
      </c>
      <c r="E28" s="1438"/>
      <c r="F28" s="1433" t="s">
        <v>748</v>
      </c>
      <c r="G28" s="1419">
        <f>SUM(G24:G25,G18,G21:G21,G12)</f>
        <v>18056073</v>
      </c>
      <c r="H28" s="1419">
        <f>SUM(H24:H25,H18,H21:H21,H12)</f>
        <v>20710883</v>
      </c>
    </row>
    <row r="29" spans="1:8" s="822" customFormat="1" ht="15.75" thickTop="1">
      <c r="A29" s="1439"/>
      <c r="B29" s="824" t="s">
        <v>384</v>
      </c>
      <c r="C29" s="1440">
        <f>C19-G19</f>
        <v>395560</v>
      </c>
      <c r="D29" s="1440">
        <f>D19-H19</f>
        <v>-414204</v>
      </c>
      <c r="E29" s="1441"/>
      <c r="F29" s="825"/>
      <c r="G29" s="1442"/>
      <c r="H29" s="1429"/>
    </row>
    <row r="30" spans="1:8" s="822" customFormat="1" ht="15">
      <c r="A30" s="1443"/>
      <c r="B30" s="825" t="s">
        <v>749</v>
      </c>
      <c r="C30" s="1444">
        <f>C29-G27</f>
        <v>-1352433</v>
      </c>
      <c r="D30" s="1444">
        <f>D29-H27</f>
        <v>-2154338</v>
      </c>
      <c r="E30" s="1441"/>
      <c r="F30" s="825"/>
      <c r="G30" s="1442"/>
      <c r="H30" s="1429"/>
    </row>
    <row r="31" spans="1:8" ht="19.5" customHeight="1">
      <c r="A31" s="1445"/>
      <c r="B31" s="1446" t="s">
        <v>750</v>
      </c>
      <c r="C31" s="1447">
        <v>0.629</v>
      </c>
      <c r="D31" s="1448">
        <f>D12/D19</f>
        <v>0.6171133688949101</v>
      </c>
      <c r="E31" s="1449"/>
      <c r="F31" s="1446" t="s">
        <v>751</v>
      </c>
      <c r="G31" s="1447">
        <v>0.638</v>
      </c>
      <c r="H31" s="1447">
        <f>H12/H19</f>
        <v>0.6132466356494412</v>
      </c>
    </row>
    <row r="32" spans="1:8" ht="19.5" customHeight="1">
      <c r="A32" s="1450"/>
      <c r="B32" s="1451" t="s">
        <v>752</v>
      </c>
      <c r="C32" s="1452">
        <v>0.371</v>
      </c>
      <c r="D32" s="1453">
        <f>D18/D19</f>
        <v>0.38288663110508986</v>
      </c>
      <c r="E32" s="1454"/>
      <c r="F32" s="1451" t="s">
        <v>753</v>
      </c>
      <c r="G32" s="1452">
        <v>0.362</v>
      </c>
      <c r="H32" s="1452">
        <f>H18/H19</f>
        <v>0.38675336435055885</v>
      </c>
    </row>
    <row r="33" ht="15">
      <c r="F33" s="817" t="s">
        <v>754</v>
      </c>
    </row>
    <row r="34" ht="15">
      <c r="C34" s="399" t="s">
        <v>754</v>
      </c>
    </row>
  </sheetData>
  <sheetProtection/>
  <mergeCells count="4">
    <mergeCell ref="A1:B1"/>
    <mergeCell ref="A2:H2"/>
    <mergeCell ref="A3:H3"/>
    <mergeCell ref="G4:H4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zoomScaleSheetLayoutView="100" zoomScalePageLayoutView="0" workbookViewId="0" topLeftCell="A1">
      <selection activeCell="C2" sqref="C2:H2"/>
    </sheetView>
  </sheetViews>
  <sheetFormatPr defaultColWidth="31.25390625" defaultRowHeight="12.75"/>
  <cols>
    <col min="1" max="1" width="3.25390625" style="1588" bestFit="1" customWidth="1"/>
    <col min="2" max="2" width="3.25390625" style="1588" customWidth="1"/>
    <col min="3" max="3" width="50.75390625" style="1145" customWidth="1"/>
    <col min="4" max="5" width="14.75390625" style="1111" customWidth="1"/>
    <col min="6" max="6" width="9.75390625" style="1111" bestFit="1" customWidth="1"/>
    <col min="7" max="7" width="14.75390625" style="1111" customWidth="1"/>
    <col min="8" max="8" width="26.75390625" style="1112" customWidth="1"/>
    <col min="9" max="9" width="12.125" style="6" customWidth="1"/>
    <col min="10" max="10" width="12.875" style="6" customWidth="1"/>
    <col min="11" max="16384" width="31.25390625" style="6" customWidth="1"/>
  </cols>
  <sheetData>
    <row r="1" spans="1:8" s="241" customFormat="1" ht="25.5" customHeight="1">
      <c r="A1" s="245"/>
      <c r="B1" s="245"/>
      <c r="C1" s="1755" t="s">
        <v>573</v>
      </c>
      <c r="D1" s="1755"/>
      <c r="E1" s="1755"/>
      <c r="F1" s="1262"/>
      <c r="G1" s="1263"/>
      <c r="H1" s="1264"/>
    </row>
    <row r="2" spans="3:8" ht="36" customHeight="1">
      <c r="C2" s="1627" t="s">
        <v>945</v>
      </c>
      <c r="D2" s="1627"/>
      <c r="E2" s="1627"/>
      <c r="F2" s="1627"/>
      <c r="G2" s="1627"/>
      <c r="H2" s="1627"/>
    </row>
    <row r="3" spans="3:8" ht="36" customHeight="1">
      <c r="C3" s="1627" t="s">
        <v>946</v>
      </c>
      <c r="D3" s="1627"/>
      <c r="E3" s="1627"/>
      <c r="F3" s="1627"/>
      <c r="G3" s="1627"/>
      <c r="H3" s="1627"/>
    </row>
    <row r="4" spans="2:8" ht="25.5" customHeight="1" thickBot="1">
      <c r="B4" s="1588" t="s">
        <v>146</v>
      </c>
      <c r="C4" s="1113" t="s">
        <v>147</v>
      </c>
      <c r="D4" s="1114" t="s">
        <v>148</v>
      </c>
      <c r="E4" s="1114" t="s">
        <v>149</v>
      </c>
      <c r="F4" s="1114" t="s">
        <v>150</v>
      </c>
      <c r="G4" s="1114" t="s">
        <v>151</v>
      </c>
      <c r="H4" s="1112" t="s">
        <v>152</v>
      </c>
    </row>
    <row r="5" spans="2:8" ht="66.75" thickBot="1">
      <c r="B5" s="1115" t="s">
        <v>790</v>
      </c>
      <c r="C5" s="1116" t="s">
        <v>136</v>
      </c>
      <c r="D5" s="1255" t="s">
        <v>935</v>
      </c>
      <c r="E5" s="1256" t="s">
        <v>576</v>
      </c>
      <c r="F5" s="1117" t="s">
        <v>873</v>
      </c>
      <c r="G5" s="1117" t="s">
        <v>958</v>
      </c>
      <c r="H5" s="1118" t="s">
        <v>947</v>
      </c>
    </row>
    <row r="6" spans="1:8" ht="21.75" customHeight="1" thickTop="1">
      <c r="A6" s="1588">
        <v>1</v>
      </c>
      <c r="B6" s="1119">
        <v>1</v>
      </c>
      <c r="C6" s="1120" t="s">
        <v>419</v>
      </c>
      <c r="D6" s="1121">
        <v>37</v>
      </c>
      <c r="E6" s="1257">
        <v>37</v>
      </c>
      <c r="F6" s="1121"/>
      <c r="G6" s="1121">
        <f aca="true" t="shared" si="0" ref="G6:G33">SUM(E6:F6)</f>
        <v>37</v>
      </c>
      <c r="H6" s="1122"/>
    </row>
    <row r="7" spans="1:8" ht="21.75" customHeight="1">
      <c r="A7" s="1588">
        <v>2</v>
      </c>
      <c r="B7" s="1119"/>
      <c r="C7" s="1123" t="s">
        <v>570</v>
      </c>
      <c r="D7" s="1121">
        <v>2</v>
      </c>
      <c r="E7" s="1257">
        <v>0</v>
      </c>
      <c r="F7" s="1121"/>
      <c r="G7" s="1121">
        <f t="shared" si="0"/>
        <v>0</v>
      </c>
      <c r="H7" s="1122"/>
    </row>
    <row r="8" spans="1:8" ht="21.75" customHeight="1">
      <c r="A8" s="1588">
        <v>3</v>
      </c>
      <c r="B8" s="1119">
        <v>2</v>
      </c>
      <c r="C8" s="1120" t="s">
        <v>420</v>
      </c>
      <c r="D8" s="1121">
        <v>69</v>
      </c>
      <c r="E8" s="1257">
        <v>69</v>
      </c>
      <c r="F8" s="1121"/>
      <c r="G8" s="1121">
        <f t="shared" si="0"/>
        <v>69</v>
      </c>
      <c r="H8" s="1122"/>
    </row>
    <row r="9" spans="1:8" ht="21.75" customHeight="1">
      <c r="A9" s="1588">
        <v>4</v>
      </c>
      <c r="B9" s="1119"/>
      <c r="C9" s="1123" t="s">
        <v>570</v>
      </c>
      <c r="D9" s="1121">
        <v>3</v>
      </c>
      <c r="E9" s="1257">
        <v>0</v>
      </c>
      <c r="F9" s="1121"/>
      <c r="G9" s="1121">
        <f t="shared" si="0"/>
        <v>0</v>
      </c>
      <c r="H9" s="1122"/>
    </row>
    <row r="10" spans="1:8" s="7" customFormat="1" ht="21.75" customHeight="1">
      <c r="A10" s="1588">
        <v>5</v>
      </c>
      <c r="B10" s="1119">
        <v>3</v>
      </c>
      <c r="C10" s="1120" t="s">
        <v>421</v>
      </c>
      <c r="D10" s="1121">
        <v>82.5</v>
      </c>
      <c r="E10" s="1257">
        <v>82.5</v>
      </c>
      <c r="F10" s="1121"/>
      <c r="G10" s="1121">
        <f t="shared" si="0"/>
        <v>82.5</v>
      </c>
      <c r="H10" s="1122"/>
    </row>
    <row r="11" spans="1:8" s="7" customFormat="1" ht="21.75" customHeight="1">
      <c r="A11" s="1588">
        <v>6</v>
      </c>
      <c r="B11" s="1119"/>
      <c r="C11" s="1123" t="s">
        <v>570</v>
      </c>
      <c r="D11" s="1121">
        <v>6</v>
      </c>
      <c r="E11" s="1257">
        <v>0</v>
      </c>
      <c r="F11" s="1121"/>
      <c r="G11" s="1121">
        <f t="shared" si="0"/>
        <v>0</v>
      </c>
      <c r="H11" s="1122"/>
    </row>
    <row r="12" spans="1:8" ht="21.75" customHeight="1">
      <c r="A12" s="1588">
        <v>7</v>
      </c>
      <c r="B12" s="1119">
        <v>4</v>
      </c>
      <c r="C12" s="1120" t="s">
        <v>422</v>
      </c>
      <c r="D12" s="1121">
        <v>59</v>
      </c>
      <c r="E12" s="1257">
        <v>59</v>
      </c>
      <c r="F12" s="1121"/>
      <c r="G12" s="1121">
        <f t="shared" si="0"/>
        <v>59</v>
      </c>
      <c r="H12" s="1122"/>
    </row>
    <row r="13" spans="1:8" ht="21.75" customHeight="1">
      <c r="A13" s="1588">
        <v>8</v>
      </c>
      <c r="B13" s="1119"/>
      <c r="C13" s="1123" t="s">
        <v>570</v>
      </c>
      <c r="D13" s="1121">
        <v>4</v>
      </c>
      <c r="E13" s="1257">
        <v>0</v>
      </c>
      <c r="F13" s="1121"/>
      <c r="G13" s="1121">
        <f t="shared" si="0"/>
        <v>0</v>
      </c>
      <c r="H13" s="1122"/>
    </row>
    <row r="14" spans="1:8" ht="21.75" customHeight="1">
      <c r="A14" s="1588">
        <v>9</v>
      </c>
      <c r="B14" s="1119">
        <v>5</v>
      </c>
      <c r="C14" s="1120" t="s">
        <v>425</v>
      </c>
      <c r="D14" s="1121">
        <v>60.5</v>
      </c>
      <c r="E14" s="1257">
        <v>60.5</v>
      </c>
      <c r="F14" s="1121"/>
      <c r="G14" s="1121">
        <f t="shared" si="0"/>
        <v>60.5</v>
      </c>
      <c r="H14" s="1122"/>
    </row>
    <row r="15" spans="1:8" ht="21.75" customHeight="1">
      <c r="A15" s="1588">
        <v>10</v>
      </c>
      <c r="B15" s="1119"/>
      <c r="C15" s="1123" t="s">
        <v>570</v>
      </c>
      <c r="D15" s="1121">
        <v>2</v>
      </c>
      <c r="E15" s="1257">
        <v>0</v>
      </c>
      <c r="F15" s="1121"/>
      <c r="G15" s="1121">
        <f t="shared" si="0"/>
        <v>0</v>
      </c>
      <c r="H15" s="1122"/>
    </row>
    <row r="16" spans="1:8" s="7" customFormat="1" ht="21.75" customHeight="1">
      <c r="A16" s="1588">
        <v>11</v>
      </c>
      <c r="B16" s="1119">
        <v>6</v>
      </c>
      <c r="C16" s="1120" t="s">
        <v>426</v>
      </c>
      <c r="D16" s="1121">
        <v>30</v>
      </c>
      <c r="E16" s="1257">
        <v>30</v>
      </c>
      <c r="F16" s="1121"/>
      <c r="G16" s="1121">
        <f t="shared" si="0"/>
        <v>30</v>
      </c>
      <c r="H16" s="1122"/>
    </row>
    <row r="17" spans="1:8" s="7" customFormat="1" ht="32.25" customHeight="1">
      <c r="A17" s="1588">
        <v>12</v>
      </c>
      <c r="B17" s="1119"/>
      <c r="C17" s="1123" t="s">
        <v>569</v>
      </c>
      <c r="D17" s="1121">
        <v>1</v>
      </c>
      <c r="E17" s="1257">
        <v>2</v>
      </c>
      <c r="F17" s="1121"/>
      <c r="G17" s="1121">
        <f t="shared" si="0"/>
        <v>2</v>
      </c>
      <c r="H17" s="1125"/>
    </row>
    <row r="18" spans="1:8" ht="21.75" customHeight="1">
      <c r="A18" s="1588">
        <v>13</v>
      </c>
      <c r="B18" s="1119">
        <v>7</v>
      </c>
      <c r="C18" s="1124" t="s">
        <v>834</v>
      </c>
      <c r="D18" s="1121">
        <v>59</v>
      </c>
      <c r="E18" s="1257">
        <v>46</v>
      </c>
      <c r="F18" s="1121"/>
      <c r="G18" s="1121">
        <f t="shared" si="0"/>
        <v>46</v>
      </c>
      <c r="H18" s="1125"/>
    </row>
    <row r="19" spans="1:8" ht="21.75" customHeight="1">
      <c r="A19" s="1588">
        <v>14</v>
      </c>
      <c r="B19" s="1119">
        <v>8</v>
      </c>
      <c r="C19" s="1124" t="s">
        <v>836</v>
      </c>
      <c r="D19" s="1121">
        <v>170</v>
      </c>
      <c r="E19" s="1257">
        <v>170</v>
      </c>
      <c r="F19" s="1121"/>
      <c r="G19" s="1121">
        <f t="shared" si="0"/>
        <v>170</v>
      </c>
      <c r="H19" s="1122"/>
    </row>
    <row r="20" spans="1:8" s="7" customFormat="1" ht="21.75" customHeight="1">
      <c r="A20" s="1588">
        <v>15</v>
      </c>
      <c r="B20" s="1119"/>
      <c r="C20" s="1123" t="s">
        <v>570</v>
      </c>
      <c r="D20" s="1121">
        <v>5</v>
      </c>
      <c r="E20" s="1257">
        <v>0</v>
      </c>
      <c r="F20" s="1121"/>
      <c r="G20" s="1121">
        <f t="shared" si="0"/>
        <v>0</v>
      </c>
      <c r="H20" s="1122"/>
    </row>
    <row r="21" spans="1:8" ht="36" customHeight="1">
      <c r="A21" s="1588">
        <v>16</v>
      </c>
      <c r="B21" s="1119">
        <v>9</v>
      </c>
      <c r="C21" s="1124" t="s">
        <v>854</v>
      </c>
      <c r="D21" s="1121">
        <v>12.25</v>
      </c>
      <c r="E21" s="1257">
        <v>12.25</v>
      </c>
      <c r="F21" s="1121"/>
      <c r="G21" s="1121">
        <f t="shared" si="0"/>
        <v>12.25</v>
      </c>
      <c r="H21" s="1122"/>
    </row>
    <row r="22" spans="1:8" ht="29.25" customHeight="1">
      <c r="A22" s="1588">
        <v>17</v>
      </c>
      <c r="B22" s="1119"/>
      <c r="C22" s="1123" t="s">
        <v>1037</v>
      </c>
      <c r="D22" s="1121"/>
      <c r="E22" s="1257">
        <v>1</v>
      </c>
      <c r="F22" s="1121"/>
      <c r="G22" s="1121">
        <f t="shared" si="0"/>
        <v>1</v>
      </c>
      <c r="H22" s="1122"/>
    </row>
    <row r="23" spans="1:8" ht="21.75" customHeight="1">
      <c r="A23" s="1588">
        <v>18</v>
      </c>
      <c r="B23" s="1119">
        <v>10</v>
      </c>
      <c r="C23" s="1124" t="s">
        <v>948</v>
      </c>
      <c r="D23" s="1121">
        <v>24.25</v>
      </c>
      <c r="E23" s="1257">
        <v>24.25</v>
      </c>
      <c r="F23" s="1121"/>
      <c r="G23" s="1121">
        <f t="shared" si="0"/>
        <v>24.25</v>
      </c>
      <c r="H23" s="1122"/>
    </row>
    <row r="24" spans="1:8" ht="21.75" customHeight="1">
      <c r="A24" s="1588">
        <v>19</v>
      </c>
      <c r="B24" s="1119">
        <v>11</v>
      </c>
      <c r="C24" s="1124" t="s">
        <v>182</v>
      </c>
      <c r="D24" s="1121">
        <v>20</v>
      </c>
      <c r="E24" s="1257">
        <v>20</v>
      </c>
      <c r="F24" s="1121"/>
      <c r="G24" s="1121">
        <f t="shared" si="0"/>
        <v>20</v>
      </c>
      <c r="H24" s="1122"/>
    </row>
    <row r="25" spans="1:8" ht="21.75" customHeight="1">
      <c r="A25" s="1588">
        <v>20</v>
      </c>
      <c r="B25" s="1119">
        <v>12</v>
      </c>
      <c r="C25" s="1124" t="s">
        <v>852</v>
      </c>
      <c r="D25" s="1121">
        <v>50</v>
      </c>
      <c r="E25" s="1257">
        <v>50</v>
      </c>
      <c r="F25" s="1121"/>
      <c r="G25" s="1121">
        <f t="shared" si="0"/>
        <v>50</v>
      </c>
      <c r="H25" s="1122"/>
    </row>
    <row r="26" spans="1:8" ht="21.75" customHeight="1">
      <c r="A26" s="1588">
        <v>21</v>
      </c>
      <c r="B26" s="1119"/>
      <c r="C26" s="1123" t="s">
        <v>1037</v>
      </c>
      <c r="D26" s="1121">
        <v>9</v>
      </c>
      <c r="E26" s="1257">
        <v>6</v>
      </c>
      <c r="F26" s="1121"/>
      <c r="G26" s="1121">
        <f t="shared" si="0"/>
        <v>6</v>
      </c>
      <c r="H26" s="1122"/>
    </row>
    <row r="27" spans="1:8" ht="21.75" customHeight="1">
      <c r="A27" s="1588">
        <v>22</v>
      </c>
      <c r="B27" s="1119">
        <v>13</v>
      </c>
      <c r="C27" s="1124" t="s">
        <v>853</v>
      </c>
      <c r="D27" s="1121">
        <v>47.6</v>
      </c>
      <c r="E27" s="1257">
        <v>50.85</v>
      </c>
      <c r="F27" s="1121"/>
      <c r="G27" s="1121">
        <f t="shared" si="0"/>
        <v>50.85</v>
      </c>
      <c r="H27" s="1122"/>
    </row>
    <row r="28" spans="1:8" ht="17.25">
      <c r="A28" s="1588">
        <v>23</v>
      </c>
      <c r="B28" s="1119"/>
      <c r="C28" s="1123" t="s">
        <v>1037</v>
      </c>
      <c r="D28" s="1121">
        <v>29.67</v>
      </c>
      <c r="E28" s="1257">
        <v>27.5</v>
      </c>
      <c r="F28" s="1121"/>
      <c r="G28" s="1121">
        <f t="shared" si="0"/>
        <v>27.5</v>
      </c>
      <c r="H28" s="1125"/>
    </row>
    <row r="29" spans="1:8" ht="36" customHeight="1">
      <c r="A29" s="1588">
        <v>24</v>
      </c>
      <c r="B29" s="1119">
        <v>14</v>
      </c>
      <c r="C29" s="1124" t="s">
        <v>183</v>
      </c>
      <c r="D29" s="1121">
        <v>20</v>
      </c>
      <c r="E29" s="1257">
        <v>20</v>
      </c>
      <c r="F29" s="1121"/>
      <c r="G29" s="1121">
        <f t="shared" si="0"/>
        <v>20</v>
      </c>
      <c r="H29" s="1125"/>
    </row>
    <row r="30" spans="1:8" ht="28.5" customHeight="1">
      <c r="A30" s="1588">
        <v>25</v>
      </c>
      <c r="B30" s="1119"/>
      <c r="C30" s="1123" t="s">
        <v>570</v>
      </c>
      <c r="D30" s="1121">
        <v>3</v>
      </c>
      <c r="E30" s="1257">
        <v>0</v>
      </c>
      <c r="F30" s="1121">
        <v>2</v>
      </c>
      <c r="G30" s="1121">
        <f t="shared" si="0"/>
        <v>2</v>
      </c>
      <c r="H30" s="1125" t="s">
        <v>1160</v>
      </c>
    </row>
    <row r="31" spans="1:8" ht="21.75" customHeight="1">
      <c r="A31" s="1588">
        <v>26</v>
      </c>
      <c r="B31" s="1119">
        <v>15</v>
      </c>
      <c r="C31" s="1124" t="s">
        <v>874</v>
      </c>
      <c r="D31" s="1121">
        <v>102</v>
      </c>
      <c r="E31" s="1257">
        <v>102</v>
      </c>
      <c r="F31" s="1121"/>
      <c r="G31" s="1121">
        <f t="shared" si="0"/>
        <v>102</v>
      </c>
      <c r="H31" s="1122"/>
    </row>
    <row r="32" spans="1:8" ht="21.75" customHeight="1">
      <c r="A32" s="1588">
        <v>27</v>
      </c>
      <c r="B32" s="1119"/>
      <c r="C32" s="1123" t="s">
        <v>570</v>
      </c>
      <c r="D32" s="1121">
        <v>3</v>
      </c>
      <c r="E32" s="1257">
        <v>3</v>
      </c>
      <c r="F32" s="1121"/>
      <c r="G32" s="1121">
        <f t="shared" si="0"/>
        <v>3</v>
      </c>
      <c r="H32" s="1122"/>
    </row>
    <row r="33" spans="1:8" ht="21.75" customHeight="1" thickBot="1">
      <c r="A33" s="1588">
        <v>28</v>
      </c>
      <c r="B33" s="1126">
        <v>16</v>
      </c>
      <c r="C33" s="1127" t="s">
        <v>851</v>
      </c>
      <c r="D33" s="1128">
        <v>134</v>
      </c>
      <c r="E33" s="1258">
        <v>134</v>
      </c>
      <c r="F33" s="1128"/>
      <c r="G33" s="1128">
        <f t="shared" si="0"/>
        <v>134</v>
      </c>
      <c r="H33" s="1129"/>
    </row>
    <row r="34" spans="1:8" ht="30" customHeight="1" thickBot="1" thickTop="1">
      <c r="A34" s="1588">
        <v>29</v>
      </c>
      <c r="B34" s="1130"/>
      <c r="C34" s="1131" t="s">
        <v>868</v>
      </c>
      <c r="D34" s="1132">
        <f>SUM(D6:D33)</f>
        <v>1044.77</v>
      </c>
      <c r="E34" s="1259">
        <f>SUM(E6:E33)</f>
        <v>1006.85</v>
      </c>
      <c r="F34" s="1132">
        <f>SUM(F6:F33)</f>
        <v>2</v>
      </c>
      <c r="G34" s="1132">
        <f>SUM(G6:G33)</f>
        <v>1008.85</v>
      </c>
      <c r="H34" s="1133"/>
    </row>
    <row r="35" spans="1:8" ht="21.75" customHeight="1">
      <c r="A35" s="1588">
        <v>30</v>
      </c>
      <c r="B35" s="1119">
        <v>17</v>
      </c>
      <c r="C35" s="1124" t="s">
        <v>365</v>
      </c>
      <c r="D35" s="1121">
        <v>201</v>
      </c>
      <c r="E35" s="1257">
        <v>201</v>
      </c>
      <c r="F35" s="1121">
        <v>-4</v>
      </c>
      <c r="G35" s="1121">
        <f>SUM(E35:F35)</f>
        <v>197</v>
      </c>
      <c r="H35" s="1122" t="s">
        <v>1155</v>
      </c>
    </row>
    <row r="36" spans="1:8" ht="16.5">
      <c r="A36" s="1588">
        <v>31</v>
      </c>
      <c r="B36" s="1119">
        <v>18</v>
      </c>
      <c r="C36" s="1124" t="s">
        <v>913</v>
      </c>
      <c r="D36" s="209"/>
      <c r="E36" s="1260"/>
      <c r="F36" s="209"/>
      <c r="G36" s="1121"/>
      <c r="H36" s="1125"/>
    </row>
    <row r="37" spans="1:8" ht="28.5">
      <c r="A37" s="1588">
        <v>32</v>
      </c>
      <c r="B37" s="1119"/>
      <c r="C37" s="1123" t="s">
        <v>571</v>
      </c>
      <c r="D37" s="1134">
        <v>8.67</v>
      </c>
      <c r="E37" s="1261">
        <v>11.85</v>
      </c>
      <c r="F37" s="1121">
        <v>0.15</v>
      </c>
      <c r="G37" s="1121">
        <f>SUM(E37:F37)</f>
        <v>12</v>
      </c>
      <c r="H37" s="1125" t="s">
        <v>1233</v>
      </c>
    </row>
    <row r="38" spans="1:8" ht="18" thickBot="1">
      <c r="A38" s="1588">
        <v>33</v>
      </c>
      <c r="B38" s="1126"/>
      <c r="C38" s="1135" t="s">
        <v>570</v>
      </c>
      <c r="D38" s="1128">
        <v>166</v>
      </c>
      <c r="E38" s="1258">
        <v>0</v>
      </c>
      <c r="F38" s="1128"/>
      <c r="G38" s="1128">
        <f>SUM(E38:F38)</f>
        <v>0</v>
      </c>
      <c r="H38" s="1136"/>
    </row>
    <row r="39" spans="1:8" ht="30" customHeight="1" thickBot="1" thickTop="1">
      <c r="A39" s="1588">
        <v>34</v>
      </c>
      <c r="B39" s="1130"/>
      <c r="C39" s="1131" t="s">
        <v>431</v>
      </c>
      <c r="D39" s="1132">
        <f>SUM(D34:D38)</f>
        <v>1420.44</v>
      </c>
      <c r="E39" s="1259">
        <f>SUM(E34:E38)</f>
        <v>1219.6999999999998</v>
      </c>
      <c r="F39" s="1132">
        <f>SUM(F34:F38)</f>
        <v>-1.85</v>
      </c>
      <c r="G39" s="1132">
        <f>SUM(G34:G38)</f>
        <v>1217.85</v>
      </c>
      <c r="H39" s="1133"/>
    </row>
    <row r="43" spans="3:8" ht="16.5">
      <c r="C43" s="1137"/>
      <c r="D43" s="1121"/>
      <c r="E43" s="1121"/>
      <c r="F43" s="1121"/>
      <c r="G43" s="1121"/>
      <c r="H43" s="1138"/>
    </row>
    <row r="44" spans="3:8" ht="16.5">
      <c r="C44" s="1139"/>
      <c r="D44" s="1140"/>
      <c r="E44" s="1140"/>
      <c r="F44" s="1140"/>
      <c r="G44" s="1140"/>
      <c r="H44" s="1138"/>
    </row>
    <row r="45" spans="3:8" ht="16.5">
      <c r="C45" s="1139"/>
      <c r="D45" s="1140"/>
      <c r="E45" s="1140"/>
      <c r="F45" s="1140"/>
      <c r="G45" s="1140"/>
      <c r="H45" s="1138"/>
    </row>
    <row r="46" spans="3:8" ht="16.5">
      <c r="C46" s="1139"/>
      <c r="D46" s="1140"/>
      <c r="E46" s="1140"/>
      <c r="F46" s="1140"/>
      <c r="G46" s="1140"/>
      <c r="H46" s="1138"/>
    </row>
    <row r="47" spans="3:8" ht="16.5">
      <c r="C47" s="1137"/>
      <c r="D47" s="1121"/>
      <c r="E47" s="1121"/>
      <c r="F47" s="1121"/>
      <c r="G47" s="1121"/>
      <c r="H47" s="1138"/>
    </row>
    <row r="48" spans="3:8" ht="16.5">
      <c r="C48" s="1137"/>
      <c r="D48" s="1121"/>
      <c r="E48" s="1121"/>
      <c r="F48" s="1121"/>
      <c r="G48" s="1121"/>
      <c r="H48" s="1138"/>
    </row>
    <row r="49" spans="3:8" ht="16.5">
      <c r="C49" s="1137"/>
      <c r="D49" s="1121"/>
      <c r="E49" s="1121"/>
      <c r="F49" s="1121"/>
      <c r="G49" s="1121"/>
      <c r="H49" s="1138"/>
    </row>
    <row r="52" spans="1:8" s="7" customFormat="1" ht="17.25">
      <c r="A52" s="1587"/>
      <c r="B52" s="1587"/>
      <c r="C52" s="1141"/>
      <c r="D52" s="1142"/>
      <c r="E52" s="1142"/>
      <c r="F52" s="1142"/>
      <c r="G52" s="1142"/>
      <c r="H52" s="1143"/>
    </row>
    <row r="54" spans="1:8" s="7" customFormat="1" ht="17.25">
      <c r="A54" s="1587"/>
      <c r="B54" s="1587"/>
      <c r="C54" s="1141"/>
      <c r="D54" s="1142"/>
      <c r="E54" s="1142"/>
      <c r="F54" s="1142"/>
      <c r="G54" s="1142"/>
      <c r="H54" s="1143"/>
    </row>
    <row r="57" spans="1:8" s="7" customFormat="1" ht="17.25">
      <c r="A57" s="1587"/>
      <c r="B57" s="1587"/>
      <c r="C57" s="1141"/>
      <c r="D57" s="1142"/>
      <c r="E57" s="1142"/>
      <c r="F57" s="1142"/>
      <c r="G57" s="1142"/>
      <c r="H57" s="1143"/>
    </row>
    <row r="75" spans="1:8" s="7" customFormat="1" ht="17.25">
      <c r="A75" s="1587"/>
      <c r="B75" s="1587"/>
      <c r="C75" s="1141"/>
      <c r="D75" s="1142"/>
      <c r="E75" s="1142"/>
      <c r="F75" s="1142"/>
      <c r="G75" s="1142"/>
      <c r="H75" s="1143"/>
    </row>
    <row r="84" spans="4:5" ht="16.5">
      <c r="D84" s="1144"/>
      <c r="E84" s="1144"/>
    </row>
    <row r="85" spans="4:5" ht="16.5">
      <c r="D85" s="1144"/>
      <c r="E85" s="1144"/>
    </row>
    <row r="86" spans="4:5" ht="16.5">
      <c r="D86" s="1144"/>
      <c r="E86" s="1144"/>
    </row>
    <row r="87" spans="4:5" ht="16.5">
      <c r="D87" s="1144"/>
      <c r="E87" s="1144"/>
    </row>
    <row r="88" spans="4:5" ht="16.5">
      <c r="D88" s="1144"/>
      <c r="E88" s="1144"/>
    </row>
    <row r="89" spans="4:5" ht="16.5">
      <c r="D89" s="1144"/>
      <c r="E89" s="1144"/>
    </row>
    <row r="90" spans="4:5" ht="16.5">
      <c r="D90" s="1144"/>
      <c r="E90" s="1144"/>
    </row>
    <row r="91" spans="4:5" ht="16.5">
      <c r="D91" s="1144"/>
      <c r="E91" s="1144"/>
    </row>
  </sheetData>
  <sheetProtection/>
  <mergeCells count="3">
    <mergeCell ref="C1:E1"/>
    <mergeCell ref="C2:H2"/>
    <mergeCell ref="C3:H3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:E1"/>
    </sheetView>
  </sheetViews>
  <sheetFormatPr defaultColWidth="9.25390625" defaultRowHeight="12.75"/>
  <cols>
    <col min="1" max="1" width="4.00390625" style="1594" bestFit="1" customWidth="1"/>
    <col min="2" max="2" width="40.75390625" style="1623" customWidth="1"/>
    <col min="3" max="3" width="14.25390625" style="1594" bestFit="1" customWidth="1"/>
    <col min="4" max="4" width="13.625" style="1594" bestFit="1" customWidth="1"/>
    <col min="5" max="5" width="16.75390625" style="1594" bestFit="1" customWidth="1"/>
    <col min="6" max="6" width="10.75390625" style="1594" customWidth="1"/>
    <col min="7" max="7" width="11.375" style="1594" bestFit="1" customWidth="1"/>
    <col min="8" max="9" width="15.75390625" style="1594" customWidth="1"/>
    <col min="10" max="10" width="11.25390625" style="1594" bestFit="1" customWidth="1"/>
    <col min="11" max="11" width="9.125" style="1594" bestFit="1" customWidth="1"/>
    <col min="12" max="12" width="9.875" style="1594" bestFit="1" customWidth="1"/>
    <col min="13" max="13" width="15.75390625" style="1594" customWidth="1"/>
    <col min="14" max="17" width="12.375" style="1594" customWidth="1"/>
    <col min="18" max="20" width="15.75390625" style="1594" customWidth="1"/>
    <col min="21" max="16384" width="9.25390625" style="1595" customWidth="1"/>
  </cols>
  <sheetData>
    <row r="1" spans="1:5" ht="15">
      <c r="A1" s="1758" t="s">
        <v>1286</v>
      </c>
      <c r="B1" s="1758"/>
      <c r="C1" s="1758"/>
      <c r="D1" s="1758"/>
      <c r="E1" s="1758"/>
    </row>
    <row r="2" spans="1:20" s="1596" customFormat="1" ht="25.5" customHeight="1">
      <c r="A2" s="1759" t="s">
        <v>945</v>
      </c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</row>
    <row r="3" spans="1:20" s="1596" customFormat="1" ht="25.5" customHeight="1">
      <c r="A3" s="1760" t="s">
        <v>460</v>
      </c>
      <c r="B3" s="1760"/>
      <c r="C3" s="1760"/>
      <c r="D3" s="1760"/>
      <c r="E3" s="1760"/>
      <c r="F3" s="1760"/>
      <c r="G3" s="1760"/>
      <c r="H3" s="1760"/>
      <c r="I3" s="1760"/>
      <c r="J3" s="1760"/>
      <c r="K3" s="1760"/>
      <c r="L3" s="1760"/>
      <c r="M3" s="1760"/>
      <c r="N3" s="1760"/>
      <c r="O3" s="1760"/>
      <c r="P3" s="1760"/>
      <c r="Q3" s="1760"/>
      <c r="R3" s="1760"/>
      <c r="S3" s="1760"/>
      <c r="T3" s="1760"/>
    </row>
    <row r="4" spans="1:20" s="1596" customFormat="1" ht="25.5" customHeight="1">
      <c r="A4" s="1760" t="s">
        <v>1234</v>
      </c>
      <c r="B4" s="1760"/>
      <c r="C4" s="1760"/>
      <c r="D4" s="1760"/>
      <c r="E4" s="1760"/>
      <c r="F4" s="1760"/>
      <c r="G4" s="1760"/>
      <c r="H4" s="1760"/>
      <c r="I4" s="1760"/>
      <c r="J4" s="1760"/>
      <c r="K4" s="1760"/>
      <c r="L4" s="1760"/>
      <c r="M4" s="1760"/>
      <c r="N4" s="1760"/>
      <c r="O4" s="1760"/>
      <c r="P4" s="1760"/>
      <c r="Q4" s="1760"/>
      <c r="R4" s="1760"/>
      <c r="S4" s="1760"/>
      <c r="T4" s="1760"/>
    </row>
    <row r="5" spans="1:20" ht="17.25">
      <c r="A5" s="1597"/>
      <c r="B5" s="1597"/>
      <c r="C5" s="1597"/>
      <c r="D5" s="1597"/>
      <c r="E5" s="1597"/>
      <c r="F5" s="1597"/>
      <c r="G5" s="1597"/>
      <c r="H5" s="1597"/>
      <c r="I5" s="1597"/>
      <c r="J5" s="1597"/>
      <c r="K5" s="1597"/>
      <c r="L5" s="1597"/>
      <c r="M5" s="1597"/>
      <c r="N5" s="1597"/>
      <c r="O5" s="1597"/>
      <c r="P5" s="1597"/>
      <c r="Q5" s="1597"/>
      <c r="R5" s="1597"/>
      <c r="S5" s="1761" t="s">
        <v>135</v>
      </c>
      <c r="T5" s="1761"/>
    </row>
    <row r="6" spans="1:20" s="1599" customFormat="1" ht="15">
      <c r="A6" s="1762" t="s">
        <v>146</v>
      </c>
      <c r="B6" s="1762"/>
      <c r="C6" s="1598" t="s">
        <v>147</v>
      </c>
      <c r="D6" s="1598" t="s">
        <v>148</v>
      </c>
      <c r="E6" s="1598" t="s">
        <v>149</v>
      </c>
      <c r="F6" s="1598" t="s">
        <v>150</v>
      </c>
      <c r="G6" s="1598" t="s">
        <v>151</v>
      </c>
      <c r="H6" s="1598" t="s">
        <v>152</v>
      </c>
      <c r="I6" s="1598" t="s">
        <v>911</v>
      </c>
      <c r="J6" s="1598" t="s">
        <v>912</v>
      </c>
      <c r="K6" s="1598" t="s">
        <v>858</v>
      </c>
      <c r="L6" s="1598" t="s">
        <v>859</v>
      </c>
      <c r="M6" s="1598" t="s">
        <v>860</v>
      </c>
      <c r="N6" s="1598" t="s">
        <v>861</v>
      </c>
      <c r="O6" s="1598" t="s">
        <v>862</v>
      </c>
      <c r="P6" s="1598" t="s">
        <v>875</v>
      </c>
      <c r="Q6" s="1598" t="s">
        <v>209</v>
      </c>
      <c r="R6" s="1598" t="s">
        <v>1235</v>
      </c>
      <c r="S6" s="1598" t="s">
        <v>1236</v>
      </c>
      <c r="T6" s="1598" t="s">
        <v>1237</v>
      </c>
    </row>
    <row r="7" spans="1:20" s="1601" customFormat="1" ht="45.75" thickBot="1">
      <c r="A7" s="1756" t="s">
        <v>1238</v>
      </c>
      <c r="B7" s="1756"/>
      <c r="C7" s="1600" t="s">
        <v>1239</v>
      </c>
      <c r="D7" s="1600" t="s">
        <v>1240</v>
      </c>
      <c r="E7" s="1600" t="s">
        <v>1241</v>
      </c>
      <c r="F7" s="1600" t="s">
        <v>1242</v>
      </c>
      <c r="G7" s="1600" t="s">
        <v>1243</v>
      </c>
      <c r="H7" s="1600" t="s">
        <v>1244</v>
      </c>
      <c r="I7" s="1600" t="s">
        <v>1245</v>
      </c>
      <c r="J7" s="1600" t="s">
        <v>1246</v>
      </c>
      <c r="K7" s="1600" t="s">
        <v>1247</v>
      </c>
      <c r="L7" s="1600" t="s">
        <v>1248</v>
      </c>
      <c r="M7" s="1600" t="s">
        <v>1249</v>
      </c>
      <c r="N7" s="1600" t="s">
        <v>1250</v>
      </c>
      <c r="O7" s="1600" t="s">
        <v>1251</v>
      </c>
      <c r="P7" s="1600" t="s">
        <v>1252</v>
      </c>
      <c r="Q7" s="1600" t="s">
        <v>1253</v>
      </c>
      <c r="R7" s="1600" t="s">
        <v>1254</v>
      </c>
      <c r="S7" s="1600" t="s">
        <v>1255</v>
      </c>
      <c r="T7" s="1600" t="s">
        <v>1256</v>
      </c>
    </row>
    <row r="8" spans="1:20" ht="36" customHeight="1" thickTop="1">
      <c r="A8" s="1602">
        <v>1</v>
      </c>
      <c r="B8" s="1603" t="s">
        <v>1257</v>
      </c>
      <c r="C8" s="1602" t="s">
        <v>1258</v>
      </c>
      <c r="D8" s="1604">
        <v>41641</v>
      </c>
      <c r="E8" s="1604">
        <v>41993</v>
      </c>
      <c r="F8" s="1605"/>
      <c r="G8" s="1605">
        <v>0</v>
      </c>
      <c r="H8" s="1605"/>
      <c r="I8" s="1605"/>
      <c r="J8" s="1605"/>
      <c r="K8" s="1605"/>
      <c r="L8" s="1605">
        <v>0</v>
      </c>
      <c r="M8" s="1605">
        <f>989+6078</f>
        <v>7067</v>
      </c>
      <c r="N8" s="1605"/>
      <c r="O8" s="1605"/>
      <c r="P8" s="1605"/>
      <c r="Q8" s="1605"/>
      <c r="R8" s="1605"/>
      <c r="S8" s="1605"/>
      <c r="T8" s="1605"/>
    </row>
    <row r="9" spans="1:20" ht="36" customHeight="1">
      <c r="A9" s="1606">
        <v>2</v>
      </c>
      <c r="B9" s="1607" t="s">
        <v>1259</v>
      </c>
      <c r="C9" s="1606" t="s">
        <v>1258</v>
      </c>
      <c r="D9" s="1608">
        <v>38635</v>
      </c>
      <c r="E9" s="1608">
        <v>42252</v>
      </c>
      <c r="F9" s="1609">
        <v>164511</v>
      </c>
      <c r="G9" s="1609">
        <v>31988</v>
      </c>
      <c r="H9" s="1609">
        <v>31988</v>
      </c>
      <c r="I9" s="1609"/>
      <c r="J9" s="1609"/>
      <c r="K9" s="1609"/>
      <c r="L9" s="1609">
        <v>0</v>
      </c>
      <c r="M9" s="1609">
        <v>115</v>
      </c>
      <c r="N9" s="1609"/>
      <c r="O9" s="1609"/>
      <c r="P9" s="1609"/>
      <c r="Q9" s="1609"/>
      <c r="R9" s="1609"/>
      <c r="S9" s="1609"/>
      <c r="T9" s="1609"/>
    </row>
    <row r="10" spans="1:20" ht="36" customHeight="1">
      <c r="A10" s="1606">
        <v>3</v>
      </c>
      <c r="B10" s="1607" t="s">
        <v>1260</v>
      </c>
      <c r="C10" s="1606" t="s">
        <v>1261</v>
      </c>
      <c r="D10" s="1608">
        <v>38952</v>
      </c>
      <c r="E10" s="1608">
        <v>42545</v>
      </c>
      <c r="F10" s="1609">
        <v>201998</v>
      </c>
      <c r="G10" s="1609">
        <v>1264</v>
      </c>
      <c r="H10" s="1609">
        <v>1264</v>
      </c>
      <c r="I10" s="1609"/>
      <c r="J10" s="1609"/>
      <c r="K10" s="1609"/>
      <c r="L10" s="1609">
        <v>0</v>
      </c>
      <c r="M10" s="1609">
        <v>6</v>
      </c>
      <c r="N10" s="1609"/>
      <c r="O10" s="1609"/>
      <c r="P10" s="1609"/>
      <c r="Q10" s="1609"/>
      <c r="R10" s="1609"/>
      <c r="S10" s="1609"/>
      <c r="T10" s="1609"/>
    </row>
    <row r="11" spans="1:20" ht="36" customHeight="1">
      <c r="A11" s="1606">
        <v>4</v>
      </c>
      <c r="B11" s="1607" t="s">
        <v>1262</v>
      </c>
      <c r="C11" s="1606" t="s">
        <v>1258</v>
      </c>
      <c r="D11" s="1608">
        <v>38985</v>
      </c>
      <c r="E11" s="1608">
        <v>46178</v>
      </c>
      <c r="F11" s="1609">
        <v>236861</v>
      </c>
      <c r="G11" s="1609">
        <v>168695</v>
      </c>
      <c r="H11" s="1609">
        <v>168695</v>
      </c>
      <c r="I11" s="1609"/>
      <c r="J11" s="1609"/>
      <c r="K11" s="1609"/>
      <c r="L11" s="1609">
        <v>0</v>
      </c>
      <c r="M11" s="1609">
        <v>505</v>
      </c>
      <c r="N11" s="1609"/>
      <c r="O11" s="1609"/>
      <c r="P11" s="1609"/>
      <c r="Q11" s="1609"/>
      <c r="R11" s="1609"/>
      <c r="S11" s="1609"/>
      <c r="T11" s="1609"/>
    </row>
    <row r="12" spans="1:20" ht="36" customHeight="1">
      <c r="A12" s="1606">
        <v>5</v>
      </c>
      <c r="B12" s="1607" t="s">
        <v>1263</v>
      </c>
      <c r="C12" s="1606" t="s">
        <v>1258</v>
      </c>
      <c r="D12" s="1608">
        <v>38975</v>
      </c>
      <c r="E12" s="1608">
        <v>44352</v>
      </c>
      <c r="F12" s="1609">
        <v>126566</v>
      </c>
      <c r="G12" s="1609">
        <v>76310</v>
      </c>
      <c r="H12" s="1609">
        <v>76310</v>
      </c>
      <c r="I12" s="1609"/>
      <c r="J12" s="1609"/>
      <c r="K12" s="1609"/>
      <c r="L12" s="1609">
        <v>0</v>
      </c>
      <c r="M12" s="1609">
        <v>166</v>
      </c>
      <c r="N12" s="1609"/>
      <c r="O12" s="1609"/>
      <c r="P12" s="1609"/>
      <c r="Q12" s="1609"/>
      <c r="R12" s="1609"/>
      <c r="S12" s="1609"/>
      <c r="T12" s="1609"/>
    </row>
    <row r="13" spans="1:20" ht="36" customHeight="1">
      <c r="A13" s="1606">
        <v>6</v>
      </c>
      <c r="B13" s="1607" t="s">
        <v>1264</v>
      </c>
      <c r="C13" s="1606" t="s">
        <v>1265</v>
      </c>
      <c r="D13" s="1608">
        <v>39352</v>
      </c>
      <c r="E13" s="1608">
        <v>44809</v>
      </c>
      <c r="F13" s="1609">
        <v>162900</v>
      </c>
      <c r="G13" s="1609">
        <v>58781</v>
      </c>
      <c r="H13" s="1609">
        <v>58781</v>
      </c>
      <c r="I13" s="1609"/>
      <c r="J13" s="1609"/>
      <c r="K13" s="1609"/>
      <c r="L13" s="1609">
        <v>0</v>
      </c>
      <c r="M13" s="1609">
        <v>126</v>
      </c>
      <c r="N13" s="1609"/>
      <c r="O13" s="1609"/>
      <c r="P13" s="1609"/>
      <c r="Q13" s="1609"/>
      <c r="R13" s="1609"/>
      <c r="S13" s="1609"/>
      <c r="T13" s="1609"/>
    </row>
    <row r="14" spans="1:20" ht="36" customHeight="1">
      <c r="A14" s="1606">
        <v>7</v>
      </c>
      <c r="B14" s="1607" t="s">
        <v>1266</v>
      </c>
      <c r="C14" s="1606" t="s">
        <v>1267</v>
      </c>
      <c r="D14" s="1608">
        <v>39352</v>
      </c>
      <c r="E14" s="1608">
        <v>43003</v>
      </c>
      <c r="F14" s="1609">
        <v>532500</v>
      </c>
      <c r="G14" s="1609">
        <v>115089</v>
      </c>
      <c r="H14" s="1609">
        <v>115089</v>
      </c>
      <c r="I14" s="1609"/>
      <c r="J14" s="1609"/>
      <c r="K14" s="1609"/>
      <c r="L14" s="1609">
        <v>0</v>
      </c>
      <c r="M14" s="1609">
        <v>581</v>
      </c>
      <c r="N14" s="1609"/>
      <c r="O14" s="1609"/>
      <c r="P14" s="1609"/>
      <c r="Q14" s="1609"/>
      <c r="R14" s="1609"/>
      <c r="S14" s="1609"/>
      <c r="T14" s="1609"/>
    </row>
    <row r="15" spans="1:20" ht="36" customHeight="1">
      <c r="A15" s="1606">
        <v>8</v>
      </c>
      <c r="B15" s="1607" t="s">
        <v>1268</v>
      </c>
      <c r="C15" s="1606" t="s">
        <v>1258</v>
      </c>
      <c r="D15" s="1608">
        <v>39598</v>
      </c>
      <c r="E15" s="1608">
        <v>46904</v>
      </c>
      <c r="F15" s="1609">
        <v>615880</v>
      </c>
      <c r="G15" s="1609">
        <v>247194</v>
      </c>
      <c r="H15" s="1609">
        <v>247194</v>
      </c>
      <c r="I15" s="1609"/>
      <c r="J15" s="1609"/>
      <c r="K15" s="1609"/>
      <c r="L15" s="1609">
        <v>0</v>
      </c>
      <c r="M15" s="1609">
        <f>546+299</f>
        <v>845</v>
      </c>
      <c r="N15" s="1609"/>
      <c r="O15" s="1609"/>
      <c r="P15" s="1609"/>
      <c r="Q15" s="1609"/>
      <c r="R15" s="1609"/>
      <c r="S15" s="1609"/>
      <c r="T15" s="1609"/>
    </row>
    <row r="16" spans="1:20" ht="36" customHeight="1">
      <c r="A16" s="1606">
        <v>9</v>
      </c>
      <c r="B16" s="1607" t="s">
        <v>1269</v>
      </c>
      <c r="C16" s="1606" t="s">
        <v>1258</v>
      </c>
      <c r="D16" s="1608">
        <v>39989</v>
      </c>
      <c r="E16" s="1608">
        <v>47291</v>
      </c>
      <c r="F16" s="1609">
        <v>273000</v>
      </c>
      <c r="G16" s="1609">
        <v>189228</v>
      </c>
      <c r="H16" s="1610">
        <v>189228</v>
      </c>
      <c r="I16" s="1610"/>
      <c r="J16" s="1609"/>
      <c r="K16" s="1609"/>
      <c r="L16" s="1609">
        <v>0</v>
      </c>
      <c r="M16" s="1609">
        <v>898</v>
      </c>
      <c r="N16" s="1609"/>
      <c r="O16" s="1609"/>
      <c r="P16" s="1609"/>
      <c r="Q16" s="1609"/>
      <c r="R16" s="1609"/>
      <c r="S16" s="1609"/>
      <c r="T16" s="1609"/>
    </row>
    <row r="17" spans="1:20" ht="36" customHeight="1">
      <c r="A17" s="1606">
        <v>10</v>
      </c>
      <c r="B17" s="1607" t="s">
        <v>1270</v>
      </c>
      <c r="C17" s="1606" t="s">
        <v>1271</v>
      </c>
      <c r="D17" s="1608">
        <v>39989</v>
      </c>
      <c r="E17" s="1608">
        <v>45467</v>
      </c>
      <c r="F17" s="1609">
        <v>195000</v>
      </c>
      <c r="G17" s="1609">
        <v>155874</v>
      </c>
      <c r="H17" s="1610">
        <v>155874</v>
      </c>
      <c r="I17" s="1610"/>
      <c r="J17" s="1609"/>
      <c r="K17" s="1609"/>
      <c r="L17" s="1609">
        <v>0</v>
      </c>
      <c r="M17" s="1609">
        <v>585</v>
      </c>
      <c r="N17" s="1609"/>
      <c r="O17" s="1609"/>
      <c r="P17" s="1609"/>
      <c r="Q17" s="1609"/>
      <c r="R17" s="1609"/>
      <c r="S17" s="1609"/>
      <c r="T17" s="1609"/>
    </row>
    <row r="18" spans="1:20" ht="36" customHeight="1">
      <c r="A18" s="1606">
        <v>11</v>
      </c>
      <c r="B18" s="1611" t="s">
        <v>1272</v>
      </c>
      <c r="C18" s="1612" t="s">
        <v>1258</v>
      </c>
      <c r="D18" s="1613">
        <v>40385</v>
      </c>
      <c r="E18" s="1613">
        <v>47689</v>
      </c>
      <c r="F18" s="1609">
        <v>550600</v>
      </c>
      <c r="G18" s="1609">
        <v>457008</v>
      </c>
      <c r="H18" s="1610">
        <v>457008</v>
      </c>
      <c r="I18" s="1610"/>
      <c r="J18" s="1609"/>
      <c r="K18" s="1609"/>
      <c r="L18" s="1609">
        <v>0</v>
      </c>
      <c r="M18" s="1609">
        <v>1867</v>
      </c>
      <c r="N18" s="1609"/>
      <c r="O18" s="1609"/>
      <c r="P18" s="1609"/>
      <c r="Q18" s="1609"/>
      <c r="R18" s="1609"/>
      <c r="S18" s="1609"/>
      <c r="T18" s="1609"/>
    </row>
    <row r="19" spans="1:20" ht="36" customHeight="1">
      <c r="A19" s="1606">
        <v>12</v>
      </c>
      <c r="B19" s="1607" t="s">
        <v>1273</v>
      </c>
      <c r="C19" s="1606" t="s">
        <v>1271</v>
      </c>
      <c r="D19" s="1608">
        <v>40385</v>
      </c>
      <c r="E19" s="1613">
        <v>44037</v>
      </c>
      <c r="F19" s="1610">
        <v>599400</v>
      </c>
      <c r="G19" s="1610">
        <v>221561</v>
      </c>
      <c r="H19" s="1610"/>
      <c r="I19" s="1610">
        <v>221561</v>
      </c>
      <c r="J19" s="1610"/>
      <c r="K19" s="1610"/>
      <c r="L19" s="1610">
        <v>0</v>
      </c>
      <c r="M19" s="1610">
        <v>0</v>
      </c>
      <c r="N19" s="1610"/>
      <c r="O19" s="1610"/>
      <c r="P19" s="1610"/>
      <c r="Q19" s="1610"/>
      <c r="R19" s="1610"/>
      <c r="S19" s="1610"/>
      <c r="T19" s="1610"/>
    </row>
    <row r="20" spans="1:20" ht="36" customHeight="1">
      <c r="A20" s="1606">
        <v>13</v>
      </c>
      <c r="B20" s="1607" t="s">
        <v>1274</v>
      </c>
      <c r="C20" s="1606" t="s">
        <v>1275</v>
      </c>
      <c r="D20" s="1608">
        <v>40736</v>
      </c>
      <c r="E20" s="1613">
        <v>48040</v>
      </c>
      <c r="F20" s="1610">
        <v>484000</v>
      </c>
      <c r="G20" s="1610">
        <v>249034</v>
      </c>
      <c r="H20" s="1610"/>
      <c r="I20" s="1610">
        <v>249034</v>
      </c>
      <c r="J20" s="1610">
        <v>107495</v>
      </c>
      <c r="K20" s="1614">
        <f>3085*2</f>
        <v>6170</v>
      </c>
      <c r="L20" s="1610">
        <f>J20-K20</f>
        <v>101325</v>
      </c>
      <c r="M20" s="1610">
        <v>2144</v>
      </c>
      <c r="N20" s="1614">
        <v>12340</v>
      </c>
      <c r="O20" s="1610">
        <v>12340</v>
      </c>
      <c r="P20" s="1610">
        <v>12340</v>
      </c>
      <c r="Q20" s="1610">
        <f>L20-N20-O20-P20</f>
        <v>64305</v>
      </c>
      <c r="R20" s="1610">
        <v>2740</v>
      </c>
      <c r="S20" s="1610">
        <v>2390</v>
      </c>
      <c r="T20" s="1610">
        <v>2040</v>
      </c>
    </row>
    <row r="21" spans="1:20" ht="36" customHeight="1">
      <c r="A21" s="1606">
        <v>14</v>
      </c>
      <c r="B21" s="1607" t="s">
        <v>1276</v>
      </c>
      <c r="C21" s="1606" t="s">
        <v>1275</v>
      </c>
      <c r="D21" s="1608">
        <v>40735</v>
      </c>
      <c r="E21" s="1613">
        <v>44387</v>
      </c>
      <c r="F21" s="1610">
        <v>1016000</v>
      </c>
      <c r="G21" s="1610">
        <v>270386</v>
      </c>
      <c r="H21" s="1610"/>
      <c r="I21" s="1610">
        <v>270386</v>
      </c>
      <c r="J21" s="1610"/>
      <c r="K21" s="1610"/>
      <c r="L21" s="1610">
        <v>0</v>
      </c>
      <c r="M21" s="1610">
        <v>493</v>
      </c>
      <c r="N21" s="1614"/>
      <c r="O21" s="1610"/>
      <c r="P21" s="1610"/>
      <c r="Q21" s="1610">
        <v>0</v>
      </c>
      <c r="R21" s="1610"/>
      <c r="S21" s="1610"/>
      <c r="T21" s="1610"/>
    </row>
    <row r="22" spans="1:20" ht="36" customHeight="1">
      <c r="A22" s="1606">
        <v>15</v>
      </c>
      <c r="B22" s="1607" t="s">
        <v>1277</v>
      </c>
      <c r="C22" s="1606" t="s">
        <v>1275</v>
      </c>
      <c r="D22" s="1608">
        <v>41502</v>
      </c>
      <c r="E22" s="1608">
        <v>45153</v>
      </c>
      <c r="F22" s="1609">
        <v>650000</v>
      </c>
      <c r="G22" s="1609">
        <v>187846</v>
      </c>
      <c r="H22" s="1610">
        <v>187846</v>
      </c>
      <c r="I22" s="1610"/>
      <c r="J22" s="1609">
        <v>462154</v>
      </c>
      <c r="K22" s="1609">
        <v>0</v>
      </c>
      <c r="L22" s="1609">
        <v>462154</v>
      </c>
      <c r="M22" s="1609">
        <f>11693+1699</f>
        <v>13392</v>
      </c>
      <c r="N22" s="1614">
        <v>39394</v>
      </c>
      <c r="O22" s="1609">
        <v>78788</v>
      </c>
      <c r="P22" s="1609">
        <v>78788</v>
      </c>
      <c r="Q22" s="1609">
        <v>265184</v>
      </c>
      <c r="R22" s="1609">
        <v>21124</v>
      </c>
      <c r="S22" s="1609">
        <v>18167</v>
      </c>
      <c r="T22" s="1609">
        <v>14527</v>
      </c>
    </row>
    <row r="23" spans="1:20" ht="36" customHeight="1">
      <c r="A23" s="1606">
        <v>16</v>
      </c>
      <c r="B23" s="1607" t="s">
        <v>1278</v>
      </c>
      <c r="C23" s="1606" t="s">
        <v>1271</v>
      </c>
      <c r="D23" s="1608">
        <v>41555</v>
      </c>
      <c r="E23" s="1608">
        <v>48859</v>
      </c>
      <c r="F23" s="1609">
        <v>200000</v>
      </c>
      <c r="G23" s="1609">
        <v>44687</v>
      </c>
      <c r="H23" s="1610">
        <v>44687</v>
      </c>
      <c r="I23" s="1610"/>
      <c r="J23" s="1609">
        <v>155313</v>
      </c>
      <c r="K23" s="1609">
        <v>0</v>
      </c>
      <c r="L23" s="1609">
        <v>155313</v>
      </c>
      <c r="M23" s="1609">
        <f>279+896</f>
        <v>1175</v>
      </c>
      <c r="N23" s="1614">
        <v>0</v>
      </c>
      <c r="O23" s="1609">
        <v>2251</v>
      </c>
      <c r="P23" s="1609">
        <v>9005</v>
      </c>
      <c r="Q23" s="1609">
        <f>L23-N23-O23-P23</f>
        <v>144057</v>
      </c>
      <c r="R23" s="1609">
        <v>5565</v>
      </c>
      <c r="S23" s="1609">
        <v>5565</v>
      </c>
      <c r="T23" s="1609">
        <v>5305</v>
      </c>
    </row>
    <row r="24" spans="1:20" ht="36" customHeight="1">
      <c r="A24" s="1606">
        <v>17</v>
      </c>
      <c r="B24" s="1607" t="s">
        <v>1279</v>
      </c>
      <c r="C24" s="1606" t="s">
        <v>1275</v>
      </c>
      <c r="D24" s="1608" t="s">
        <v>1280</v>
      </c>
      <c r="E24" s="1608" t="s">
        <v>1281</v>
      </c>
      <c r="F24" s="1609"/>
      <c r="G24" s="1609"/>
      <c r="H24" s="1609"/>
      <c r="I24" s="1609"/>
      <c r="J24" s="1609">
        <v>200000</v>
      </c>
      <c r="K24" s="1609">
        <v>0</v>
      </c>
      <c r="L24" s="1609">
        <v>200000</v>
      </c>
      <c r="M24" s="1609">
        <v>281</v>
      </c>
      <c r="N24" s="1614">
        <v>0</v>
      </c>
      <c r="O24" s="1609">
        <v>0</v>
      </c>
      <c r="P24" s="1609">
        <v>8697</v>
      </c>
      <c r="Q24" s="1609">
        <f>200000-8697</f>
        <v>191303</v>
      </c>
      <c r="R24" s="1609">
        <v>5426</v>
      </c>
      <c r="S24" s="1609">
        <v>5426</v>
      </c>
      <c r="T24" s="1609">
        <v>5367</v>
      </c>
    </row>
    <row r="25" spans="1:20" ht="36" customHeight="1" thickBot="1">
      <c r="A25" s="1615">
        <v>18</v>
      </c>
      <c r="B25" s="1616" t="s">
        <v>1282</v>
      </c>
      <c r="C25" s="1615" t="s">
        <v>1283</v>
      </c>
      <c r="D25" s="1617" t="s">
        <v>1280</v>
      </c>
      <c r="E25" s="1617" t="s">
        <v>1284</v>
      </c>
      <c r="F25" s="1618"/>
      <c r="G25" s="1618"/>
      <c r="H25" s="1618"/>
      <c r="I25" s="1618"/>
      <c r="J25" s="1618">
        <v>162350</v>
      </c>
      <c r="K25" s="1618">
        <v>0</v>
      </c>
      <c r="L25" s="1618">
        <f>J25+K25</f>
        <v>162350</v>
      </c>
      <c r="M25" s="1618">
        <v>175</v>
      </c>
      <c r="N25" s="1619">
        <v>0</v>
      </c>
      <c r="O25" s="1618">
        <v>14759</v>
      </c>
      <c r="P25" s="1618">
        <v>19679</v>
      </c>
      <c r="Q25" s="1618">
        <f>L25-N25-O25-P25</f>
        <v>127912</v>
      </c>
      <c r="R25" s="1618">
        <v>5812</v>
      </c>
      <c r="S25" s="1618">
        <v>5680</v>
      </c>
      <c r="T25" s="1618">
        <v>5020</v>
      </c>
    </row>
    <row r="26" spans="1:22" s="1596" customFormat="1" ht="36" customHeight="1" thickTop="1">
      <c r="A26" s="1620" t="s">
        <v>515</v>
      </c>
      <c r="B26" s="1757" t="s">
        <v>1285</v>
      </c>
      <c r="C26" s="1757"/>
      <c r="D26" s="1757"/>
      <c r="E26" s="1757"/>
      <c r="F26" s="1757"/>
      <c r="G26" s="1621">
        <f aca="true" t="shared" si="0" ref="G26:T26">SUM(G8:G25)</f>
        <v>2474945</v>
      </c>
      <c r="H26" s="1621">
        <f t="shared" si="0"/>
        <v>1733964</v>
      </c>
      <c r="I26" s="1621">
        <f t="shared" si="0"/>
        <v>740981</v>
      </c>
      <c r="J26" s="1621">
        <f t="shared" si="0"/>
        <v>1087312</v>
      </c>
      <c r="K26" s="1621">
        <f t="shared" si="0"/>
        <v>6170</v>
      </c>
      <c r="L26" s="1621">
        <f t="shared" si="0"/>
        <v>1081142</v>
      </c>
      <c r="M26" s="1621">
        <f t="shared" si="0"/>
        <v>30421</v>
      </c>
      <c r="N26" s="1621">
        <f t="shared" si="0"/>
        <v>51734</v>
      </c>
      <c r="O26" s="1621">
        <f t="shared" si="0"/>
        <v>108138</v>
      </c>
      <c r="P26" s="1621">
        <f t="shared" si="0"/>
        <v>128509</v>
      </c>
      <c r="Q26" s="1621">
        <f t="shared" si="0"/>
        <v>792761</v>
      </c>
      <c r="R26" s="1621">
        <f t="shared" si="0"/>
        <v>40667</v>
      </c>
      <c r="S26" s="1621">
        <f t="shared" si="0"/>
        <v>37228</v>
      </c>
      <c r="T26" s="1621">
        <f t="shared" si="0"/>
        <v>32259</v>
      </c>
      <c r="V26" s="1622"/>
    </row>
    <row r="27" ht="15">
      <c r="M27" s="1624"/>
    </row>
    <row r="28" ht="15">
      <c r="M28" s="1624"/>
    </row>
    <row r="29" spans="1:20" ht="15">
      <c r="A29" s="1625"/>
      <c r="B29" s="1626"/>
      <c r="C29" s="1625"/>
      <c r="D29" s="1625"/>
      <c r="E29" s="1625"/>
      <c r="F29" s="1625"/>
      <c r="G29" s="1625"/>
      <c r="H29" s="1625"/>
      <c r="I29" s="1625"/>
      <c r="J29" s="1625"/>
      <c r="K29" s="1625"/>
      <c r="L29" s="1625"/>
      <c r="M29" s="1624"/>
      <c r="N29" s="1625"/>
      <c r="O29" s="1625"/>
      <c r="P29" s="1625"/>
      <c r="Q29" s="1625"/>
      <c r="R29" s="1625"/>
      <c r="S29" s="1625"/>
      <c r="T29" s="1625"/>
    </row>
    <row r="33" ht="15">
      <c r="J33" s="1624"/>
    </row>
  </sheetData>
  <sheetProtection/>
  <mergeCells count="8">
    <mergeCell ref="A7:B7"/>
    <mergeCell ref="B26:F26"/>
    <mergeCell ref="A1:E1"/>
    <mergeCell ref="A2:T2"/>
    <mergeCell ref="A3:T3"/>
    <mergeCell ref="A4:T4"/>
    <mergeCell ref="S5:T5"/>
    <mergeCell ref="A6:B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SheetLayoutView="100" zoomScalePageLayoutView="0" workbookViewId="0" topLeftCell="A1">
      <selection activeCell="B2" sqref="B2"/>
    </sheetView>
  </sheetViews>
  <sheetFormatPr defaultColWidth="9.125" defaultRowHeight="12.75"/>
  <cols>
    <col min="1" max="1" width="3.00390625" style="1517" bestFit="1" customWidth="1"/>
    <col min="2" max="2" width="3.25390625" style="1586" bestFit="1" customWidth="1"/>
    <col min="3" max="3" width="3.875" style="1519" bestFit="1" customWidth="1"/>
    <col min="4" max="4" width="72.125" style="1521" customWidth="1"/>
    <col min="5" max="5" width="23.75390625" style="1520" customWidth="1"/>
    <col min="6" max="16384" width="9.125" style="1521" customWidth="1"/>
  </cols>
  <sheetData>
    <row r="1" spans="1:5" s="1511" customFormat="1" ht="30" customHeight="1">
      <c r="A1" s="1509"/>
      <c r="B1" s="1767" t="s">
        <v>1287</v>
      </c>
      <c r="C1" s="1767"/>
      <c r="D1" s="1767"/>
      <c r="E1" s="1510"/>
    </row>
    <row r="2" spans="1:5" s="1511" customFormat="1" ht="30" customHeight="1">
      <c r="A2" s="1509"/>
      <c r="B2" s="1512"/>
      <c r="C2" s="1512"/>
      <c r="D2" s="1512"/>
      <c r="E2" s="1510"/>
    </row>
    <row r="3" spans="1:5" s="1514" customFormat="1" ht="15">
      <c r="A3" s="1513"/>
      <c r="B3" s="1768" t="s">
        <v>1207</v>
      </c>
      <c r="C3" s="1768"/>
      <c r="D3" s="1768"/>
      <c r="E3" s="1768"/>
    </row>
    <row r="4" spans="1:5" s="1514" customFormat="1" ht="15">
      <c r="A4" s="1513"/>
      <c r="B4" s="1768" t="s">
        <v>1208</v>
      </c>
      <c r="C4" s="1768"/>
      <c r="D4" s="1768"/>
      <c r="E4" s="1768"/>
    </row>
    <row r="5" spans="1:5" s="1514" customFormat="1" ht="15">
      <c r="A5" s="1513"/>
      <c r="B5" s="1515"/>
      <c r="C5" s="1515"/>
      <c r="D5" s="1515"/>
      <c r="E5" s="1515"/>
    </row>
    <row r="6" spans="1:6" s="1514" customFormat="1" ht="34.5" customHeight="1">
      <c r="A6" s="1513"/>
      <c r="B6" s="1765" t="s">
        <v>1209</v>
      </c>
      <c r="C6" s="1765"/>
      <c r="D6" s="1765"/>
      <c r="E6" s="1765"/>
      <c r="F6" s="1516"/>
    </row>
    <row r="7" spans="2:5" ht="15">
      <c r="B7" s="1518"/>
      <c r="D7" s="1518"/>
      <c r="E7" s="1520" t="s">
        <v>135</v>
      </c>
    </row>
    <row r="8" spans="1:5" s="1523" customFormat="1" ht="15.75" thickBot="1">
      <c r="A8" s="1517"/>
      <c r="B8" s="1766" t="s">
        <v>146</v>
      </c>
      <c r="C8" s="1766"/>
      <c r="D8" s="1766"/>
      <c r="E8" s="1522" t="s">
        <v>147</v>
      </c>
    </row>
    <row r="9" spans="2:5" ht="30">
      <c r="B9" s="1769" t="s">
        <v>1210</v>
      </c>
      <c r="C9" s="1770"/>
      <c r="D9" s="1770"/>
      <c r="E9" s="1524" t="s">
        <v>1211</v>
      </c>
    </row>
    <row r="10" spans="1:5" s="1514" customFormat="1" ht="30" customHeight="1">
      <c r="A10" s="1513">
        <v>1</v>
      </c>
      <c r="B10" s="1525" t="s">
        <v>515</v>
      </c>
      <c r="C10" s="1526"/>
      <c r="D10" s="1763" t="s">
        <v>1212</v>
      </c>
      <c r="E10" s="1764"/>
    </row>
    <row r="11" spans="1:5" s="1514" customFormat="1" ht="30" customHeight="1">
      <c r="A11" s="1513">
        <v>2</v>
      </c>
      <c r="B11" s="1527"/>
      <c r="C11" s="1528" t="s">
        <v>791</v>
      </c>
      <c r="D11" s="1529" t="s">
        <v>1213</v>
      </c>
      <c r="E11" s="1530">
        <v>58500</v>
      </c>
    </row>
    <row r="12" spans="1:5" s="1514" customFormat="1" ht="15">
      <c r="A12" s="1513">
        <v>3</v>
      </c>
      <c r="B12" s="1527"/>
      <c r="C12" s="1531" t="s">
        <v>792</v>
      </c>
      <c r="D12" s="1529" t="s">
        <v>601</v>
      </c>
      <c r="E12" s="1530">
        <v>47500</v>
      </c>
    </row>
    <row r="13" spans="1:5" s="1514" customFormat="1" ht="15">
      <c r="A13" s="1513">
        <v>4</v>
      </c>
      <c r="B13" s="1532"/>
      <c r="C13" s="1533" t="s">
        <v>793</v>
      </c>
      <c r="D13" s="1534" t="s">
        <v>589</v>
      </c>
      <c r="E13" s="1535">
        <v>44000</v>
      </c>
    </row>
    <row r="14" spans="1:5" s="1514" customFormat="1" ht="15">
      <c r="A14" s="1513">
        <v>5</v>
      </c>
      <c r="B14" s="1525"/>
      <c r="C14" s="1536"/>
      <c r="D14" s="150" t="s">
        <v>545</v>
      </c>
      <c r="E14" s="1537"/>
    </row>
    <row r="15" spans="1:5" s="1514" customFormat="1" ht="15">
      <c r="A15" s="1513">
        <v>6</v>
      </c>
      <c r="B15" s="1525"/>
      <c r="C15" s="1536"/>
      <c r="D15" s="150" t="s">
        <v>536</v>
      </c>
      <c r="E15" s="1537"/>
    </row>
    <row r="16" spans="1:5" s="1514" customFormat="1" ht="15">
      <c r="A16" s="1513">
        <v>7</v>
      </c>
      <c r="B16" s="1538"/>
      <c r="C16" s="1539"/>
      <c r="D16" s="1540" t="s">
        <v>884</v>
      </c>
      <c r="E16" s="1541"/>
    </row>
    <row r="17" spans="1:5" s="1511" customFormat="1" ht="30" customHeight="1">
      <c r="A17" s="1509">
        <v>8</v>
      </c>
      <c r="B17" s="1542"/>
      <c r="C17" s="1533" t="s">
        <v>680</v>
      </c>
      <c r="D17" s="1543" t="s">
        <v>469</v>
      </c>
      <c r="E17" s="1544">
        <v>50000</v>
      </c>
    </row>
    <row r="18" spans="1:5" s="1514" customFormat="1" ht="30" customHeight="1" thickBot="1">
      <c r="A18" s="1509">
        <v>9</v>
      </c>
      <c r="B18" s="1545"/>
      <c r="C18" s="1546"/>
      <c r="D18" s="1547" t="s">
        <v>1214</v>
      </c>
      <c r="E18" s="1548">
        <f>SUM(E11:E17)</f>
        <v>200000</v>
      </c>
    </row>
    <row r="19" spans="1:5" s="1514" customFormat="1" ht="15">
      <c r="A19" s="1509"/>
      <c r="B19" s="1549"/>
      <c r="C19" s="1550"/>
      <c r="D19" s="1551"/>
      <c r="E19" s="1552"/>
    </row>
    <row r="20" spans="1:5" s="1514" customFormat="1" ht="30" customHeight="1">
      <c r="A20" s="1509"/>
      <c r="B20" s="1526"/>
      <c r="C20" s="1536"/>
      <c r="D20" s="1765" t="s">
        <v>1215</v>
      </c>
      <c r="E20" s="1765"/>
    </row>
    <row r="21" spans="1:5" s="1514" customFormat="1" ht="15">
      <c r="A21" s="1509"/>
      <c r="B21" s="1526"/>
      <c r="C21" s="1536"/>
      <c r="D21" s="1553"/>
      <c r="E21" s="1553" t="s">
        <v>135</v>
      </c>
    </row>
    <row r="22" spans="1:7" s="1514" customFormat="1" ht="15.75" thickBot="1">
      <c r="A22" s="1509"/>
      <c r="B22" s="1766" t="s">
        <v>146</v>
      </c>
      <c r="C22" s="1766"/>
      <c r="D22" s="1766"/>
      <c r="E22" s="1522" t="s">
        <v>147</v>
      </c>
      <c r="F22" s="1554"/>
      <c r="G22" s="1522"/>
    </row>
    <row r="23" spans="1:5" s="1514" customFormat="1" ht="30" customHeight="1">
      <c r="A23" s="1513">
        <v>10</v>
      </c>
      <c r="B23" s="1555" t="s">
        <v>516</v>
      </c>
      <c r="C23" s="1556"/>
      <c r="D23" s="1557" t="s">
        <v>1216</v>
      </c>
      <c r="E23" s="1558"/>
    </row>
    <row r="24" spans="1:5" s="1561" customFormat="1" ht="15">
      <c r="A24" s="1513">
        <v>11</v>
      </c>
      <c r="B24" s="1559"/>
      <c r="C24" s="1531" t="s">
        <v>791</v>
      </c>
      <c r="D24" s="1560" t="s">
        <v>611</v>
      </c>
      <c r="E24" s="1530">
        <v>20000</v>
      </c>
    </row>
    <row r="25" spans="1:5" s="1561" customFormat="1" ht="17.25" customHeight="1">
      <c r="A25" s="1513">
        <v>12</v>
      </c>
      <c r="B25" s="1559"/>
      <c r="C25" s="1531" t="s">
        <v>792</v>
      </c>
      <c r="D25" s="1560" t="s">
        <v>1217</v>
      </c>
      <c r="E25" s="1530">
        <v>17700</v>
      </c>
    </row>
    <row r="26" spans="1:5" s="1561" customFormat="1" ht="15">
      <c r="A26" s="1513">
        <v>13</v>
      </c>
      <c r="B26" s="1559"/>
      <c r="C26" s="1531" t="s">
        <v>793</v>
      </c>
      <c r="D26" s="1560" t="s">
        <v>1218</v>
      </c>
      <c r="E26" s="1530">
        <v>23150</v>
      </c>
    </row>
    <row r="27" spans="1:5" s="1561" customFormat="1" ht="15">
      <c r="A27" s="1513">
        <v>14</v>
      </c>
      <c r="B27" s="1559"/>
      <c r="C27" s="1531" t="s">
        <v>680</v>
      </c>
      <c r="D27" s="1560" t="s">
        <v>1219</v>
      </c>
      <c r="E27" s="1530">
        <v>45500</v>
      </c>
    </row>
    <row r="28" spans="1:5" s="1561" customFormat="1" ht="15">
      <c r="A28" s="1513">
        <v>15</v>
      </c>
      <c r="B28" s="1562"/>
      <c r="C28" s="1563" t="s">
        <v>682</v>
      </c>
      <c r="D28" s="150" t="s">
        <v>1220</v>
      </c>
      <c r="E28" s="1564">
        <v>18500</v>
      </c>
    </row>
    <row r="29" spans="1:5" s="1514" customFormat="1" ht="15">
      <c r="A29" s="1513">
        <v>16</v>
      </c>
      <c r="B29" s="1565"/>
      <c r="C29" s="1563"/>
      <c r="D29" s="150" t="s">
        <v>532</v>
      </c>
      <c r="E29" s="1564"/>
    </row>
    <row r="30" spans="1:5" s="1514" customFormat="1" ht="15" customHeight="1">
      <c r="A30" s="1513">
        <v>17</v>
      </c>
      <c r="B30" s="1565"/>
      <c r="C30" s="1566"/>
      <c r="D30" s="1567" t="s">
        <v>1221</v>
      </c>
      <c r="E30" s="1568"/>
    </row>
    <row r="31" spans="1:5" s="1514" customFormat="1" ht="15">
      <c r="A31" s="1513">
        <v>18</v>
      </c>
      <c r="B31" s="1569"/>
      <c r="C31" s="1570" t="s">
        <v>684</v>
      </c>
      <c r="D31" s="1571" t="s">
        <v>1222</v>
      </c>
      <c r="E31" s="1572">
        <v>10000</v>
      </c>
    </row>
    <row r="32" spans="1:5" s="1514" customFormat="1" ht="15">
      <c r="A32" s="1513">
        <v>19</v>
      </c>
      <c r="B32" s="1565"/>
      <c r="C32" s="1563"/>
      <c r="D32" s="1573" t="s">
        <v>909</v>
      </c>
      <c r="E32" s="1564"/>
    </row>
    <row r="33" spans="1:5" s="1514" customFormat="1" ht="15">
      <c r="A33" s="1513">
        <v>20</v>
      </c>
      <c r="B33" s="1565"/>
      <c r="C33" s="1563"/>
      <c r="D33" s="414" t="s">
        <v>1223</v>
      </c>
      <c r="E33" s="1564"/>
    </row>
    <row r="34" spans="1:5" s="1514" customFormat="1" ht="15">
      <c r="A34" s="1513">
        <v>21</v>
      </c>
      <c r="B34" s="1569"/>
      <c r="C34" s="1533" t="s">
        <v>424</v>
      </c>
      <c r="D34" s="1574" t="s">
        <v>1224</v>
      </c>
      <c r="E34" s="1575">
        <v>8000</v>
      </c>
    </row>
    <row r="35" spans="1:5" s="1514" customFormat="1" ht="15">
      <c r="A35" s="1513">
        <v>22</v>
      </c>
      <c r="B35" s="1565"/>
      <c r="C35" s="1563"/>
      <c r="D35" s="150" t="s">
        <v>608</v>
      </c>
      <c r="E35" s="1564"/>
    </row>
    <row r="36" spans="1:5" s="1514" customFormat="1" ht="15">
      <c r="A36" s="1513">
        <v>23</v>
      </c>
      <c r="B36" s="1565"/>
      <c r="C36" s="1566"/>
      <c r="D36" s="1567" t="s">
        <v>539</v>
      </c>
      <c r="E36" s="1568"/>
    </row>
    <row r="37" spans="1:5" s="1514" customFormat="1" ht="30">
      <c r="A37" s="1513">
        <v>24</v>
      </c>
      <c r="B37" s="1569"/>
      <c r="C37" s="1563" t="s">
        <v>802</v>
      </c>
      <c r="D37" s="1576" t="s">
        <v>462</v>
      </c>
      <c r="E37" s="1564">
        <v>19500</v>
      </c>
    </row>
    <row r="38" spans="1:5" s="1514" customFormat="1" ht="15.75" thickBot="1">
      <c r="A38" s="1513">
        <v>25</v>
      </c>
      <c r="B38" s="1565"/>
      <c r="C38" s="1577"/>
      <c r="D38" s="1578" t="s">
        <v>1225</v>
      </c>
      <c r="E38" s="1579">
        <f>SUM(E24:E37)</f>
        <v>162350</v>
      </c>
    </row>
    <row r="39" spans="1:5" s="1514" customFormat="1" ht="16.5" thickBot="1" thickTop="1">
      <c r="A39" s="1513">
        <v>26</v>
      </c>
      <c r="B39" s="1580"/>
      <c r="C39" s="1581"/>
      <c r="D39" s="1581" t="s">
        <v>1226</v>
      </c>
      <c r="E39" s="1582">
        <f>E38+E18</f>
        <v>362350</v>
      </c>
    </row>
    <row r="40" spans="2:5" ht="15">
      <c r="B40" s="1583"/>
      <c r="C40" s="1563"/>
      <c r="D40" s="1584"/>
      <c r="E40" s="1585"/>
    </row>
    <row r="41" spans="2:5" ht="15">
      <c r="B41" s="1583"/>
      <c r="C41" s="1563"/>
      <c r="D41" s="1584"/>
      <c r="E41" s="1585"/>
    </row>
    <row r="42" spans="2:5" ht="15">
      <c r="B42" s="1583"/>
      <c r="C42" s="1563"/>
      <c r="D42" s="1584"/>
      <c r="E42" s="1585"/>
    </row>
    <row r="43" ht="15">
      <c r="B43" s="1583"/>
    </row>
    <row r="44" ht="15">
      <c r="B44" s="1583"/>
    </row>
    <row r="45" ht="15">
      <c r="B45" s="1583"/>
    </row>
    <row r="46" spans="1:6" s="1519" customFormat="1" ht="15">
      <c r="A46" s="1517"/>
      <c r="B46" s="1583"/>
      <c r="D46" s="1521"/>
      <c r="E46" s="1520"/>
      <c r="F46" s="1521"/>
    </row>
    <row r="47" spans="1:6" s="1519" customFormat="1" ht="15">
      <c r="A47" s="1517"/>
      <c r="B47" s="1583"/>
      <c r="D47" s="1521"/>
      <c r="E47" s="1520"/>
      <c r="F47" s="1521"/>
    </row>
    <row r="48" spans="1:6" s="1519" customFormat="1" ht="15">
      <c r="A48" s="1517"/>
      <c r="B48" s="1583"/>
      <c r="D48" s="1521"/>
      <c r="E48" s="1520"/>
      <c r="F48" s="1521"/>
    </row>
    <row r="49" spans="1:6" s="1519" customFormat="1" ht="15">
      <c r="A49" s="1517"/>
      <c r="B49" s="1583"/>
      <c r="D49" s="1521"/>
      <c r="E49" s="1520"/>
      <c r="F49" s="1521"/>
    </row>
    <row r="50" spans="1:6" s="1519" customFormat="1" ht="15">
      <c r="A50" s="1517"/>
      <c r="B50" s="1583"/>
      <c r="D50" s="1521"/>
      <c r="E50" s="1520"/>
      <c r="F50" s="1521"/>
    </row>
    <row r="51" spans="1:6" s="1519" customFormat="1" ht="15">
      <c r="A51" s="1517"/>
      <c r="B51" s="1583"/>
      <c r="D51" s="1521"/>
      <c r="E51" s="1520"/>
      <c r="F51" s="1521"/>
    </row>
    <row r="52" spans="1:6" s="1519" customFormat="1" ht="15">
      <c r="A52" s="1517"/>
      <c r="B52" s="1583"/>
      <c r="D52" s="1521"/>
      <c r="E52" s="1520"/>
      <c r="F52" s="1521"/>
    </row>
    <row r="53" spans="1:6" s="1519" customFormat="1" ht="15">
      <c r="A53" s="1517"/>
      <c r="B53" s="1583"/>
      <c r="D53" s="1521"/>
      <c r="E53" s="1520"/>
      <c r="F53" s="1521"/>
    </row>
  </sheetData>
  <sheetProtection/>
  <mergeCells count="9">
    <mergeCell ref="D10:E10"/>
    <mergeCell ref="D20:E20"/>
    <mergeCell ref="B22:D22"/>
    <mergeCell ref="B1:D1"/>
    <mergeCell ref="B3:E3"/>
    <mergeCell ref="B4:E4"/>
    <mergeCell ref="B6:E6"/>
    <mergeCell ref="B8:D8"/>
    <mergeCell ref="B9:D9"/>
  </mergeCells>
  <printOptions horizontalCentered="1"/>
  <pageMargins left="0.7874015748031497" right="0.7874015748031497" top="0.984251968503937" bottom="0.7874015748031497" header="0.5118110236220472" footer="0.5118110236220472"/>
  <pageSetup fitToHeight="3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80" zoomScaleSheetLayoutView="80" zoomScalePageLayoutView="0" workbookViewId="0" topLeftCell="A1">
      <selection activeCell="B2" sqref="B2:Q2"/>
    </sheetView>
  </sheetViews>
  <sheetFormatPr defaultColWidth="9.125" defaultRowHeight="12.75"/>
  <cols>
    <col min="1" max="1" width="3.375" style="937" bestFit="1" customWidth="1"/>
    <col min="2" max="2" width="3.75390625" style="304" customWidth="1"/>
    <col min="3" max="3" width="30.625" style="30" bestFit="1" customWidth="1"/>
    <col min="4" max="4" width="7.75390625" style="30" bestFit="1" customWidth="1"/>
    <col min="5" max="5" width="6.375" style="30" bestFit="1" customWidth="1"/>
    <col min="6" max="6" width="7.00390625" style="30" bestFit="1" customWidth="1"/>
    <col min="7" max="7" width="11.375" style="30" bestFit="1" customWidth="1"/>
    <col min="8" max="8" width="10.125" style="30" bestFit="1" customWidth="1"/>
    <col min="9" max="9" width="11.00390625" style="30" bestFit="1" customWidth="1"/>
    <col min="10" max="10" width="12.625" style="30" bestFit="1" customWidth="1"/>
    <col min="11" max="11" width="6.25390625" style="30" bestFit="1" customWidth="1"/>
    <col min="12" max="12" width="6.25390625" style="30" customWidth="1"/>
    <col min="13" max="13" width="12.75390625" style="30" bestFit="1" customWidth="1"/>
    <col min="14" max="14" width="12.125" style="30" bestFit="1" customWidth="1"/>
    <col min="15" max="15" width="10.875" style="30" customWidth="1"/>
    <col min="16" max="16" width="9.25390625" style="30" customWidth="1"/>
    <col min="17" max="17" width="10.375" style="30" bestFit="1" customWidth="1"/>
    <col min="18" max="18" width="10.25390625" style="30" customWidth="1"/>
    <col min="19" max="16384" width="9.125" style="30" customWidth="1"/>
  </cols>
  <sheetData>
    <row r="1" spans="1:17" s="342" customFormat="1" ht="24.75" customHeight="1">
      <c r="A1" s="935"/>
      <c r="B1" s="1771" t="s">
        <v>1288</v>
      </c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5"/>
      <c r="O1" s="1775"/>
      <c r="P1" s="1775"/>
      <c r="Q1" s="1775"/>
    </row>
    <row r="2" spans="1:17" s="343" customFormat="1" ht="24.75" customHeight="1">
      <c r="A2" s="936"/>
      <c r="B2" s="1776" t="s">
        <v>506</v>
      </c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  <c r="O2" s="1776"/>
      <c r="P2" s="1776"/>
      <c r="Q2" s="1776"/>
    </row>
    <row r="3" spans="1:17" s="343" customFormat="1" ht="24.75" customHeight="1">
      <c r="A3" s="936"/>
      <c r="B3" s="1776" t="s">
        <v>1061</v>
      </c>
      <c r="C3" s="1776"/>
      <c r="D3" s="1776"/>
      <c r="E3" s="1776"/>
      <c r="F3" s="1776"/>
      <c r="G3" s="1776"/>
      <c r="H3" s="1776"/>
      <c r="I3" s="1776"/>
      <c r="J3" s="1776"/>
      <c r="K3" s="1776"/>
      <c r="L3" s="1776"/>
      <c r="M3" s="1776"/>
      <c r="N3" s="1776"/>
      <c r="O3" s="1776"/>
      <c r="P3" s="1776"/>
      <c r="Q3" s="1776"/>
    </row>
    <row r="4" spans="15:17" ht="24.75" customHeight="1">
      <c r="O4" s="1783" t="s">
        <v>135</v>
      </c>
      <c r="P4" s="1783"/>
      <c r="Q4" s="1783"/>
    </row>
    <row r="5" spans="1:17" s="15" customFormat="1" ht="17.25" thickBot="1">
      <c r="A5" s="937"/>
      <c r="B5" s="1786" t="s">
        <v>146</v>
      </c>
      <c r="C5" s="1786"/>
      <c r="D5" s="15" t="s">
        <v>147</v>
      </c>
      <c r="E5" s="15" t="s">
        <v>148</v>
      </c>
      <c r="F5" s="15" t="s">
        <v>149</v>
      </c>
      <c r="G5" s="15" t="s">
        <v>150</v>
      </c>
      <c r="H5" s="15" t="s">
        <v>151</v>
      </c>
      <c r="I5" s="15" t="s">
        <v>152</v>
      </c>
      <c r="J5" s="15" t="s">
        <v>911</v>
      </c>
      <c r="K5" s="15" t="s">
        <v>912</v>
      </c>
      <c r="L5" s="15" t="s">
        <v>858</v>
      </c>
      <c r="M5" s="15" t="s">
        <v>859</v>
      </c>
      <c r="N5" s="15" t="s">
        <v>860</v>
      </c>
      <c r="O5" s="15" t="s">
        <v>861</v>
      </c>
      <c r="P5" s="15" t="s">
        <v>862</v>
      </c>
      <c r="Q5" s="15" t="s">
        <v>875</v>
      </c>
    </row>
    <row r="6" spans="1:17" s="288" customFormat="1" ht="24.75" customHeight="1" thickBot="1">
      <c r="A6" s="1772"/>
      <c r="B6" s="1779" t="s">
        <v>474</v>
      </c>
      <c r="C6" s="1780"/>
      <c r="D6" s="1773" t="s">
        <v>475</v>
      </c>
      <c r="E6" s="1777" t="s">
        <v>835</v>
      </c>
      <c r="F6" s="345" t="s">
        <v>476</v>
      </c>
      <c r="G6" s="1773" t="s">
        <v>477</v>
      </c>
      <c r="H6" s="344" t="s">
        <v>478</v>
      </c>
      <c r="I6" s="344" t="s">
        <v>479</v>
      </c>
      <c r="J6" s="344" t="s">
        <v>480</v>
      </c>
      <c r="K6" s="344" t="s">
        <v>481</v>
      </c>
      <c r="L6" s="344" t="s">
        <v>482</v>
      </c>
      <c r="M6" s="344" t="s">
        <v>483</v>
      </c>
      <c r="N6" s="345" t="s">
        <v>484</v>
      </c>
      <c r="O6" s="1784" t="s">
        <v>485</v>
      </c>
      <c r="P6" s="1785"/>
      <c r="Q6" s="1773" t="s">
        <v>134</v>
      </c>
    </row>
    <row r="7" spans="1:17" s="288" customFormat="1" ht="38.25" customHeight="1" thickBot="1">
      <c r="A7" s="1772"/>
      <c r="B7" s="1781"/>
      <c r="C7" s="1782"/>
      <c r="D7" s="1774"/>
      <c r="E7" s="1778"/>
      <c r="F7" s="347" t="s">
        <v>486</v>
      </c>
      <c r="G7" s="1774"/>
      <c r="H7" s="346" t="s">
        <v>487</v>
      </c>
      <c r="I7" s="346" t="s">
        <v>488</v>
      </c>
      <c r="J7" s="346" t="s">
        <v>489</v>
      </c>
      <c r="K7" s="346" t="s">
        <v>490</v>
      </c>
      <c r="L7" s="346"/>
      <c r="M7" s="346" t="s">
        <v>491</v>
      </c>
      <c r="N7" s="347" t="s">
        <v>492</v>
      </c>
      <c r="O7" s="348" t="s">
        <v>493</v>
      </c>
      <c r="P7" s="348" t="s">
        <v>494</v>
      </c>
      <c r="Q7" s="1774"/>
    </row>
    <row r="8" spans="1:17" s="927" customFormat="1" ht="33.75" customHeight="1">
      <c r="A8" s="938">
        <v>1</v>
      </c>
      <c r="B8" s="926" t="s">
        <v>495</v>
      </c>
      <c r="C8" s="927" t="s">
        <v>496</v>
      </c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>
        <v>2000</v>
      </c>
      <c r="P8" s="928">
        <v>1151</v>
      </c>
      <c r="Q8" s="928">
        <f aca="true" t="shared" si="0" ref="Q8:Q55">SUM(D8:P8)</f>
        <v>3151</v>
      </c>
    </row>
    <row r="9" spans="1:17" s="268" customFormat="1" ht="17.25">
      <c r="A9" s="938">
        <v>2</v>
      </c>
      <c r="B9" s="304"/>
      <c r="C9" s="268" t="s">
        <v>574</v>
      </c>
      <c r="D9" s="296"/>
      <c r="E9" s="296"/>
      <c r="F9" s="296"/>
      <c r="G9" s="296">
        <v>50</v>
      </c>
      <c r="H9" s="296">
        <v>60</v>
      </c>
      <c r="I9" s="296">
        <v>840</v>
      </c>
      <c r="J9" s="296"/>
      <c r="K9" s="296">
        <v>81</v>
      </c>
      <c r="L9" s="296"/>
      <c r="M9" s="296">
        <v>1120</v>
      </c>
      <c r="N9" s="296">
        <v>1000</v>
      </c>
      <c r="O9" s="296">
        <v>0</v>
      </c>
      <c r="P9" s="296"/>
      <c r="Q9" s="296">
        <f t="shared" si="0"/>
        <v>3151</v>
      </c>
    </row>
    <row r="10" spans="1:17" s="282" customFormat="1" ht="18" customHeight="1">
      <c r="A10" s="938">
        <v>3</v>
      </c>
      <c r="B10" s="349"/>
      <c r="C10" s="282" t="s">
        <v>497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>
        <f t="shared" si="0"/>
        <v>0</v>
      </c>
    </row>
    <row r="11" spans="1:17" s="304" customFormat="1" ht="18" customHeight="1">
      <c r="A11" s="937">
        <v>4</v>
      </c>
      <c r="C11" s="305" t="s">
        <v>957</v>
      </c>
      <c r="D11" s="351">
        <f aca="true" t="shared" si="1" ref="D11:N11">SUM(D9:D10)</f>
        <v>0</v>
      </c>
      <c r="E11" s="351">
        <f t="shared" si="1"/>
        <v>0</v>
      </c>
      <c r="F11" s="351">
        <f t="shared" si="1"/>
        <v>0</v>
      </c>
      <c r="G11" s="351">
        <f t="shared" si="1"/>
        <v>50</v>
      </c>
      <c r="H11" s="351">
        <f t="shared" si="1"/>
        <v>60</v>
      </c>
      <c r="I11" s="351">
        <f t="shared" si="1"/>
        <v>840</v>
      </c>
      <c r="J11" s="351">
        <f t="shared" si="1"/>
        <v>0</v>
      </c>
      <c r="K11" s="351">
        <f t="shared" si="1"/>
        <v>81</v>
      </c>
      <c r="L11" s="351">
        <f t="shared" si="1"/>
        <v>0</v>
      </c>
      <c r="M11" s="351">
        <f t="shared" si="1"/>
        <v>1120</v>
      </c>
      <c r="N11" s="351">
        <f t="shared" si="1"/>
        <v>1000</v>
      </c>
      <c r="O11" s="351">
        <f>SUM(O9:O10)</f>
        <v>0</v>
      </c>
      <c r="P11" s="351">
        <f>SUM(P9:P10)</f>
        <v>0</v>
      </c>
      <c r="Q11" s="351">
        <f t="shared" si="0"/>
        <v>3151</v>
      </c>
    </row>
    <row r="12" spans="1:17" s="927" customFormat="1" ht="33.75" customHeight="1">
      <c r="A12" s="938">
        <v>5</v>
      </c>
      <c r="B12" s="926" t="s">
        <v>792</v>
      </c>
      <c r="C12" s="927" t="s">
        <v>496</v>
      </c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>
        <v>2000</v>
      </c>
      <c r="P12" s="928">
        <v>2705</v>
      </c>
      <c r="Q12" s="928">
        <f t="shared" si="0"/>
        <v>4705</v>
      </c>
    </row>
    <row r="13" spans="1:17" s="268" customFormat="1" ht="17.25">
      <c r="A13" s="938">
        <v>6</v>
      </c>
      <c r="B13" s="304"/>
      <c r="C13" s="268" t="s">
        <v>574</v>
      </c>
      <c r="D13" s="296">
        <v>1200</v>
      </c>
      <c r="E13" s="296">
        <v>200</v>
      </c>
      <c r="F13" s="296"/>
      <c r="G13" s="296">
        <v>150</v>
      </c>
      <c r="H13" s="296"/>
      <c r="I13" s="296"/>
      <c r="J13" s="296"/>
      <c r="K13" s="296"/>
      <c r="L13" s="296"/>
      <c r="M13" s="296">
        <v>1598</v>
      </c>
      <c r="N13" s="296">
        <v>1300</v>
      </c>
      <c r="O13" s="296">
        <v>7</v>
      </c>
      <c r="P13" s="296">
        <v>0</v>
      </c>
      <c r="Q13" s="296">
        <f t="shared" si="0"/>
        <v>4455</v>
      </c>
    </row>
    <row r="14" spans="1:17" s="282" customFormat="1" ht="18" customHeight="1">
      <c r="A14" s="937">
        <v>7</v>
      </c>
      <c r="B14" s="349"/>
      <c r="C14" s="282" t="s">
        <v>497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296"/>
      <c r="Q14" s="350">
        <f>SUM(D14:P14)</f>
        <v>0</v>
      </c>
    </row>
    <row r="15" spans="1:17" s="304" customFormat="1" ht="18" customHeight="1">
      <c r="A15" s="938">
        <v>8</v>
      </c>
      <c r="C15" s="305" t="s">
        <v>957</v>
      </c>
      <c r="D15" s="351">
        <f aca="true" t="shared" si="2" ref="D15:Q15">SUM(D13:D14)</f>
        <v>1200</v>
      </c>
      <c r="E15" s="351">
        <f t="shared" si="2"/>
        <v>200</v>
      </c>
      <c r="F15" s="351">
        <f t="shared" si="2"/>
        <v>0</v>
      </c>
      <c r="G15" s="351">
        <f t="shared" si="2"/>
        <v>150</v>
      </c>
      <c r="H15" s="351">
        <f t="shared" si="2"/>
        <v>0</v>
      </c>
      <c r="I15" s="351">
        <f t="shared" si="2"/>
        <v>0</v>
      </c>
      <c r="J15" s="351">
        <f t="shared" si="2"/>
        <v>0</v>
      </c>
      <c r="K15" s="351">
        <f t="shared" si="2"/>
        <v>0</v>
      </c>
      <c r="L15" s="351">
        <f t="shared" si="2"/>
        <v>0</v>
      </c>
      <c r="M15" s="351">
        <f t="shared" si="2"/>
        <v>1598</v>
      </c>
      <c r="N15" s="351">
        <f t="shared" si="2"/>
        <v>1300</v>
      </c>
      <c r="O15" s="351">
        <f t="shared" si="2"/>
        <v>7</v>
      </c>
      <c r="P15" s="351">
        <f t="shared" si="2"/>
        <v>0</v>
      </c>
      <c r="Q15" s="351">
        <f t="shared" si="2"/>
        <v>4455</v>
      </c>
    </row>
    <row r="16" spans="1:17" s="927" customFormat="1" ht="33.75" customHeight="1">
      <c r="A16" s="938">
        <v>9</v>
      </c>
      <c r="B16" s="926" t="s">
        <v>498</v>
      </c>
      <c r="C16" s="927" t="s">
        <v>496</v>
      </c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>
        <v>2000</v>
      </c>
      <c r="P16" s="928">
        <v>904</v>
      </c>
      <c r="Q16" s="928">
        <f t="shared" si="0"/>
        <v>2904</v>
      </c>
    </row>
    <row r="17" spans="1:17" s="268" customFormat="1" ht="17.25">
      <c r="A17" s="937">
        <v>10</v>
      </c>
      <c r="B17" s="304"/>
      <c r="C17" s="268" t="s">
        <v>574</v>
      </c>
      <c r="D17" s="296">
        <v>550</v>
      </c>
      <c r="E17" s="296">
        <v>350</v>
      </c>
      <c r="F17" s="296"/>
      <c r="G17" s="296">
        <v>345</v>
      </c>
      <c r="H17" s="296"/>
      <c r="I17" s="296">
        <v>30</v>
      </c>
      <c r="J17" s="296"/>
      <c r="K17" s="296"/>
      <c r="L17" s="296"/>
      <c r="M17" s="296">
        <v>1050</v>
      </c>
      <c r="N17" s="296">
        <v>572</v>
      </c>
      <c r="O17" s="296">
        <v>7</v>
      </c>
      <c r="P17" s="296"/>
      <c r="Q17" s="296">
        <f t="shared" si="0"/>
        <v>2904</v>
      </c>
    </row>
    <row r="18" spans="1:17" s="282" customFormat="1" ht="18" customHeight="1">
      <c r="A18" s="938">
        <v>11</v>
      </c>
      <c r="B18" s="349"/>
      <c r="C18" s="282" t="s">
        <v>497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296"/>
      <c r="Q18" s="350">
        <f t="shared" si="0"/>
        <v>0</v>
      </c>
    </row>
    <row r="19" spans="1:17" s="304" customFormat="1" ht="18" customHeight="1">
      <c r="A19" s="938">
        <v>12</v>
      </c>
      <c r="C19" s="305" t="s">
        <v>957</v>
      </c>
      <c r="D19" s="351">
        <f>SUM(D17:D18)</f>
        <v>550</v>
      </c>
      <c r="E19" s="351">
        <f aca="true" t="shared" si="3" ref="E19:P19">SUM(E17:E18)</f>
        <v>350</v>
      </c>
      <c r="F19" s="351">
        <f t="shared" si="3"/>
        <v>0</v>
      </c>
      <c r="G19" s="351">
        <f t="shared" si="3"/>
        <v>345</v>
      </c>
      <c r="H19" s="351">
        <f t="shared" si="3"/>
        <v>0</v>
      </c>
      <c r="I19" s="351">
        <f t="shared" si="3"/>
        <v>30</v>
      </c>
      <c r="J19" s="351">
        <f t="shared" si="3"/>
        <v>0</v>
      </c>
      <c r="K19" s="351">
        <f t="shared" si="3"/>
        <v>0</v>
      </c>
      <c r="L19" s="351">
        <f t="shared" si="3"/>
        <v>0</v>
      </c>
      <c r="M19" s="351">
        <f t="shared" si="3"/>
        <v>1050</v>
      </c>
      <c r="N19" s="351">
        <f t="shared" si="3"/>
        <v>572</v>
      </c>
      <c r="O19" s="351">
        <f t="shared" si="3"/>
        <v>7</v>
      </c>
      <c r="P19" s="351">
        <f t="shared" si="3"/>
        <v>0</v>
      </c>
      <c r="Q19" s="351">
        <f t="shared" si="0"/>
        <v>2904</v>
      </c>
    </row>
    <row r="20" spans="1:17" s="927" customFormat="1" ht="33.75" customHeight="1">
      <c r="A20" s="937">
        <v>13</v>
      </c>
      <c r="B20" s="926" t="s">
        <v>499</v>
      </c>
      <c r="C20" s="927" t="s">
        <v>496</v>
      </c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>
        <v>2000</v>
      </c>
      <c r="P20" s="928">
        <v>2391</v>
      </c>
      <c r="Q20" s="928">
        <f t="shared" si="0"/>
        <v>4391</v>
      </c>
    </row>
    <row r="21" spans="1:17" s="268" customFormat="1" ht="17.25">
      <c r="A21" s="938">
        <v>14</v>
      </c>
      <c r="B21" s="304"/>
      <c r="C21" s="268" t="s">
        <v>574</v>
      </c>
      <c r="D21" s="296">
        <v>1370</v>
      </c>
      <c r="E21" s="296">
        <v>300</v>
      </c>
      <c r="F21" s="296"/>
      <c r="G21" s="296">
        <v>216</v>
      </c>
      <c r="H21" s="296"/>
      <c r="I21" s="296">
        <v>30</v>
      </c>
      <c r="J21" s="296"/>
      <c r="K21" s="296"/>
      <c r="L21" s="296"/>
      <c r="M21" s="296">
        <v>765</v>
      </c>
      <c r="N21" s="296">
        <v>1380</v>
      </c>
      <c r="O21" s="296">
        <v>330</v>
      </c>
      <c r="P21" s="296">
        <v>0</v>
      </c>
      <c r="Q21" s="296">
        <f t="shared" si="0"/>
        <v>4391</v>
      </c>
    </row>
    <row r="22" spans="1:17" s="282" customFormat="1" ht="18" customHeight="1">
      <c r="A22" s="938">
        <v>15</v>
      </c>
      <c r="B22" s="349"/>
      <c r="C22" s="282" t="s">
        <v>497</v>
      </c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296"/>
      <c r="Q22" s="350">
        <f t="shared" si="0"/>
        <v>0</v>
      </c>
    </row>
    <row r="23" spans="1:17" s="304" customFormat="1" ht="18" customHeight="1">
      <c r="A23" s="937">
        <v>16</v>
      </c>
      <c r="C23" s="305" t="s">
        <v>957</v>
      </c>
      <c r="D23" s="351">
        <f>SUM(D21:D22)</f>
        <v>1370</v>
      </c>
      <c r="E23" s="351">
        <f aca="true" t="shared" si="4" ref="E23:P23">SUM(E21:E22)</f>
        <v>300</v>
      </c>
      <c r="F23" s="351">
        <f t="shared" si="4"/>
        <v>0</v>
      </c>
      <c r="G23" s="351">
        <f t="shared" si="4"/>
        <v>216</v>
      </c>
      <c r="H23" s="351">
        <f t="shared" si="4"/>
        <v>0</v>
      </c>
      <c r="I23" s="351">
        <f t="shared" si="4"/>
        <v>30</v>
      </c>
      <c r="J23" s="351">
        <f t="shared" si="4"/>
        <v>0</v>
      </c>
      <c r="K23" s="351">
        <f t="shared" si="4"/>
        <v>0</v>
      </c>
      <c r="L23" s="351">
        <f t="shared" si="4"/>
        <v>0</v>
      </c>
      <c r="M23" s="351">
        <f t="shared" si="4"/>
        <v>765</v>
      </c>
      <c r="N23" s="351">
        <f t="shared" si="4"/>
        <v>1380</v>
      </c>
      <c r="O23" s="351">
        <f t="shared" si="4"/>
        <v>330</v>
      </c>
      <c r="P23" s="351">
        <f t="shared" si="4"/>
        <v>0</v>
      </c>
      <c r="Q23" s="351">
        <f t="shared" si="0"/>
        <v>4391</v>
      </c>
    </row>
    <row r="24" spans="1:18" s="927" customFormat="1" ht="33.75" customHeight="1">
      <c r="A24" s="938">
        <v>17</v>
      </c>
      <c r="B24" s="926" t="s">
        <v>500</v>
      </c>
      <c r="C24" s="927" t="s">
        <v>496</v>
      </c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>
        <v>2000</v>
      </c>
      <c r="P24" s="928">
        <v>1259</v>
      </c>
      <c r="Q24" s="928">
        <f t="shared" si="0"/>
        <v>3259</v>
      </c>
      <c r="R24" s="934"/>
    </row>
    <row r="25" spans="1:18" s="268" customFormat="1" ht="17.25">
      <c r="A25" s="938">
        <v>18</v>
      </c>
      <c r="B25" s="304"/>
      <c r="C25" s="268" t="s">
        <v>574</v>
      </c>
      <c r="D25" s="296">
        <v>50</v>
      </c>
      <c r="E25" s="296">
        <v>300</v>
      </c>
      <c r="F25" s="296"/>
      <c r="G25" s="296">
        <v>514</v>
      </c>
      <c r="H25" s="296">
        <v>342</v>
      </c>
      <c r="I25" s="296">
        <v>200</v>
      </c>
      <c r="J25" s="296"/>
      <c r="K25" s="296"/>
      <c r="L25" s="296"/>
      <c r="M25" s="296">
        <v>325</v>
      </c>
      <c r="N25" s="296">
        <v>955</v>
      </c>
      <c r="O25" s="296">
        <v>473</v>
      </c>
      <c r="P25" s="296">
        <v>0</v>
      </c>
      <c r="Q25" s="296">
        <f t="shared" si="0"/>
        <v>3159</v>
      </c>
      <c r="R25" s="352"/>
    </row>
    <row r="26" spans="1:17" s="282" customFormat="1" ht="18" customHeight="1">
      <c r="A26" s="937">
        <v>19</v>
      </c>
      <c r="B26" s="349"/>
      <c r="C26" s="282" t="s">
        <v>497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>
        <v>280</v>
      </c>
      <c r="O26" s="350">
        <v>-280</v>
      </c>
      <c r="P26" s="296"/>
      <c r="Q26" s="350">
        <f t="shared" si="0"/>
        <v>0</v>
      </c>
    </row>
    <row r="27" spans="1:17" s="304" customFormat="1" ht="18" customHeight="1">
      <c r="A27" s="938">
        <v>20</v>
      </c>
      <c r="C27" s="305" t="s">
        <v>957</v>
      </c>
      <c r="D27" s="353">
        <f aca="true" t="shared" si="5" ref="D27:P27">SUM(D25:D26)</f>
        <v>50</v>
      </c>
      <c r="E27" s="353">
        <f t="shared" si="5"/>
        <v>300</v>
      </c>
      <c r="F27" s="353">
        <f t="shared" si="5"/>
        <v>0</v>
      </c>
      <c r="G27" s="353">
        <f t="shared" si="5"/>
        <v>514</v>
      </c>
      <c r="H27" s="353">
        <f t="shared" si="5"/>
        <v>342</v>
      </c>
      <c r="I27" s="353">
        <f t="shared" si="5"/>
        <v>200</v>
      </c>
      <c r="J27" s="353">
        <f t="shared" si="5"/>
        <v>0</v>
      </c>
      <c r="K27" s="353">
        <f t="shared" si="5"/>
        <v>0</v>
      </c>
      <c r="L27" s="353">
        <f t="shared" si="5"/>
        <v>0</v>
      </c>
      <c r="M27" s="353">
        <f t="shared" si="5"/>
        <v>325</v>
      </c>
      <c r="N27" s="353">
        <f t="shared" si="5"/>
        <v>1235</v>
      </c>
      <c r="O27" s="353">
        <f t="shared" si="5"/>
        <v>193</v>
      </c>
      <c r="P27" s="353">
        <f t="shared" si="5"/>
        <v>0</v>
      </c>
      <c r="Q27" s="351">
        <f>SUM(D27:P27)</f>
        <v>3159</v>
      </c>
    </row>
    <row r="28" spans="1:17" s="927" customFormat="1" ht="33.75" customHeight="1">
      <c r="A28" s="938">
        <v>21</v>
      </c>
      <c r="B28" s="926" t="s">
        <v>501</v>
      </c>
      <c r="C28" s="927" t="s">
        <v>496</v>
      </c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928"/>
      <c r="O28" s="928">
        <v>2000</v>
      </c>
      <c r="P28" s="928">
        <v>1649</v>
      </c>
      <c r="Q28" s="928">
        <f t="shared" si="0"/>
        <v>3649</v>
      </c>
    </row>
    <row r="29" spans="1:17" s="268" customFormat="1" ht="17.25">
      <c r="A29" s="937">
        <v>22</v>
      </c>
      <c r="B29" s="304"/>
      <c r="C29" s="268" t="s">
        <v>574</v>
      </c>
      <c r="D29" s="296">
        <v>2316</v>
      </c>
      <c r="E29" s="296"/>
      <c r="F29" s="296"/>
      <c r="G29" s="296">
        <v>50</v>
      </c>
      <c r="H29" s="296"/>
      <c r="I29" s="296">
        <v>50</v>
      </c>
      <c r="J29" s="296"/>
      <c r="K29" s="296"/>
      <c r="L29" s="296"/>
      <c r="M29" s="296">
        <v>590</v>
      </c>
      <c r="N29" s="296">
        <v>500</v>
      </c>
      <c r="O29" s="296">
        <v>143</v>
      </c>
      <c r="P29" s="296">
        <v>0</v>
      </c>
      <c r="Q29" s="296">
        <f t="shared" si="0"/>
        <v>3649</v>
      </c>
    </row>
    <row r="30" spans="1:17" s="282" customFormat="1" ht="18" customHeight="1">
      <c r="A30" s="938">
        <v>23</v>
      </c>
      <c r="B30" s="349"/>
      <c r="C30" s="282" t="s">
        <v>497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296"/>
      <c r="Q30" s="350">
        <f t="shared" si="0"/>
        <v>0</v>
      </c>
    </row>
    <row r="31" spans="1:17" s="304" customFormat="1" ht="18" customHeight="1">
      <c r="A31" s="938">
        <v>24</v>
      </c>
      <c r="C31" s="305" t="s">
        <v>957</v>
      </c>
      <c r="D31" s="353">
        <f>SUM(D29:D30)</f>
        <v>2316</v>
      </c>
      <c r="E31" s="353">
        <f aca="true" t="shared" si="6" ref="E31:P31">SUM(E29:E30)</f>
        <v>0</v>
      </c>
      <c r="F31" s="353">
        <f t="shared" si="6"/>
        <v>0</v>
      </c>
      <c r="G31" s="353">
        <f t="shared" si="6"/>
        <v>50</v>
      </c>
      <c r="H31" s="353">
        <f t="shared" si="6"/>
        <v>0</v>
      </c>
      <c r="I31" s="353">
        <f t="shared" si="6"/>
        <v>50</v>
      </c>
      <c r="J31" s="353">
        <f t="shared" si="6"/>
        <v>0</v>
      </c>
      <c r="K31" s="353">
        <f t="shared" si="6"/>
        <v>0</v>
      </c>
      <c r="L31" s="353">
        <f t="shared" si="6"/>
        <v>0</v>
      </c>
      <c r="M31" s="353">
        <f t="shared" si="6"/>
        <v>590</v>
      </c>
      <c r="N31" s="353">
        <f t="shared" si="6"/>
        <v>500</v>
      </c>
      <c r="O31" s="353">
        <f t="shared" si="6"/>
        <v>143</v>
      </c>
      <c r="P31" s="353">
        <f t="shared" si="6"/>
        <v>0</v>
      </c>
      <c r="Q31" s="351">
        <f t="shared" si="0"/>
        <v>3649</v>
      </c>
    </row>
    <row r="32" spans="1:17" s="927" customFormat="1" ht="33.75" customHeight="1">
      <c r="A32" s="937">
        <v>25</v>
      </c>
      <c r="B32" s="926" t="s">
        <v>502</v>
      </c>
      <c r="C32" s="927" t="s">
        <v>496</v>
      </c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>
        <v>2000</v>
      </c>
      <c r="P32" s="928">
        <v>2434</v>
      </c>
      <c r="Q32" s="928">
        <f t="shared" si="0"/>
        <v>4434</v>
      </c>
    </row>
    <row r="33" spans="1:17" s="268" customFormat="1" ht="17.25">
      <c r="A33" s="938">
        <v>26</v>
      </c>
      <c r="B33" s="304"/>
      <c r="C33" s="268" t="s">
        <v>574</v>
      </c>
      <c r="D33" s="296"/>
      <c r="E33" s="296"/>
      <c r="F33" s="296"/>
      <c r="G33" s="296">
        <v>100</v>
      </c>
      <c r="H33" s="296">
        <v>150</v>
      </c>
      <c r="I33" s="296">
        <v>30</v>
      </c>
      <c r="J33" s="296"/>
      <c r="K33" s="296"/>
      <c r="L33" s="296"/>
      <c r="M33" s="296">
        <v>1716</v>
      </c>
      <c r="N33" s="296">
        <v>680</v>
      </c>
      <c r="O33" s="296">
        <v>1458</v>
      </c>
      <c r="P33" s="296">
        <v>0</v>
      </c>
      <c r="Q33" s="296">
        <f t="shared" si="0"/>
        <v>4134</v>
      </c>
    </row>
    <row r="34" spans="1:17" s="282" customFormat="1" ht="18" customHeight="1">
      <c r="A34" s="938">
        <v>27</v>
      </c>
      <c r="B34" s="349"/>
      <c r="C34" s="282" t="s">
        <v>497</v>
      </c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296"/>
      <c r="Q34" s="350">
        <f t="shared" si="0"/>
        <v>0</v>
      </c>
    </row>
    <row r="35" spans="1:17" s="304" customFormat="1" ht="18" customHeight="1">
      <c r="A35" s="937">
        <v>28</v>
      </c>
      <c r="C35" s="305" t="s">
        <v>957</v>
      </c>
      <c r="D35" s="351">
        <f aca="true" t="shared" si="7" ref="D35:I35">SUM(D33:D34)</f>
        <v>0</v>
      </c>
      <c r="E35" s="351">
        <f t="shared" si="7"/>
        <v>0</v>
      </c>
      <c r="F35" s="351">
        <f t="shared" si="7"/>
        <v>0</v>
      </c>
      <c r="G35" s="351">
        <f t="shared" si="7"/>
        <v>100</v>
      </c>
      <c r="H35" s="351">
        <f t="shared" si="7"/>
        <v>150</v>
      </c>
      <c r="I35" s="351">
        <f t="shared" si="7"/>
        <v>30</v>
      </c>
      <c r="J35" s="351">
        <f aca="true" t="shared" si="8" ref="J35:P35">SUM(J33:J34)</f>
        <v>0</v>
      </c>
      <c r="K35" s="351">
        <f t="shared" si="8"/>
        <v>0</v>
      </c>
      <c r="L35" s="351">
        <f t="shared" si="8"/>
        <v>0</v>
      </c>
      <c r="M35" s="351">
        <f t="shared" si="8"/>
        <v>1716</v>
      </c>
      <c r="N35" s="351">
        <f t="shared" si="8"/>
        <v>680</v>
      </c>
      <c r="O35" s="351">
        <f t="shared" si="8"/>
        <v>1458</v>
      </c>
      <c r="P35" s="351">
        <f t="shared" si="8"/>
        <v>0</v>
      </c>
      <c r="Q35" s="351">
        <f t="shared" si="0"/>
        <v>4134</v>
      </c>
    </row>
    <row r="36" spans="1:17" s="927" customFormat="1" ht="30" customHeight="1">
      <c r="A36" s="938">
        <v>29</v>
      </c>
      <c r="B36" s="926" t="s">
        <v>503</v>
      </c>
      <c r="C36" s="927" t="s">
        <v>496</v>
      </c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>
        <v>2000</v>
      </c>
      <c r="P36" s="928">
        <v>1644</v>
      </c>
      <c r="Q36" s="928">
        <f t="shared" si="0"/>
        <v>3644</v>
      </c>
    </row>
    <row r="37" spans="1:17" s="268" customFormat="1" ht="17.25">
      <c r="A37" s="938">
        <v>30</v>
      </c>
      <c r="B37" s="304"/>
      <c r="C37" s="268" t="s">
        <v>574</v>
      </c>
      <c r="D37" s="296">
        <v>1300</v>
      </c>
      <c r="E37" s="296"/>
      <c r="F37" s="296"/>
      <c r="G37" s="296">
        <v>100</v>
      </c>
      <c r="H37" s="296">
        <v>456</v>
      </c>
      <c r="I37" s="296">
        <v>30</v>
      </c>
      <c r="J37" s="296"/>
      <c r="K37" s="296"/>
      <c r="L37" s="296"/>
      <c r="M37" s="296">
        <v>1165</v>
      </c>
      <c r="N37" s="296">
        <v>593</v>
      </c>
      <c r="O37" s="296">
        <v>0</v>
      </c>
      <c r="P37" s="296">
        <v>0</v>
      </c>
      <c r="Q37" s="296">
        <f t="shared" si="0"/>
        <v>3644</v>
      </c>
    </row>
    <row r="38" spans="1:17" s="282" customFormat="1" ht="18" customHeight="1">
      <c r="A38" s="937">
        <v>31</v>
      </c>
      <c r="B38" s="349"/>
      <c r="C38" s="282" t="s">
        <v>497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296"/>
      <c r="Q38" s="350">
        <f t="shared" si="0"/>
        <v>0</v>
      </c>
    </row>
    <row r="39" spans="1:17" s="304" customFormat="1" ht="18" customHeight="1">
      <c r="A39" s="938">
        <v>32</v>
      </c>
      <c r="C39" s="305" t="s">
        <v>957</v>
      </c>
      <c r="D39" s="351">
        <f>SUM(D37:D38)</f>
        <v>1300</v>
      </c>
      <c r="E39" s="351">
        <f aca="true" t="shared" si="9" ref="E39:P39">SUM(E37:E38)</f>
        <v>0</v>
      </c>
      <c r="F39" s="351">
        <f t="shared" si="9"/>
        <v>0</v>
      </c>
      <c r="G39" s="351">
        <f t="shared" si="9"/>
        <v>100</v>
      </c>
      <c r="H39" s="351">
        <f t="shared" si="9"/>
        <v>456</v>
      </c>
      <c r="I39" s="351">
        <f t="shared" si="9"/>
        <v>30</v>
      </c>
      <c r="J39" s="351">
        <f t="shared" si="9"/>
        <v>0</v>
      </c>
      <c r="K39" s="351">
        <f t="shared" si="9"/>
        <v>0</v>
      </c>
      <c r="L39" s="351">
        <f t="shared" si="9"/>
        <v>0</v>
      </c>
      <c r="M39" s="351">
        <f t="shared" si="9"/>
        <v>1165</v>
      </c>
      <c r="N39" s="351">
        <f t="shared" si="9"/>
        <v>593</v>
      </c>
      <c r="O39" s="351">
        <f t="shared" si="9"/>
        <v>0</v>
      </c>
      <c r="P39" s="351">
        <f t="shared" si="9"/>
        <v>0</v>
      </c>
      <c r="Q39" s="351">
        <f t="shared" si="0"/>
        <v>3644</v>
      </c>
    </row>
    <row r="40" spans="1:17" s="927" customFormat="1" ht="30" customHeight="1">
      <c r="A40" s="938">
        <v>33</v>
      </c>
      <c r="B40" s="926" t="s">
        <v>504</v>
      </c>
      <c r="C40" s="927" t="s">
        <v>496</v>
      </c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>
        <v>2000</v>
      </c>
      <c r="P40" s="928">
        <v>1299</v>
      </c>
      <c r="Q40" s="928">
        <f t="shared" si="0"/>
        <v>3299</v>
      </c>
    </row>
    <row r="41" spans="1:17" s="268" customFormat="1" ht="17.25">
      <c r="A41" s="937">
        <v>34</v>
      </c>
      <c r="B41" s="304"/>
      <c r="C41" s="268" t="s">
        <v>574</v>
      </c>
      <c r="D41" s="296">
        <v>1727</v>
      </c>
      <c r="E41" s="296"/>
      <c r="F41" s="296"/>
      <c r="G41" s="296">
        <v>80</v>
      </c>
      <c r="H41" s="296">
        <v>100</v>
      </c>
      <c r="I41" s="296"/>
      <c r="J41" s="296"/>
      <c r="K41" s="296"/>
      <c r="L41" s="296"/>
      <c r="M41" s="296">
        <v>704</v>
      </c>
      <c r="N41" s="296">
        <v>688</v>
      </c>
      <c r="O41" s="296">
        <v>0</v>
      </c>
      <c r="P41" s="296">
        <v>0</v>
      </c>
      <c r="Q41" s="296">
        <f t="shared" si="0"/>
        <v>3299</v>
      </c>
    </row>
    <row r="42" spans="1:17" s="282" customFormat="1" ht="18" customHeight="1">
      <c r="A42" s="938">
        <v>35</v>
      </c>
      <c r="B42" s="349"/>
      <c r="C42" s="282" t="s">
        <v>497</v>
      </c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296"/>
      <c r="Q42" s="350">
        <f t="shared" si="0"/>
        <v>0</v>
      </c>
    </row>
    <row r="43" spans="1:17" s="304" customFormat="1" ht="18" customHeight="1">
      <c r="A43" s="938">
        <v>36</v>
      </c>
      <c r="C43" s="305" t="s">
        <v>957</v>
      </c>
      <c r="D43" s="351">
        <f>SUM(D41:D42)</f>
        <v>1727</v>
      </c>
      <c r="E43" s="351">
        <f aca="true" t="shared" si="10" ref="E43:P43">SUM(E41:E42)</f>
        <v>0</v>
      </c>
      <c r="F43" s="351">
        <f t="shared" si="10"/>
        <v>0</v>
      </c>
      <c r="G43" s="351">
        <f t="shared" si="10"/>
        <v>80</v>
      </c>
      <c r="H43" s="351">
        <f t="shared" si="10"/>
        <v>100</v>
      </c>
      <c r="I43" s="351">
        <f t="shared" si="10"/>
        <v>0</v>
      </c>
      <c r="J43" s="351">
        <f t="shared" si="10"/>
        <v>0</v>
      </c>
      <c r="K43" s="351">
        <f t="shared" si="10"/>
        <v>0</v>
      </c>
      <c r="L43" s="351">
        <f t="shared" si="10"/>
        <v>0</v>
      </c>
      <c r="M43" s="351">
        <f t="shared" si="10"/>
        <v>704</v>
      </c>
      <c r="N43" s="351">
        <f t="shared" si="10"/>
        <v>688</v>
      </c>
      <c r="O43" s="351">
        <f t="shared" si="10"/>
        <v>0</v>
      </c>
      <c r="P43" s="351">
        <f t="shared" si="10"/>
        <v>0</v>
      </c>
      <c r="Q43" s="351">
        <f t="shared" si="0"/>
        <v>3299</v>
      </c>
    </row>
    <row r="44" spans="1:17" s="927" customFormat="1" ht="30" customHeight="1">
      <c r="A44" s="937">
        <v>37</v>
      </c>
      <c r="B44" s="926" t="s">
        <v>505</v>
      </c>
      <c r="C44" s="927" t="s">
        <v>496</v>
      </c>
      <c r="D44" s="928"/>
      <c r="E44" s="928"/>
      <c r="F44" s="928"/>
      <c r="G44" s="928"/>
      <c r="H44" s="928"/>
      <c r="I44" s="928"/>
      <c r="J44" s="928"/>
      <c r="K44" s="928"/>
      <c r="L44" s="928"/>
      <c r="M44" s="928"/>
      <c r="N44" s="928"/>
      <c r="O44" s="928">
        <v>2000</v>
      </c>
      <c r="P44" s="928">
        <v>1257</v>
      </c>
      <c r="Q44" s="928">
        <f t="shared" si="0"/>
        <v>3257</v>
      </c>
    </row>
    <row r="45" spans="1:17" s="268" customFormat="1" ht="17.25">
      <c r="A45" s="938">
        <v>38</v>
      </c>
      <c r="B45" s="304"/>
      <c r="C45" s="268" t="s">
        <v>574</v>
      </c>
      <c r="D45" s="296">
        <v>1500</v>
      </c>
      <c r="E45" s="296"/>
      <c r="F45" s="296"/>
      <c r="G45" s="296">
        <v>200</v>
      </c>
      <c r="H45" s="296">
        <v>410</v>
      </c>
      <c r="I45" s="296">
        <v>166</v>
      </c>
      <c r="J45" s="296"/>
      <c r="K45" s="296">
        <v>100</v>
      </c>
      <c r="L45" s="296"/>
      <c r="M45" s="296">
        <v>885</v>
      </c>
      <c r="N45" s="296">
        <v>640</v>
      </c>
      <c r="O45" s="296">
        <v>6</v>
      </c>
      <c r="P45" s="296">
        <v>0</v>
      </c>
      <c r="Q45" s="296">
        <f t="shared" si="0"/>
        <v>3907</v>
      </c>
    </row>
    <row r="46" spans="1:17" s="282" customFormat="1" ht="18" customHeight="1">
      <c r="A46" s="938">
        <v>39</v>
      </c>
      <c r="B46" s="349"/>
      <c r="C46" s="282" t="s">
        <v>497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296"/>
      <c r="Q46" s="350">
        <f t="shared" si="0"/>
        <v>0</v>
      </c>
    </row>
    <row r="47" spans="1:17" s="304" customFormat="1" ht="18" customHeight="1">
      <c r="A47" s="937">
        <v>40</v>
      </c>
      <c r="C47" s="305" t="s">
        <v>957</v>
      </c>
      <c r="D47" s="353">
        <f aca="true" t="shared" si="11" ref="D47:Q47">SUM(D45:D46)</f>
        <v>1500</v>
      </c>
      <c r="E47" s="353">
        <f t="shared" si="11"/>
        <v>0</v>
      </c>
      <c r="F47" s="353">
        <f t="shared" si="11"/>
        <v>0</v>
      </c>
      <c r="G47" s="353">
        <f t="shared" si="11"/>
        <v>200</v>
      </c>
      <c r="H47" s="353">
        <f t="shared" si="11"/>
        <v>410</v>
      </c>
      <c r="I47" s="353">
        <f t="shared" si="11"/>
        <v>166</v>
      </c>
      <c r="J47" s="353">
        <f t="shared" si="11"/>
        <v>0</v>
      </c>
      <c r="K47" s="353">
        <f t="shared" si="11"/>
        <v>100</v>
      </c>
      <c r="L47" s="353">
        <f t="shared" si="11"/>
        <v>0</v>
      </c>
      <c r="M47" s="353">
        <f t="shared" si="11"/>
        <v>885</v>
      </c>
      <c r="N47" s="353">
        <f t="shared" si="11"/>
        <v>640</v>
      </c>
      <c r="O47" s="353">
        <f t="shared" si="11"/>
        <v>6</v>
      </c>
      <c r="P47" s="353">
        <f t="shared" si="11"/>
        <v>0</v>
      </c>
      <c r="Q47" s="353">
        <f t="shared" si="11"/>
        <v>3907</v>
      </c>
    </row>
    <row r="48" spans="1:17" s="927" customFormat="1" ht="30" customHeight="1">
      <c r="A48" s="938">
        <v>41</v>
      </c>
      <c r="B48" s="926" t="s">
        <v>803</v>
      </c>
      <c r="C48" s="927" t="s">
        <v>496</v>
      </c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>
        <v>2000</v>
      </c>
      <c r="P48" s="928">
        <v>1686</v>
      </c>
      <c r="Q48" s="928">
        <f t="shared" si="0"/>
        <v>3686</v>
      </c>
    </row>
    <row r="49" spans="1:17" s="268" customFormat="1" ht="17.25">
      <c r="A49" s="938">
        <v>42</v>
      </c>
      <c r="B49" s="304"/>
      <c r="C49" s="268" t="s">
        <v>574</v>
      </c>
      <c r="D49" s="296">
        <v>600</v>
      </c>
      <c r="E49" s="296"/>
      <c r="F49" s="296"/>
      <c r="G49" s="296">
        <v>115</v>
      </c>
      <c r="H49" s="296">
        <v>160</v>
      </c>
      <c r="I49" s="296">
        <v>30</v>
      </c>
      <c r="J49" s="296"/>
      <c r="K49" s="296"/>
      <c r="L49" s="296"/>
      <c r="M49" s="296">
        <v>890</v>
      </c>
      <c r="N49" s="296">
        <v>230</v>
      </c>
      <c r="O49" s="296">
        <v>1600</v>
      </c>
      <c r="P49" s="296">
        <v>61</v>
      </c>
      <c r="Q49" s="296">
        <f t="shared" si="0"/>
        <v>3686</v>
      </c>
    </row>
    <row r="50" spans="1:17" s="282" customFormat="1" ht="18" customHeight="1">
      <c r="A50" s="937">
        <v>43</v>
      </c>
      <c r="B50" s="349"/>
      <c r="C50" s="282" t="s">
        <v>497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296"/>
      <c r="Q50" s="350">
        <f t="shared" si="0"/>
        <v>0</v>
      </c>
    </row>
    <row r="51" spans="1:17" s="304" customFormat="1" ht="18" customHeight="1">
      <c r="A51" s="938">
        <v>44</v>
      </c>
      <c r="C51" s="305" t="s">
        <v>957</v>
      </c>
      <c r="D51" s="353">
        <f>SUM(D49:D50)</f>
        <v>600</v>
      </c>
      <c r="E51" s="353">
        <f aca="true" t="shared" si="12" ref="E51:P51">SUM(E49:E50)</f>
        <v>0</v>
      </c>
      <c r="F51" s="353">
        <f t="shared" si="12"/>
        <v>0</v>
      </c>
      <c r="G51" s="353">
        <f t="shared" si="12"/>
        <v>115</v>
      </c>
      <c r="H51" s="353">
        <f t="shared" si="12"/>
        <v>160</v>
      </c>
      <c r="I51" s="353">
        <f t="shared" si="12"/>
        <v>30</v>
      </c>
      <c r="J51" s="353">
        <f t="shared" si="12"/>
        <v>0</v>
      </c>
      <c r="K51" s="353">
        <f t="shared" si="12"/>
        <v>0</v>
      </c>
      <c r="L51" s="353">
        <f t="shared" si="12"/>
        <v>0</v>
      </c>
      <c r="M51" s="353">
        <f t="shared" si="12"/>
        <v>890</v>
      </c>
      <c r="N51" s="353">
        <f t="shared" si="12"/>
        <v>230</v>
      </c>
      <c r="O51" s="353">
        <f t="shared" si="12"/>
        <v>1600</v>
      </c>
      <c r="P51" s="353">
        <f t="shared" si="12"/>
        <v>61</v>
      </c>
      <c r="Q51" s="351">
        <f t="shared" si="0"/>
        <v>3686</v>
      </c>
    </row>
    <row r="52" spans="1:17" s="927" customFormat="1" ht="30" customHeight="1">
      <c r="A52" s="938">
        <v>45</v>
      </c>
      <c r="B52" s="926" t="s">
        <v>804</v>
      </c>
      <c r="C52" s="927" t="s">
        <v>496</v>
      </c>
      <c r="D52" s="928"/>
      <c r="E52" s="928"/>
      <c r="F52" s="928"/>
      <c r="G52" s="928"/>
      <c r="H52" s="928"/>
      <c r="I52" s="928"/>
      <c r="J52" s="928"/>
      <c r="K52" s="928"/>
      <c r="L52" s="928"/>
      <c r="M52" s="928"/>
      <c r="N52" s="928"/>
      <c r="O52" s="928">
        <v>2000</v>
      </c>
      <c r="P52" s="928">
        <v>646</v>
      </c>
      <c r="Q52" s="928">
        <f t="shared" si="0"/>
        <v>2646</v>
      </c>
    </row>
    <row r="53" spans="1:17" s="268" customFormat="1" ht="17.25">
      <c r="A53" s="937">
        <v>46</v>
      </c>
      <c r="B53" s="304"/>
      <c r="C53" s="268" t="s">
        <v>574</v>
      </c>
      <c r="D53" s="296">
        <v>500</v>
      </c>
      <c r="E53" s="296"/>
      <c r="F53" s="296"/>
      <c r="G53" s="296">
        <v>80</v>
      </c>
      <c r="H53" s="296"/>
      <c r="I53" s="296">
        <v>550</v>
      </c>
      <c r="J53" s="296"/>
      <c r="K53" s="296"/>
      <c r="L53" s="296"/>
      <c r="M53" s="296">
        <v>765</v>
      </c>
      <c r="N53" s="296">
        <v>750</v>
      </c>
      <c r="O53" s="296">
        <v>1</v>
      </c>
      <c r="P53" s="296"/>
      <c r="Q53" s="296">
        <f t="shared" si="0"/>
        <v>2646</v>
      </c>
    </row>
    <row r="54" spans="1:17" s="282" customFormat="1" ht="18" customHeight="1">
      <c r="A54" s="938">
        <v>47</v>
      </c>
      <c r="B54" s="349"/>
      <c r="C54" s="282" t="s">
        <v>497</v>
      </c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296"/>
      <c r="Q54" s="350">
        <f t="shared" si="0"/>
        <v>0</v>
      </c>
    </row>
    <row r="55" spans="1:17" s="354" customFormat="1" ht="24.75" customHeight="1" thickBot="1">
      <c r="A55" s="1593">
        <v>48</v>
      </c>
      <c r="C55" s="929" t="s">
        <v>957</v>
      </c>
      <c r="D55" s="355">
        <f aca="true" t="shared" si="13" ref="D55:I55">SUM(D53:D54)</f>
        <v>500</v>
      </c>
      <c r="E55" s="355">
        <f t="shared" si="13"/>
        <v>0</v>
      </c>
      <c r="F55" s="355">
        <f t="shared" si="13"/>
        <v>0</v>
      </c>
      <c r="G55" s="355">
        <f t="shared" si="13"/>
        <v>80</v>
      </c>
      <c r="H55" s="355">
        <f t="shared" si="13"/>
        <v>0</v>
      </c>
      <c r="I55" s="355">
        <f t="shared" si="13"/>
        <v>550</v>
      </c>
      <c r="J55" s="355">
        <f aca="true" t="shared" si="14" ref="J55:P55">SUM(J53:J54)</f>
        <v>0</v>
      </c>
      <c r="K55" s="355">
        <f t="shared" si="14"/>
        <v>0</v>
      </c>
      <c r="L55" s="355">
        <f t="shared" si="14"/>
        <v>0</v>
      </c>
      <c r="M55" s="355">
        <f t="shared" si="14"/>
        <v>765</v>
      </c>
      <c r="N55" s="355">
        <f t="shared" si="14"/>
        <v>750</v>
      </c>
      <c r="O55" s="355">
        <f t="shared" si="14"/>
        <v>1</v>
      </c>
      <c r="P55" s="355">
        <f t="shared" si="14"/>
        <v>0</v>
      </c>
      <c r="Q55" s="356">
        <f t="shared" si="0"/>
        <v>2646</v>
      </c>
    </row>
    <row r="56" spans="1:17" s="927" customFormat="1" ht="19.5" customHeight="1">
      <c r="A56" s="937">
        <v>49</v>
      </c>
      <c r="B56" s="930"/>
      <c r="C56" s="931" t="s">
        <v>496</v>
      </c>
      <c r="D56" s="932">
        <f aca="true" t="shared" si="15" ref="D56:P56">SUM(D52,D48,D44,D40,D36,D32,D28,D24,D20,D16,D12,D8)</f>
        <v>0</v>
      </c>
      <c r="E56" s="932">
        <f t="shared" si="15"/>
        <v>0</v>
      </c>
      <c r="F56" s="932">
        <f t="shared" si="15"/>
        <v>0</v>
      </c>
      <c r="G56" s="932">
        <f t="shared" si="15"/>
        <v>0</v>
      </c>
      <c r="H56" s="932">
        <f t="shared" si="15"/>
        <v>0</v>
      </c>
      <c r="I56" s="932">
        <f t="shared" si="15"/>
        <v>0</v>
      </c>
      <c r="J56" s="932">
        <f t="shared" si="15"/>
        <v>0</v>
      </c>
      <c r="K56" s="932">
        <f t="shared" si="15"/>
        <v>0</v>
      </c>
      <c r="L56" s="932">
        <f t="shared" si="15"/>
        <v>0</v>
      </c>
      <c r="M56" s="932">
        <f t="shared" si="15"/>
        <v>0</v>
      </c>
      <c r="N56" s="932">
        <f t="shared" si="15"/>
        <v>0</v>
      </c>
      <c r="O56" s="932">
        <f t="shared" si="15"/>
        <v>24000</v>
      </c>
      <c r="P56" s="932">
        <f t="shared" si="15"/>
        <v>19025</v>
      </c>
      <c r="Q56" s="933">
        <f>SUM(D56:P56)</f>
        <v>43025</v>
      </c>
    </row>
    <row r="57" spans="1:17" s="268" customFormat="1" ht="19.5" customHeight="1">
      <c r="A57" s="938">
        <v>50</v>
      </c>
      <c r="B57" s="924"/>
      <c r="C57" s="268" t="s">
        <v>574</v>
      </c>
      <c r="D57" s="296">
        <f aca="true" t="shared" si="16" ref="D57:P57">SUM(D53,D49,D45,D41,D37,D33,D29,D25,D21,D17,D13,D9)</f>
        <v>11113</v>
      </c>
      <c r="E57" s="296">
        <f t="shared" si="16"/>
        <v>1150</v>
      </c>
      <c r="F57" s="296">
        <f t="shared" si="16"/>
        <v>0</v>
      </c>
      <c r="G57" s="296">
        <f t="shared" si="16"/>
        <v>2000</v>
      </c>
      <c r="H57" s="296">
        <f t="shared" si="16"/>
        <v>1678</v>
      </c>
      <c r="I57" s="296">
        <f t="shared" si="16"/>
        <v>1956</v>
      </c>
      <c r="J57" s="296">
        <f t="shared" si="16"/>
        <v>0</v>
      </c>
      <c r="K57" s="296">
        <f t="shared" si="16"/>
        <v>181</v>
      </c>
      <c r="L57" s="296">
        <f t="shared" si="16"/>
        <v>0</v>
      </c>
      <c r="M57" s="296">
        <f t="shared" si="16"/>
        <v>11573</v>
      </c>
      <c r="N57" s="296">
        <f t="shared" si="16"/>
        <v>9288</v>
      </c>
      <c r="O57" s="296">
        <f t="shared" si="16"/>
        <v>4025</v>
      </c>
      <c r="P57" s="296">
        <f t="shared" si="16"/>
        <v>61</v>
      </c>
      <c r="Q57" s="925">
        <f>SUM(D57:P57)</f>
        <v>43025</v>
      </c>
    </row>
    <row r="58" spans="1:17" s="282" customFormat="1" ht="19.5" customHeight="1">
      <c r="A58" s="938">
        <v>51</v>
      </c>
      <c r="B58" s="357"/>
      <c r="C58" s="282" t="s">
        <v>497</v>
      </c>
      <c r="D58" s="350">
        <f>SUM(D54,D50,D42,D38,D34,D30,D22,D18,D10)+D46+D14+D26</f>
        <v>0</v>
      </c>
      <c r="E58" s="350">
        <f aca="true" t="shared" si="17" ref="E58:P58">SUM(E54,E50,E42,E38,E34,E30,E22,E18,E10)+E46+E14+E26</f>
        <v>0</v>
      </c>
      <c r="F58" s="350">
        <f t="shared" si="17"/>
        <v>0</v>
      </c>
      <c r="G58" s="350">
        <f t="shared" si="17"/>
        <v>0</v>
      </c>
      <c r="H58" s="350">
        <f t="shared" si="17"/>
        <v>0</v>
      </c>
      <c r="I58" s="350">
        <f t="shared" si="17"/>
        <v>0</v>
      </c>
      <c r="J58" s="350">
        <f t="shared" si="17"/>
        <v>0</v>
      </c>
      <c r="K58" s="350">
        <f t="shared" si="17"/>
        <v>0</v>
      </c>
      <c r="L58" s="350">
        <f t="shared" si="17"/>
        <v>0</v>
      </c>
      <c r="M58" s="350">
        <f t="shared" si="17"/>
        <v>0</v>
      </c>
      <c r="N58" s="350">
        <f t="shared" si="17"/>
        <v>280</v>
      </c>
      <c r="O58" s="350">
        <f t="shared" si="17"/>
        <v>-280</v>
      </c>
      <c r="P58" s="350">
        <f t="shared" si="17"/>
        <v>0</v>
      </c>
      <c r="Q58" s="358">
        <f>SUM(D58:P58)</f>
        <v>0</v>
      </c>
    </row>
    <row r="59" spans="1:17" s="304" customFormat="1" ht="19.5" customHeight="1" thickBot="1">
      <c r="A59" s="937">
        <v>52</v>
      </c>
      <c r="B59" s="359"/>
      <c r="C59" s="360" t="s">
        <v>957</v>
      </c>
      <c r="D59" s="361">
        <f>SUM(D57:D58)</f>
        <v>11113</v>
      </c>
      <c r="E59" s="361">
        <f aca="true" t="shared" si="18" ref="E59:P59">SUM(E57:E58)</f>
        <v>1150</v>
      </c>
      <c r="F59" s="361">
        <f t="shared" si="18"/>
        <v>0</v>
      </c>
      <c r="G59" s="361">
        <f t="shared" si="18"/>
        <v>2000</v>
      </c>
      <c r="H59" s="361">
        <f t="shared" si="18"/>
        <v>1678</v>
      </c>
      <c r="I59" s="361">
        <f t="shared" si="18"/>
        <v>1956</v>
      </c>
      <c r="J59" s="361">
        <f t="shared" si="18"/>
        <v>0</v>
      </c>
      <c r="K59" s="361">
        <f t="shared" si="18"/>
        <v>181</v>
      </c>
      <c r="L59" s="361">
        <f t="shared" si="18"/>
        <v>0</v>
      </c>
      <c r="M59" s="361">
        <f t="shared" si="18"/>
        <v>11573</v>
      </c>
      <c r="N59" s="361">
        <f t="shared" si="18"/>
        <v>9568</v>
      </c>
      <c r="O59" s="361">
        <f t="shared" si="18"/>
        <v>3745</v>
      </c>
      <c r="P59" s="361">
        <f t="shared" si="18"/>
        <v>61</v>
      </c>
      <c r="Q59" s="362">
        <f>SUM(D59:P59)</f>
        <v>43025</v>
      </c>
    </row>
    <row r="60" spans="4:17" ht="17.25"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</row>
    <row r="61" spans="4:17" ht="17.25"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</row>
    <row r="62" spans="4:17" ht="17.25"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</row>
    <row r="63" spans="4:17" ht="17.25"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</row>
    <row r="64" spans="4:17" ht="17.25"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</row>
    <row r="65" spans="4:17" ht="17.25"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</row>
    <row r="66" spans="3:17" ht="17.25">
      <c r="C66" s="304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</row>
    <row r="67" spans="4:17" ht="17.25"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239"/>
      <c r="P67" s="239"/>
      <c r="Q67" s="364"/>
    </row>
    <row r="68" spans="4:17" ht="17.25"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5"/>
      <c r="O68" s="365"/>
      <c r="P68" s="365"/>
      <c r="Q68" s="365"/>
    </row>
    <row r="69" spans="3:17" ht="17.25"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5"/>
      <c r="N69" s="365"/>
      <c r="O69" s="365"/>
      <c r="P69" s="365"/>
      <c r="Q69" s="363"/>
    </row>
    <row r="70" spans="4:17" ht="17.25">
      <c r="D70" s="363"/>
      <c r="E70" s="363"/>
      <c r="F70" s="363"/>
      <c r="G70" s="363"/>
      <c r="H70" s="363"/>
      <c r="I70" s="363"/>
      <c r="J70" s="363"/>
      <c r="K70" s="363"/>
      <c r="L70" s="363"/>
      <c r="M70" s="365"/>
      <c r="N70" s="365"/>
      <c r="O70" s="365"/>
      <c r="P70" s="365"/>
      <c r="Q70" s="363"/>
    </row>
    <row r="71" spans="4:17" ht="17.25"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</row>
  </sheetData>
  <sheetProtection/>
  <mergeCells count="13">
    <mergeCell ref="B1:M1"/>
    <mergeCell ref="A6:A7"/>
    <mergeCell ref="Q6:Q7"/>
    <mergeCell ref="N1:Q1"/>
    <mergeCell ref="B2:Q2"/>
    <mergeCell ref="B3:Q3"/>
    <mergeCell ref="G6:G7"/>
    <mergeCell ref="E6:E7"/>
    <mergeCell ref="D6:D7"/>
    <mergeCell ref="B6:C7"/>
    <mergeCell ref="O4:Q4"/>
    <mergeCell ref="O6:P6"/>
    <mergeCell ref="B5:C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125" defaultRowHeight="12.75"/>
  <cols>
    <col min="1" max="1" width="3.75390625" style="2" customWidth="1"/>
    <col min="2" max="2" width="7.00390625" style="12" bestFit="1" customWidth="1"/>
    <col min="3" max="5" width="5.75390625" style="12" customWidth="1"/>
    <col min="6" max="6" width="56.875" style="13" customWidth="1"/>
    <col min="7" max="8" width="12.75390625" style="365" customWidth="1"/>
    <col min="9" max="9" width="12.75390625" style="39" customWidth="1"/>
    <col min="10" max="10" width="14.75390625" style="958" customWidth="1"/>
    <col min="11" max="11" width="12.75390625" style="439" customWidth="1"/>
    <col min="12" max="12" width="12.625" style="1078" customWidth="1"/>
    <col min="13" max="13" width="13.00390625" style="773" bestFit="1" customWidth="1"/>
    <col min="14" max="16384" width="9.125" style="13" customWidth="1"/>
  </cols>
  <sheetData>
    <row r="1" spans="2:11" ht="19.5">
      <c r="B1" s="1629" t="s">
        <v>69</v>
      </c>
      <c r="C1" s="1629"/>
      <c r="D1" s="1629"/>
      <c r="E1" s="1629"/>
      <c r="F1" s="1629"/>
      <c r="G1" s="1629"/>
      <c r="H1" s="1629"/>
      <c r="I1" s="1629"/>
      <c r="J1" s="1629"/>
      <c r="K1" s="830"/>
    </row>
    <row r="2" spans="1:13" s="14" customFormat="1" ht="18" customHeight="1">
      <c r="A2" s="2"/>
      <c r="B2" s="1630" t="s">
        <v>789</v>
      </c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</row>
    <row r="3" spans="1:13" s="14" customFormat="1" ht="18" customHeight="1">
      <c r="A3" s="2"/>
      <c r="B3" s="1631" t="s">
        <v>400</v>
      </c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</row>
    <row r="4" spans="1:13" s="14" customFormat="1" ht="18" customHeight="1">
      <c r="A4" s="2"/>
      <c r="B4" s="1633" t="s">
        <v>1061</v>
      </c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</row>
    <row r="5" spans="2:13" ht="16.5">
      <c r="B5" s="15"/>
      <c r="C5" s="15"/>
      <c r="D5" s="15"/>
      <c r="E5" s="15"/>
      <c r="F5" s="15"/>
      <c r="G5" s="366"/>
      <c r="H5" s="366"/>
      <c r="I5" s="240"/>
      <c r="J5" s="939"/>
      <c r="K5" s="443"/>
      <c r="L5" s="1632" t="s">
        <v>135</v>
      </c>
      <c r="M5" s="1632"/>
    </row>
    <row r="6" spans="2:13" ht="20.25" thickBot="1">
      <c r="B6" s="16" t="s">
        <v>146</v>
      </c>
      <c r="C6" s="16" t="s">
        <v>147</v>
      </c>
      <c r="D6" s="16" t="s">
        <v>148</v>
      </c>
      <c r="E6" s="16" t="s">
        <v>149</v>
      </c>
      <c r="F6" s="16" t="s">
        <v>150</v>
      </c>
      <c r="G6" s="367" t="s">
        <v>151</v>
      </c>
      <c r="H6" s="367" t="s">
        <v>152</v>
      </c>
      <c r="I6" s="675" t="s">
        <v>911</v>
      </c>
      <c r="J6" s="940" t="s">
        <v>912</v>
      </c>
      <c r="K6" s="429" t="s">
        <v>858</v>
      </c>
      <c r="L6" s="1079" t="s">
        <v>859</v>
      </c>
      <c r="M6" s="429" t="s">
        <v>860</v>
      </c>
    </row>
    <row r="7" spans="1:24" s="18" customFormat="1" ht="57.75" thickBot="1">
      <c r="A7" s="104"/>
      <c r="B7" s="69" t="s">
        <v>790</v>
      </c>
      <c r="C7" s="70" t="s">
        <v>418</v>
      </c>
      <c r="D7" s="11" t="s">
        <v>8</v>
      </c>
      <c r="E7" s="11" t="s">
        <v>9</v>
      </c>
      <c r="F7" s="368" t="s">
        <v>136</v>
      </c>
      <c r="G7" s="105" t="s">
        <v>197</v>
      </c>
      <c r="H7" s="105" t="s">
        <v>198</v>
      </c>
      <c r="I7" s="676" t="s">
        <v>38</v>
      </c>
      <c r="J7" s="941" t="s">
        <v>276</v>
      </c>
      <c r="K7" s="835" t="s">
        <v>956</v>
      </c>
      <c r="L7" s="430" t="s">
        <v>873</v>
      </c>
      <c r="M7" s="431" t="s">
        <v>1066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20" customFormat="1" ht="25.5" customHeight="1">
      <c r="A8" s="1">
        <v>1</v>
      </c>
      <c r="B8" s="230"/>
      <c r="C8" s="99"/>
      <c r="D8" s="100">
        <v>1</v>
      </c>
      <c r="E8" s="100"/>
      <c r="F8" s="101" t="s">
        <v>894</v>
      </c>
      <c r="G8" s="166">
        <f aca="true" t="shared" si="0" ref="G8:M8">SUM(G9,G18,G32,G37,G38,G17,G36)</f>
        <v>14952917</v>
      </c>
      <c r="H8" s="166">
        <f t="shared" si="0"/>
        <v>10346289</v>
      </c>
      <c r="I8" s="677">
        <f t="shared" si="0"/>
        <v>11976121</v>
      </c>
      <c r="J8" s="942">
        <f t="shared" si="0"/>
        <v>10513484</v>
      </c>
      <c r="K8" s="166">
        <f t="shared" si="0"/>
        <v>11282036</v>
      </c>
      <c r="L8" s="1080">
        <f t="shared" si="0"/>
        <v>169456</v>
      </c>
      <c r="M8" s="826">
        <f t="shared" si="0"/>
        <v>11451492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36" customHeight="1">
      <c r="A9" s="1">
        <v>2</v>
      </c>
      <c r="B9" s="231">
        <v>18</v>
      </c>
      <c r="C9" s="98"/>
      <c r="D9" s="102"/>
      <c r="E9" s="102">
        <v>1</v>
      </c>
      <c r="F9" s="98" t="s">
        <v>900</v>
      </c>
      <c r="G9" s="103">
        <f aca="true" t="shared" si="1" ref="G9:M9">SUM(G10,G14:G15)</f>
        <v>6651983</v>
      </c>
      <c r="H9" s="103">
        <f t="shared" si="1"/>
        <v>3165117</v>
      </c>
      <c r="I9" s="678">
        <f t="shared" si="1"/>
        <v>4667298</v>
      </c>
      <c r="J9" s="943">
        <f>SUM(J10,J14:J15)</f>
        <v>3507784</v>
      </c>
      <c r="K9" s="432">
        <f>SUM(K10,K14:K15)</f>
        <v>3902733</v>
      </c>
      <c r="L9" s="1081">
        <f>SUM(L10,L14:L15)</f>
        <v>-42837</v>
      </c>
      <c r="M9" s="433">
        <f t="shared" si="1"/>
        <v>3859896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13" s="24" customFormat="1" ht="25.5" customHeight="1">
      <c r="A10" s="1">
        <v>3</v>
      </c>
      <c r="B10" s="21"/>
      <c r="C10" s="22"/>
      <c r="D10" s="15"/>
      <c r="E10" s="15"/>
      <c r="F10" s="197" t="s">
        <v>813</v>
      </c>
      <c r="G10" s="23">
        <f aca="true" t="shared" si="2" ref="G10:M10">SUM(G11:G13)</f>
        <v>6259231</v>
      </c>
      <c r="H10" s="23">
        <f t="shared" si="2"/>
        <v>2162435</v>
      </c>
      <c r="I10" s="5">
        <f t="shared" si="2"/>
        <v>4361695</v>
      </c>
      <c r="J10" s="944">
        <f t="shared" si="2"/>
        <v>3009851</v>
      </c>
      <c r="K10" s="434">
        <f>SUM(K11:K13)</f>
        <v>3318350</v>
      </c>
      <c r="L10" s="1082">
        <f t="shared" si="2"/>
        <v>21335</v>
      </c>
      <c r="M10" s="435">
        <f t="shared" si="2"/>
        <v>3339685</v>
      </c>
    </row>
    <row r="11" spans="1:13" ht="34.5">
      <c r="A11" s="104">
        <v>4</v>
      </c>
      <c r="B11" s="25"/>
      <c r="C11" s="26"/>
      <c r="D11" s="26"/>
      <c r="E11" s="26"/>
      <c r="F11" s="33" t="s">
        <v>19</v>
      </c>
      <c r="G11" s="363">
        <v>3946911</v>
      </c>
      <c r="H11" s="363">
        <v>2162435</v>
      </c>
      <c r="I11" s="28">
        <v>2618843</v>
      </c>
      <c r="J11" s="945">
        <v>2963093</v>
      </c>
      <c r="K11" s="438">
        <v>3090083</v>
      </c>
      <c r="L11" s="1083">
        <v>11100</v>
      </c>
      <c r="M11" s="436">
        <f aca="true" t="shared" si="3" ref="M11:M17">SUM(K11:L11)</f>
        <v>3101183</v>
      </c>
    </row>
    <row r="12" spans="1:13" ht="19.5">
      <c r="A12" s="104">
        <v>5</v>
      </c>
      <c r="B12" s="27"/>
      <c r="C12" s="26"/>
      <c r="D12" s="26"/>
      <c r="E12" s="26"/>
      <c r="F12" s="33" t="s">
        <v>805</v>
      </c>
      <c r="G12" s="363">
        <v>562320</v>
      </c>
      <c r="H12" s="363">
        <v>0</v>
      </c>
      <c r="I12" s="28">
        <v>242852</v>
      </c>
      <c r="J12" s="945">
        <v>46758</v>
      </c>
      <c r="K12" s="438">
        <v>228267</v>
      </c>
      <c r="L12" s="1083">
        <v>10235</v>
      </c>
      <c r="M12" s="436">
        <f t="shared" si="3"/>
        <v>238502</v>
      </c>
    </row>
    <row r="13" spans="1:13" ht="19.5">
      <c r="A13" s="104">
        <v>6</v>
      </c>
      <c r="B13" s="27"/>
      <c r="C13" s="26"/>
      <c r="D13" s="26"/>
      <c r="E13" s="26"/>
      <c r="F13" s="33" t="s">
        <v>810</v>
      </c>
      <c r="G13" s="363">
        <v>1750000</v>
      </c>
      <c r="H13" s="363"/>
      <c r="I13" s="28">
        <v>1500000</v>
      </c>
      <c r="J13" s="945"/>
      <c r="K13" s="438">
        <v>0</v>
      </c>
      <c r="L13" s="1083"/>
      <c r="M13" s="436">
        <f t="shared" si="3"/>
        <v>0</v>
      </c>
    </row>
    <row r="14" spans="1:13" s="24" customFormat="1" ht="34.5">
      <c r="A14" s="104">
        <v>7</v>
      </c>
      <c r="B14" s="21"/>
      <c r="C14" s="29"/>
      <c r="D14" s="26"/>
      <c r="E14" s="26"/>
      <c r="F14" s="198" t="s">
        <v>811</v>
      </c>
      <c r="G14" s="28">
        <v>3684</v>
      </c>
      <c r="H14" s="5"/>
      <c r="I14" s="5"/>
      <c r="J14" s="946"/>
      <c r="K14" s="167">
        <v>0</v>
      </c>
      <c r="L14" s="1082"/>
      <c r="M14" s="436">
        <f t="shared" si="3"/>
        <v>0</v>
      </c>
    </row>
    <row r="15" spans="1:13" s="24" customFormat="1" ht="25.5" customHeight="1">
      <c r="A15" s="1">
        <v>8</v>
      </c>
      <c r="B15" s="21"/>
      <c r="C15" s="29"/>
      <c r="D15" s="26"/>
      <c r="E15" s="26"/>
      <c r="F15" s="198" t="s">
        <v>812</v>
      </c>
      <c r="G15" s="23">
        <f>225761+163307</f>
        <v>389068</v>
      </c>
      <c r="H15" s="23">
        <f>839566+163116</f>
        <v>1002682</v>
      </c>
      <c r="I15" s="5">
        <v>305603</v>
      </c>
      <c r="J15" s="946">
        <v>497933</v>
      </c>
      <c r="K15" s="167">
        <v>584383</v>
      </c>
      <c r="L15" s="1082">
        <v>-64172</v>
      </c>
      <c r="M15" s="435">
        <f t="shared" si="3"/>
        <v>520211</v>
      </c>
    </row>
    <row r="16" spans="1:13" ht="19.5">
      <c r="A16" s="104">
        <v>9</v>
      </c>
      <c r="B16" s="27"/>
      <c r="C16" s="26"/>
      <c r="D16" s="26"/>
      <c r="E16" s="26"/>
      <c r="F16" s="33" t="s">
        <v>174</v>
      </c>
      <c r="G16" s="363">
        <v>163307</v>
      </c>
      <c r="H16" s="363">
        <v>163116</v>
      </c>
      <c r="I16" s="28">
        <v>180166</v>
      </c>
      <c r="J16" s="945">
        <v>143683</v>
      </c>
      <c r="K16" s="438">
        <v>143683</v>
      </c>
      <c r="L16" s="1083"/>
      <c r="M16" s="436">
        <f t="shared" si="3"/>
        <v>143683</v>
      </c>
    </row>
    <row r="17" spans="1:13" ht="42" customHeight="1">
      <c r="A17" s="83">
        <v>10</v>
      </c>
      <c r="B17" s="233" t="s">
        <v>463</v>
      </c>
      <c r="C17" s="26"/>
      <c r="D17" s="26"/>
      <c r="E17" s="67">
        <v>2</v>
      </c>
      <c r="F17" s="98" t="s">
        <v>123</v>
      </c>
      <c r="G17" s="167">
        <v>133698</v>
      </c>
      <c r="H17" s="167">
        <v>186114</v>
      </c>
      <c r="I17" s="167">
        <v>164408</v>
      </c>
      <c r="J17" s="946">
        <v>115009</v>
      </c>
      <c r="K17" s="167">
        <v>177043</v>
      </c>
      <c r="L17" s="1083">
        <v>19987</v>
      </c>
      <c r="M17" s="435">
        <f t="shared" si="3"/>
        <v>197030</v>
      </c>
    </row>
    <row r="18" spans="1:13" s="82" customFormat="1" ht="36" customHeight="1">
      <c r="A18" s="1">
        <v>11</v>
      </c>
      <c r="B18" s="27">
        <v>18</v>
      </c>
      <c r="C18" s="22"/>
      <c r="D18" s="15"/>
      <c r="E18" s="15">
        <v>3</v>
      </c>
      <c r="F18" s="80" t="s">
        <v>10</v>
      </c>
      <c r="G18" s="168">
        <f aca="true" t="shared" si="4" ref="G18:M18">SUM(G19,G27:G31)</f>
        <v>6672810</v>
      </c>
      <c r="H18" s="168">
        <f t="shared" si="4"/>
        <v>5527500</v>
      </c>
      <c r="I18" s="169">
        <f t="shared" si="4"/>
        <v>5488153</v>
      </c>
      <c r="J18" s="947">
        <f t="shared" si="4"/>
        <v>5485000</v>
      </c>
      <c r="K18" s="168">
        <f>SUM(K19,K27:K31)</f>
        <v>5485000</v>
      </c>
      <c r="L18" s="1084">
        <f t="shared" si="4"/>
        <v>150000</v>
      </c>
      <c r="M18" s="170">
        <f t="shared" si="4"/>
        <v>5635000</v>
      </c>
    </row>
    <row r="19" spans="1:13" s="24" customFormat="1" ht="18">
      <c r="A19" s="104">
        <v>12</v>
      </c>
      <c r="B19" s="21"/>
      <c r="C19" s="22"/>
      <c r="D19" s="15"/>
      <c r="E19" s="15"/>
      <c r="F19" s="198" t="s">
        <v>902</v>
      </c>
      <c r="G19" s="23">
        <f aca="true" t="shared" si="5" ref="G19:M19">SUM(G20:G26)</f>
        <v>5489609</v>
      </c>
      <c r="H19" s="23">
        <f t="shared" si="5"/>
        <v>5470000</v>
      </c>
      <c r="I19" s="5">
        <f t="shared" si="5"/>
        <v>5470662</v>
      </c>
      <c r="J19" s="944">
        <f t="shared" si="5"/>
        <v>5465000</v>
      </c>
      <c r="K19" s="434">
        <f>SUM(K20:K26)</f>
        <v>5465000</v>
      </c>
      <c r="L19" s="1082">
        <f t="shared" si="5"/>
        <v>150000</v>
      </c>
      <c r="M19" s="435">
        <f t="shared" si="5"/>
        <v>5615000</v>
      </c>
    </row>
    <row r="20" spans="1:13" ht="19.5">
      <c r="A20" s="104">
        <v>13</v>
      </c>
      <c r="B20" s="27"/>
      <c r="C20" s="15"/>
      <c r="D20" s="15"/>
      <c r="E20" s="15"/>
      <c r="F20" s="33" t="s">
        <v>20</v>
      </c>
      <c r="G20" s="363">
        <v>1100922</v>
      </c>
      <c r="H20" s="363">
        <v>1100000</v>
      </c>
      <c r="I20" s="28">
        <v>1127194</v>
      </c>
      <c r="J20" s="945">
        <v>1130000</v>
      </c>
      <c r="K20" s="438">
        <v>1130000</v>
      </c>
      <c r="L20" s="1083"/>
      <c r="M20" s="436">
        <f>SUM(K20:L20)</f>
        <v>1130000</v>
      </c>
    </row>
    <row r="21" spans="1:13" ht="19.5">
      <c r="A21" s="104">
        <v>14</v>
      </c>
      <c r="B21" s="27"/>
      <c r="C21" s="15"/>
      <c r="D21" s="15"/>
      <c r="E21" s="15"/>
      <c r="F21" s="33" t="s">
        <v>21</v>
      </c>
      <c r="G21" s="363">
        <v>30835</v>
      </c>
      <c r="H21" s="363">
        <v>30000</v>
      </c>
      <c r="I21" s="28">
        <v>32272</v>
      </c>
      <c r="J21" s="945">
        <v>35000</v>
      </c>
      <c r="K21" s="438">
        <v>35000</v>
      </c>
      <c r="L21" s="1083"/>
      <c r="M21" s="436">
        <f aca="true" t="shared" si="6" ref="M21:M26">SUM(K21:L21)</f>
        <v>35000</v>
      </c>
    </row>
    <row r="22" spans="1:13" ht="19.5">
      <c r="A22" s="104">
        <v>15</v>
      </c>
      <c r="B22" s="27"/>
      <c r="C22" s="15"/>
      <c r="D22" s="15"/>
      <c r="E22" s="15"/>
      <c r="F22" s="33" t="s">
        <v>22</v>
      </c>
      <c r="G22" s="363">
        <v>139082</v>
      </c>
      <c r="H22" s="363">
        <v>140000</v>
      </c>
      <c r="I22" s="28">
        <v>142370</v>
      </c>
      <c r="J22" s="945">
        <v>140000</v>
      </c>
      <c r="K22" s="438">
        <v>140000</v>
      </c>
      <c r="L22" s="1083"/>
      <c r="M22" s="436">
        <f t="shared" si="6"/>
        <v>140000</v>
      </c>
    </row>
    <row r="23" spans="1:13" ht="19.5">
      <c r="A23" s="104">
        <v>16</v>
      </c>
      <c r="B23" s="27"/>
      <c r="C23" s="15"/>
      <c r="D23" s="15"/>
      <c r="E23" s="15"/>
      <c r="F23" s="33" t="s">
        <v>23</v>
      </c>
      <c r="G23" s="363">
        <v>128451</v>
      </c>
      <c r="H23" s="363">
        <v>150000</v>
      </c>
      <c r="I23" s="28">
        <v>137270</v>
      </c>
      <c r="J23" s="945">
        <v>135000</v>
      </c>
      <c r="K23" s="438">
        <v>135000</v>
      </c>
      <c r="L23" s="1083"/>
      <c r="M23" s="436">
        <f t="shared" si="6"/>
        <v>135000</v>
      </c>
    </row>
    <row r="24" spans="1:13" ht="19.5">
      <c r="A24" s="104">
        <v>17</v>
      </c>
      <c r="B24" s="27"/>
      <c r="C24" s="15"/>
      <c r="D24" s="15"/>
      <c r="E24" s="15"/>
      <c r="F24" s="33" t="s">
        <v>14</v>
      </c>
      <c r="G24" s="363">
        <v>3575700</v>
      </c>
      <c r="H24" s="363">
        <v>3800000</v>
      </c>
      <c r="I24" s="28">
        <v>3789124</v>
      </c>
      <c r="J24" s="945">
        <v>3800000</v>
      </c>
      <c r="K24" s="438">
        <v>3800000</v>
      </c>
      <c r="L24" s="1083">
        <v>150000</v>
      </c>
      <c r="M24" s="436">
        <f t="shared" si="6"/>
        <v>3950000</v>
      </c>
    </row>
    <row r="25" spans="1:13" ht="19.5">
      <c r="A25" s="104">
        <v>18</v>
      </c>
      <c r="B25" s="27"/>
      <c r="C25" s="15"/>
      <c r="D25" s="15"/>
      <c r="E25" s="15"/>
      <c r="F25" s="33" t="s">
        <v>794</v>
      </c>
      <c r="G25" s="363">
        <v>476400</v>
      </c>
      <c r="H25" s="363">
        <v>210000</v>
      </c>
      <c r="I25" s="28">
        <v>188896</v>
      </c>
      <c r="J25" s="945">
        <v>190000</v>
      </c>
      <c r="K25" s="438">
        <v>190000</v>
      </c>
      <c r="L25" s="1083"/>
      <c r="M25" s="436">
        <f t="shared" si="6"/>
        <v>190000</v>
      </c>
    </row>
    <row r="26" spans="1:13" ht="19.5">
      <c r="A26" s="104">
        <v>19</v>
      </c>
      <c r="B26" s="27"/>
      <c r="C26" s="15"/>
      <c r="D26" s="15"/>
      <c r="E26" s="15"/>
      <c r="F26" s="33" t="s">
        <v>24</v>
      </c>
      <c r="G26" s="363">
        <v>38219</v>
      </c>
      <c r="H26" s="363">
        <v>40000</v>
      </c>
      <c r="I26" s="28">
        <v>53536</v>
      </c>
      <c r="J26" s="945">
        <v>35000</v>
      </c>
      <c r="K26" s="438">
        <v>35000</v>
      </c>
      <c r="L26" s="1083"/>
      <c r="M26" s="436">
        <f t="shared" si="6"/>
        <v>35000</v>
      </c>
    </row>
    <row r="27" spans="1:13" s="24" customFormat="1" ht="18">
      <c r="A27" s="104">
        <v>20</v>
      </c>
      <c r="B27" s="21"/>
      <c r="C27" s="22"/>
      <c r="D27" s="15"/>
      <c r="E27" s="15"/>
      <c r="F27" s="198" t="s">
        <v>795</v>
      </c>
      <c r="G27" s="23">
        <v>227911</v>
      </c>
      <c r="H27" s="23">
        <v>0</v>
      </c>
      <c r="I27" s="5">
        <v>0</v>
      </c>
      <c r="J27" s="946"/>
      <c r="K27" s="167"/>
      <c r="L27" s="1082"/>
      <c r="M27" s="435">
        <f aca="true" t="shared" si="7" ref="M27:M38">SUM(K27:L27)</f>
        <v>0</v>
      </c>
    </row>
    <row r="28" spans="1:17" s="24" customFormat="1" ht="34.5">
      <c r="A28" s="104">
        <v>21</v>
      </c>
      <c r="B28" s="21"/>
      <c r="C28" s="22"/>
      <c r="D28" s="15"/>
      <c r="E28" s="15"/>
      <c r="F28" s="198" t="s">
        <v>130</v>
      </c>
      <c r="G28" s="23">
        <v>42134</v>
      </c>
      <c r="H28" s="23">
        <v>30000</v>
      </c>
      <c r="I28" s="5">
        <v>17491</v>
      </c>
      <c r="J28" s="946">
        <v>20000</v>
      </c>
      <c r="K28" s="167">
        <v>20000</v>
      </c>
      <c r="L28" s="1082"/>
      <c r="M28" s="435">
        <f t="shared" si="7"/>
        <v>20000</v>
      </c>
      <c r="Q28" s="252"/>
    </row>
    <row r="29" spans="1:13" ht="19.5">
      <c r="A29" s="104">
        <v>22</v>
      </c>
      <c r="B29" s="27"/>
      <c r="C29" s="15"/>
      <c r="D29" s="15"/>
      <c r="E29" s="15"/>
      <c r="F29" s="33" t="s">
        <v>25</v>
      </c>
      <c r="G29" s="363">
        <v>885768</v>
      </c>
      <c r="H29" s="363"/>
      <c r="I29" s="28"/>
      <c r="J29" s="945"/>
      <c r="K29" s="438"/>
      <c r="L29" s="1083"/>
      <c r="M29" s="436">
        <f t="shared" si="7"/>
        <v>0</v>
      </c>
    </row>
    <row r="30" spans="1:13" ht="19.5">
      <c r="A30" s="104">
        <v>23</v>
      </c>
      <c r="B30" s="27"/>
      <c r="C30" s="15"/>
      <c r="D30" s="15"/>
      <c r="E30" s="15"/>
      <c r="F30" s="33" t="s">
        <v>26</v>
      </c>
      <c r="G30" s="363">
        <v>27353</v>
      </c>
      <c r="H30" s="363">
        <v>27500</v>
      </c>
      <c r="I30" s="28"/>
      <c r="J30" s="945"/>
      <c r="K30" s="438"/>
      <c r="L30" s="1083"/>
      <c r="M30" s="436">
        <f t="shared" si="7"/>
        <v>0</v>
      </c>
    </row>
    <row r="31" spans="1:13" ht="19.5">
      <c r="A31" s="104">
        <v>24</v>
      </c>
      <c r="B31" s="27"/>
      <c r="C31" s="15"/>
      <c r="D31" s="15"/>
      <c r="E31" s="15"/>
      <c r="F31" s="33" t="s">
        <v>124</v>
      </c>
      <c r="G31" s="363">
        <v>35</v>
      </c>
      <c r="H31" s="363"/>
      <c r="I31" s="28"/>
      <c r="J31" s="945"/>
      <c r="K31" s="438"/>
      <c r="L31" s="1083"/>
      <c r="M31" s="436">
        <f t="shared" si="7"/>
        <v>0</v>
      </c>
    </row>
    <row r="32" spans="1:13" s="82" customFormat="1" ht="36" customHeight="1">
      <c r="A32" s="1">
        <v>25</v>
      </c>
      <c r="B32" s="27">
        <v>18</v>
      </c>
      <c r="C32" s="22"/>
      <c r="D32" s="15"/>
      <c r="E32" s="15">
        <v>4</v>
      </c>
      <c r="F32" s="80" t="s">
        <v>177</v>
      </c>
      <c r="G32" s="168">
        <v>294439</v>
      </c>
      <c r="H32" s="168">
        <v>671800</v>
      </c>
      <c r="I32" s="169">
        <v>506309</v>
      </c>
      <c r="J32" s="947">
        <v>426096</v>
      </c>
      <c r="K32" s="168">
        <v>520001</v>
      </c>
      <c r="L32" s="1084">
        <v>716</v>
      </c>
      <c r="M32" s="170">
        <f t="shared" si="7"/>
        <v>520717</v>
      </c>
    </row>
    <row r="33" spans="1:13" ht="19.5">
      <c r="A33" s="104">
        <v>26</v>
      </c>
      <c r="B33" s="27"/>
      <c r="C33" s="15"/>
      <c r="D33" s="15"/>
      <c r="E33" s="15"/>
      <c r="F33" s="33" t="s">
        <v>132</v>
      </c>
      <c r="G33" s="363">
        <v>160553</v>
      </c>
      <c r="H33" s="363">
        <v>436000</v>
      </c>
      <c r="I33" s="28">
        <v>354114</v>
      </c>
      <c r="J33" s="945">
        <v>251050</v>
      </c>
      <c r="K33" s="438">
        <v>223627</v>
      </c>
      <c r="L33" s="1083"/>
      <c r="M33" s="436">
        <f t="shared" si="7"/>
        <v>223627</v>
      </c>
    </row>
    <row r="34" spans="1:13" ht="19.5">
      <c r="A34" s="104">
        <v>27</v>
      </c>
      <c r="B34" s="27"/>
      <c r="C34" s="15"/>
      <c r="D34" s="15"/>
      <c r="E34" s="15"/>
      <c r="F34" s="33" t="s">
        <v>133</v>
      </c>
      <c r="G34" s="363">
        <v>28630</v>
      </c>
      <c r="H34" s="363">
        <v>40000</v>
      </c>
      <c r="I34" s="28">
        <v>25037</v>
      </c>
      <c r="J34" s="945">
        <v>35000</v>
      </c>
      <c r="K34" s="438">
        <v>154008</v>
      </c>
      <c r="L34" s="1083"/>
      <c r="M34" s="436">
        <f t="shared" si="7"/>
        <v>154008</v>
      </c>
    </row>
    <row r="35" spans="1:13" ht="19.5">
      <c r="A35" s="104">
        <v>28</v>
      </c>
      <c r="B35" s="27"/>
      <c r="C35" s="15"/>
      <c r="D35" s="15"/>
      <c r="E35" s="15"/>
      <c r="F35" s="33" t="s">
        <v>527</v>
      </c>
      <c r="G35" s="363">
        <v>99512</v>
      </c>
      <c r="H35" s="363">
        <v>195800</v>
      </c>
      <c r="I35" s="28">
        <v>123672</v>
      </c>
      <c r="J35" s="945">
        <v>67500</v>
      </c>
      <c r="K35" s="438">
        <v>122492</v>
      </c>
      <c r="L35" s="1083"/>
      <c r="M35" s="436">
        <f t="shared" si="7"/>
        <v>122492</v>
      </c>
    </row>
    <row r="36" spans="1:13" s="82" customFormat="1" ht="36" customHeight="1">
      <c r="A36" s="1">
        <v>29</v>
      </c>
      <c r="B36" s="31" t="s">
        <v>463</v>
      </c>
      <c r="C36" s="22"/>
      <c r="D36" s="15"/>
      <c r="E36" s="15">
        <v>5</v>
      </c>
      <c r="F36" s="80" t="s">
        <v>125</v>
      </c>
      <c r="G36" s="168">
        <v>1048783</v>
      </c>
      <c r="H36" s="168">
        <v>795758</v>
      </c>
      <c r="I36" s="169">
        <v>1033576</v>
      </c>
      <c r="J36" s="947">
        <v>899595</v>
      </c>
      <c r="K36" s="168">
        <v>1101699</v>
      </c>
      <c r="L36" s="1084">
        <v>40502</v>
      </c>
      <c r="M36" s="435">
        <f t="shared" si="7"/>
        <v>1142201</v>
      </c>
    </row>
    <row r="37" spans="1:13" s="82" customFormat="1" ht="36" customHeight="1">
      <c r="A37" s="1">
        <v>30</v>
      </c>
      <c r="B37" s="27">
        <v>18</v>
      </c>
      <c r="C37" s="22"/>
      <c r="D37" s="15"/>
      <c r="E37" s="15">
        <v>6</v>
      </c>
      <c r="F37" s="80" t="s">
        <v>193</v>
      </c>
      <c r="G37" s="168">
        <v>4145</v>
      </c>
      <c r="H37" s="168"/>
      <c r="I37" s="169">
        <v>2914</v>
      </c>
      <c r="J37" s="947">
        <v>0</v>
      </c>
      <c r="K37" s="168">
        <v>0</v>
      </c>
      <c r="L37" s="1084">
        <v>89</v>
      </c>
      <c r="M37" s="435">
        <f t="shared" si="7"/>
        <v>89</v>
      </c>
    </row>
    <row r="38" spans="1:13" s="24" customFormat="1" ht="34.5">
      <c r="A38" s="104">
        <v>31</v>
      </c>
      <c r="B38" s="235" t="s">
        <v>463</v>
      </c>
      <c r="C38" s="205"/>
      <c r="D38" s="205"/>
      <c r="E38" s="206">
        <v>7</v>
      </c>
      <c r="F38" s="207" t="s">
        <v>129</v>
      </c>
      <c r="G38" s="208">
        <v>147059</v>
      </c>
      <c r="H38" s="208"/>
      <c r="I38" s="208">
        <v>113463</v>
      </c>
      <c r="J38" s="948">
        <v>80000</v>
      </c>
      <c r="K38" s="208">
        <v>95560</v>
      </c>
      <c r="L38" s="1085">
        <v>999</v>
      </c>
      <c r="M38" s="435">
        <f t="shared" si="7"/>
        <v>96559</v>
      </c>
    </row>
    <row r="39" spans="1:24" s="20" customFormat="1" ht="36" customHeight="1">
      <c r="A39" s="1">
        <v>32</v>
      </c>
      <c r="B39" s="232"/>
      <c r="C39" s="202"/>
      <c r="D39" s="203">
        <v>2</v>
      </c>
      <c r="E39" s="203"/>
      <c r="F39" s="171" t="s">
        <v>895</v>
      </c>
      <c r="G39" s="204">
        <f aca="true" t="shared" si="8" ref="G39:M39">SUM(G40,G46,G52:G53)</f>
        <v>1277415</v>
      </c>
      <c r="H39" s="204">
        <f t="shared" si="8"/>
        <v>1610752</v>
      </c>
      <c r="I39" s="679">
        <f t="shared" si="8"/>
        <v>1861642</v>
      </c>
      <c r="J39" s="949">
        <f t="shared" si="8"/>
        <v>6190156</v>
      </c>
      <c r="K39" s="833">
        <f t="shared" si="8"/>
        <v>7150443</v>
      </c>
      <c r="L39" s="1086">
        <f t="shared" si="8"/>
        <v>-45390</v>
      </c>
      <c r="M39" s="834">
        <f t="shared" si="8"/>
        <v>7105053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13" s="82" customFormat="1" ht="36" customHeight="1">
      <c r="A40" s="1">
        <v>33</v>
      </c>
      <c r="B40" s="27"/>
      <c r="C40" s="22"/>
      <c r="D40" s="15"/>
      <c r="E40" s="15">
        <v>1</v>
      </c>
      <c r="F40" s="80" t="s">
        <v>901</v>
      </c>
      <c r="G40" s="168">
        <f aca="true" t="shared" si="9" ref="G40:M40">SUM(G41,G44:G45)</f>
        <v>513139</v>
      </c>
      <c r="H40" s="168">
        <f t="shared" si="9"/>
        <v>1008752</v>
      </c>
      <c r="I40" s="169">
        <f t="shared" si="9"/>
        <v>1732283</v>
      </c>
      <c r="J40" s="950">
        <f t="shared" si="9"/>
        <v>5640156</v>
      </c>
      <c r="K40" s="169">
        <f>SUM(K41,K44:K45)</f>
        <v>6758443</v>
      </c>
      <c r="L40" s="1087">
        <f>SUM(L41,L44:L45)</f>
        <v>-47390</v>
      </c>
      <c r="M40" s="179">
        <f t="shared" si="9"/>
        <v>6711053</v>
      </c>
    </row>
    <row r="41" spans="1:13" s="24" customFormat="1" ht="18">
      <c r="A41" s="104">
        <v>34</v>
      </c>
      <c r="B41" s="27">
        <v>18</v>
      </c>
      <c r="C41" s="22"/>
      <c r="D41" s="15"/>
      <c r="E41" s="15"/>
      <c r="F41" s="198" t="s">
        <v>814</v>
      </c>
      <c r="G41" s="23">
        <f aca="true" t="shared" si="10" ref="G41:M41">SUM(G42:G43)</f>
        <v>1692</v>
      </c>
      <c r="H41" s="23">
        <f t="shared" si="10"/>
        <v>0</v>
      </c>
      <c r="I41" s="5">
        <f t="shared" si="10"/>
        <v>341018</v>
      </c>
      <c r="J41" s="944">
        <f t="shared" si="10"/>
        <v>1733964</v>
      </c>
      <c r="K41" s="434">
        <f>SUM(K42:K43)</f>
        <v>3086497</v>
      </c>
      <c r="L41" s="1082">
        <f>SUM(L42:L43)</f>
        <v>28262</v>
      </c>
      <c r="M41" s="435">
        <f t="shared" si="10"/>
        <v>3114759</v>
      </c>
    </row>
    <row r="42" spans="1:13" ht="19.5">
      <c r="A42" s="104">
        <v>35</v>
      </c>
      <c r="B42" s="27"/>
      <c r="C42" s="26"/>
      <c r="D42" s="26"/>
      <c r="E42" s="26"/>
      <c r="F42" s="33" t="s">
        <v>1042</v>
      </c>
      <c r="G42" s="28">
        <v>1692</v>
      </c>
      <c r="H42" s="28">
        <v>0</v>
      </c>
      <c r="I42" s="28">
        <v>7800</v>
      </c>
      <c r="J42" s="945"/>
      <c r="K42" s="438">
        <v>1344861</v>
      </c>
      <c r="L42" s="1083">
        <v>28262</v>
      </c>
      <c r="M42" s="436">
        <f>SUM(K42:L42)</f>
        <v>1373123</v>
      </c>
    </row>
    <row r="43" spans="1:13" ht="34.5">
      <c r="A43" s="104">
        <v>36</v>
      </c>
      <c r="B43" s="27"/>
      <c r="C43" s="26"/>
      <c r="D43" s="26"/>
      <c r="E43" s="26"/>
      <c r="F43" s="33" t="s">
        <v>118</v>
      </c>
      <c r="G43" s="28"/>
      <c r="H43" s="28"/>
      <c r="I43" s="28">
        <v>333218</v>
      </c>
      <c r="J43" s="945">
        <v>1733964</v>
      </c>
      <c r="K43" s="438">
        <v>1741636</v>
      </c>
      <c r="L43" s="1083"/>
      <c r="M43" s="436">
        <f>SUM(K43:L43)</f>
        <v>1741636</v>
      </c>
    </row>
    <row r="44" spans="1:13" s="24" customFormat="1" ht="25.5" customHeight="1">
      <c r="A44" s="1">
        <v>37</v>
      </c>
      <c r="B44" s="27">
        <v>18</v>
      </c>
      <c r="C44" s="29"/>
      <c r="D44" s="26"/>
      <c r="E44" s="26"/>
      <c r="F44" s="198" t="s">
        <v>815</v>
      </c>
      <c r="G44" s="5">
        <v>511447</v>
      </c>
      <c r="H44" s="5">
        <v>994752</v>
      </c>
      <c r="I44" s="5">
        <v>1376765</v>
      </c>
      <c r="J44" s="946">
        <v>3906192</v>
      </c>
      <c r="K44" s="167">
        <v>3671946</v>
      </c>
      <c r="L44" s="1082">
        <v>-75652</v>
      </c>
      <c r="M44" s="435">
        <f>SUM(K44:L44)</f>
        <v>3596294</v>
      </c>
    </row>
    <row r="45" spans="1:13" s="24" customFormat="1" ht="34.5">
      <c r="A45" s="104">
        <v>38</v>
      </c>
      <c r="B45" s="235" t="s">
        <v>463</v>
      </c>
      <c r="C45" s="29"/>
      <c r="D45" s="29"/>
      <c r="E45" s="26"/>
      <c r="F45" s="198" t="s">
        <v>128</v>
      </c>
      <c r="G45" s="5"/>
      <c r="H45" s="5">
        <v>14000</v>
      </c>
      <c r="I45" s="5">
        <v>14500</v>
      </c>
      <c r="J45" s="946"/>
      <c r="K45" s="167"/>
      <c r="L45" s="1082"/>
      <c r="M45" s="436">
        <f>SUM(J45:L45)</f>
        <v>0</v>
      </c>
    </row>
    <row r="46" spans="1:13" s="82" customFormat="1" ht="36" customHeight="1">
      <c r="A46" s="1">
        <v>39</v>
      </c>
      <c r="B46" s="27">
        <v>18</v>
      </c>
      <c r="C46" s="22"/>
      <c r="D46" s="15"/>
      <c r="E46" s="15">
        <v>2</v>
      </c>
      <c r="F46" s="80" t="s">
        <v>189</v>
      </c>
      <c r="G46" s="168">
        <f aca="true" t="shared" si="11" ref="G46:M46">SUM(G47:G51)</f>
        <v>736660</v>
      </c>
      <c r="H46" s="168">
        <f t="shared" si="11"/>
        <v>602000</v>
      </c>
      <c r="I46" s="169">
        <f t="shared" si="11"/>
        <v>99046</v>
      </c>
      <c r="J46" s="947">
        <f t="shared" si="11"/>
        <v>550000</v>
      </c>
      <c r="K46" s="168">
        <f t="shared" si="11"/>
        <v>385000</v>
      </c>
      <c r="L46" s="1084">
        <f t="shared" si="11"/>
        <v>0</v>
      </c>
      <c r="M46" s="170">
        <f t="shared" si="11"/>
        <v>385000</v>
      </c>
    </row>
    <row r="47" spans="1:13" ht="19.5">
      <c r="A47" s="104">
        <v>40</v>
      </c>
      <c r="B47" s="27"/>
      <c r="C47" s="15"/>
      <c r="D47" s="15"/>
      <c r="E47" s="15"/>
      <c r="F47" s="33" t="s">
        <v>122</v>
      </c>
      <c r="G47" s="363">
        <v>667683</v>
      </c>
      <c r="H47" s="363">
        <v>550000</v>
      </c>
      <c r="I47" s="28">
        <v>94021</v>
      </c>
      <c r="J47" s="945">
        <v>550000</v>
      </c>
      <c r="K47" s="438">
        <v>385000</v>
      </c>
      <c r="L47" s="1083"/>
      <c r="M47" s="436">
        <f>SUM(K47:L47)</f>
        <v>385000</v>
      </c>
    </row>
    <row r="48" spans="1:13" ht="19.5">
      <c r="A48" s="104">
        <v>41</v>
      </c>
      <c r="B48" s="27"/>
      <c r="C48" s="15"/>
      <c r="D48" s="15"/>
      <c r="E48" s="15"/>
      <c r="F48" s="33" t="s">
        <v>190</v>
      </c>
      <c r="G48" s="363">
        <v>18100</v>
      </c>
      <c r="H48" s="363"/>
      <c r="I48" s="28"/>
      <c r="J48" s="945"/>
      <c r="K48" s="438"/>
      <c r="L48" s="1083"/>
      <c r="M48" s="436">
        <f aca="true" t="shared" si="12" ref="M48:M53">SUM(K48:L48)</f>
        <v>0</v>
      </c>
    </row>
    <row r="49" spans="1:13" ht="19.5">
      <c r="A49" s="104">
        <v>42</v>
      </c>
      <c r="B49" s="27"/>
      <c r="C49" s="15"/>
      <c r="D49" s="15"/>
      <c r="E49" s="15"/>
      <c r="F49" s="33" t="s">
        <v>191</v>
      </c>
      <c r="G49" s="363">
        <v>115</v>
      </c>
      <c r="H49" s="363"/>
      <c r="I49" s="28"/>
      <c r="J49" s="945"/>
      <c r="K49" s="438"/>
      <c r="L49" s="1083"/>
      <c r="M49" s="436">
        <f t="shared" si="12"/>
        <v>0</v>
      </c>
    </row>
    <row r="50" spans="1:13" ht="19.5">
      <c r="A50" s="104">
        <v>43</v>
      </c>
      <c r="B50" s="27"/>
      <c r="C50" s="15"/>
      <c r="D50" s="15"/>
      <c r="E50" s="15"/>
      <c r="F50" s="33" t="s">
        <v>192</v>
      </c>
      <c r="G50" s="363">
        <v>42019</v>
      </c>
      <c r="H50" s="363">
        <v>52000</v>
      </c>
      <c r="I50" s="28"/>
      <c r="J50" s="945"/>
      <c r="K50" s="438"/>
      <c r="L50" s="1083"/>
      <c r="M50" s="436">
        <f t="shared" si="12"/>
        <v>0</v>
      </c>
    </row>
    <row r="51" spans="1:13" ht="19.5">
      <c r="A51" s="104">
        <v>44</v>
      </c>
      <c r="B51" s="27"/>
      <c r="C51" s="15"/>
      <c r="D51" s="15"/>
      <c r="E51" s="15"/>
      <c r="F51" s="33" t="s">
        <v>127</v>
      </c>
      <c r="G51" s="28">
        <v>8743</v>
      </c>
      <c r="H51" s="363"/>
      <c r="I51" s="28">
        <v>5025</v>
      </c>
      <c r="J51" s="945"/>
      <c r="K51" s="438"/>
      <c r="L51" s="1083"/>
      <c r="M51" s="436">
        <f t="shared" si="12"/>
        <v>0</v>
      </c>
    </row>
    <row r="52" spans="1:13" s="82" customFormat="1" ht="30" customHeight="1">
      <c r="A52" s="1">
        <v>45</v>
      </c>
      <c r="B52" s="27">
        <v>18</v>
      </c>
      <c r="C52" s="22"/>
      <c r="D52" s="15"/>
      <c r="E52" s="15">
        <v>3</v>
      </c>
      <c r="F52" s="80" t="s">
        <v>194</v>
      </c>
      <c r="G52" s="81">
        <v>27466</v>
      </c>
      <c r="H52" s="81"/>
      <c r="I52" s="164">
        <f>28273+2040</f>
        <v>30313</v>
      </c>
      <c r="J52" s="947"/>
      <c r="K52" s="168">
        <v>7000</v>
      </c>
      <c r="L52" s="1084">
        <v>2000</v>
      </c>
      <c r="M52" s="436">
        <f t="shared" si="12"/>
        <v>9000</v>
      </c>
    </row>
    <row r="53" spans="1:13" s="24" customFormat="1" ht="42" customHeight="1">
      <c r="A53" s="83">
        <v>46</v>
      </c>
      <c r="B53" s="233" t="s">
        <v>463</v>
      </c>
      <c r="C53" s="205"/>
      <c r="D53" s="205"/>
      <c r="E53" s="440">
        <v>4</v>
      </c>
      <c r="F53" s="207" t="s">
        <v>126</v>
      </c>
      <c r="G53" s="441">
        <v>150</v>
      </c>
      <c r="H53" s="442"/>
      <c r="I53" s="441"/>
      <c r="J53" s="948"/>
      <c r="K53" s="208"/>
      <c r="L53" s="1085"/>
      <c r="M53" s="436">
        <f t="shared" si="12"/>
        <v>0</v>
      </c>
    </row>
    <row r="54" spans="1:13" s="38" customFormat="1" ht="36" customHeight="1">
      <c r="A54" s="83">
        <v>47</v>
      </c>
      <c r="B54" s="234">
        <v>18</v>
      </c>
      <c r="C54" s="85"/>
      <c r="D54" s="86"/>
      <c r="E54" s="86"/>
      <c r="F54" s="87" t="s">
        <v>138</v>
      </c>
      <c r="G54" s="369">
        <f aca="true" t="shared" si="13" ref="G54:M54">SUM(G55:G56)</f>
        <v>2022</v>
      </c>
      <c r="H54" s="369">
        <f t="shared" si="13"/>
        <v>0</v>
      </c>
      <c r="I54" s="680">
        <f t="shared" si="13"/>
        <v>1149</v>
      </c>
      <c r="J54" s="951">
        <f t="shared" si="13"/>
        <v>0</v>
      </c>
      <c r="K54" s="175">
        <v>0</v>
      </c>
      <c r="L54" s="1088">
        <f t="shared" si="13"/>
        <v>0</v>
      </c>
      <c r="M54" s="176">
        <f t="shared" si="13"/>
        <v>0</v>
      </c>
    </row>
    <row r="55" spans="1:13" ht="19.5">
      <c r="A55" s="104">
        <v>48</v>
      </c>
      <c r="B55" s="27"/>
      <c r="C55" s="15"/>
      <c r="D55" s="15"/>
      <c r="E55" s="15"/>
      <c r="F55" s="30" t="s">
        <v>16</v>
      </c>
      <c r="G55" s="363">
        <v>679</v>
      </c>
      <c r="H55" s="363"/>
      <c r="I55" s="28">
        <v>1149</v>
      </c>
      <c r="J55" s="945"/>
      <c r="K55" s="438"/>
      <c r="L55" s="1083"/>
      <c r="M55" s="436"/>
    </row>
    <row r="56" spans="1:13" ht="19.5">
      <c r="A56" s="104">
        <v>49</v>
      </c>
      <c r="B56" s="27"/>
      <c r="C56" s="15"/>
      <c r="D56" s="15"/>
      <c r="E56" s="15"/>
      <c r="F56" s="30" t="s">
        <v>189</v>
      </c>
      <c r="G56" s="363">
        <v>1343</v>
      </c>
      <c r="H56" s="363"/>
      <c r="I56" s="28"/>
      <c r="J56" s="945"/>
      <c r="K56" s="438"/>
      <c r="L56" s="1083"/>
      <c r="M56" s="436"/>
    </row>
    <row r="57" spans="1:13" s="38" customFormat="1" ht="36" customHeight="1" thickBot="1">
      <c r="A57" s="83">
        <v>50</v>
      </c>
      <c r="B57" s="90"/>
      <c r="C57" s="91"/>
      <c r="D57" s="92"/>
      <c r="E57" s="92"/>
      <c r="F57" s="93" t="s">
        <v>196</v>
      </c>
      <c r="G57" s="172">
        <f aca="true" t="shared" si="14" ref="G57:M57">SUM(G8,G39,G54)</f>
        <v>16232354</v>
      </c>
      <c r="H57" s="172">
        <f t="shared" si="14"/>
        <v>11957041</v>
      </c>
      <c r="I57" s="681">
        <f t="shared" si="14"/>
        <v>13838912</v>
      </c>
      <c r="J57" s="952">
        <f t="shared" si="14"/>
        <v>16703640</v>
      </c>
      <c r="K57" s="172">
        <f t="shared" si="14"/>
        <v>18432479</v>
      </c>
      <c r="L57" s="1089">
        <f t="shared" si="14"/>
        <v>124066</v>
      </c>
      <c r="M57" s="827">
        <f t="shared" si="14"/>
        <v>18556545</v>
      </c>
    </row>
    <row r="58" spans="1:13" s="38" customFormat="1" ht="36" customHeight="1" thickBot="1" thickTop="1">
      <c r="A58" s="83">
        <v>51</v>
      </c>
      <c r="B58" s="94"/>
      <c r="C58" s="95"/>
      <c r="D58" s="96"/>
      <c r="E58" s="96"/>
      <c r="F58" s="97" t="s">
        <v>348</v>
      </c>
      <c r="G58" s="370">
        <f>+G57+G60-'[1]3.Onki'!G32</f>
        <v>1285033</v>
      </c>
      <c r="H58" s="370">
        <f>+H57+H60-'[1]3.Onki'!H32</f>
        <v>-1260883</v>
      </c>
      <c r="I58" s="682">
        <f>+I57+I60-'[1]3.Onki'!I32</f>
        <v>-2125695</v>
      </c>
      <c r="J58" s="953">
        <f>+J57+J60-'[1]3.Onki'!J32</f>
        <v>395560</v>
      </c>
      <c r="K58" s="831">
        <v>-671466</v>
      </c>
      <c r="L58" s="1090">
        <v>118341</v>
      </c>
      <c r="M58" s="775">
        <v>-414204</v>
      </c>
    </row>
    <row r="59" spans="1:13" s="38" customFormat="1" ht="30" customHeight="1">
      <c r="A59" s="83">
        <v>52</v>
      </c>
      <c r="B59" s="88"/>
      <c r="C59" s="1151"/>
      <c r="D59" s="1152"/>
      <c r="E59" s="1152"/>
      <c r="F59" s="89" t="s">
        <v>349</v>
      </c>
      <c r="G59" s="371">
        <f aca="true" t="shared" si="15" ref="G59:M59">SUM(G60,G71)</f>
        <v>3458185</v>
      </c>
      <c r="H59" s="371">
        <f t="shared" si="15"/>
        <v>2038624</v>
      </c>
      <c r="I59" s="173">
        <f t="shared" si="15"/>
        <v>1012025</v>
      </c>
      <c r="J59" s="954">
        <f t="shared" si="15"/>
        <v>1352433</v>
      </c>
      <c r="K59" s="173">
        <f>SUM(K60,K71)</f>
        <v>2291988</v>
      </c>
      <c r="L59" s="1091">
        <f t="shared" si="15"/>
        <v>-137650</v>
      </c>
      <c r="M59" s="174">
        <f t="shared" si="15"/>
        <v>2154338</v>
      </c>
    </row>
    <row r="60" spans="1:13" s="38" customFormat="1" ht="30" customHeight="1">
      <c r="A60" s="83">
        <v>53</v>
      </c>
      <c r="B60" s="84"/>
      <c r="C60" s="85"/>
      <c r="D60" s="86"/>
      <c r="E60" s="86"/>
      <c r="F60" s="87" t="s">
        <v>816</v>
      </c>
      <c r="G60" s="372">
        <f aca="true" t="shared" si="16" ref="G60:M60">SUM(G61,G68)</f>
        <v>490867</v>
      </c>
      <c r="H60" s="372">
        <f t="shared" si="16"/>
        <v>280886</v>
      </c>
      <c r="I60" s="175">
        <f t="shared" si="16"/>
        <v>260256</v>
      </c>
      <c r="J60" s="951">
        <f t="shared" si="16"/>
        <v>0</v>
      </c>
      <c r="K60" s="175">
        <f>SUM(K61,K68)</f>
        <v>1067026</v>
      </c>
      <c r="L60" s="1088">
        <f t="shared" si="16"/>
        <v>0</v>
      </c>
      <c r="M60" s="176">
        <f t="shared" si="16"/>
        <v>1067026</v>
      </c>
    </row>
    <row r="61" spans="1:13" s="82" customFormat="1" ht="30" customHeight="1">
      <c r="A61" s="1">
        <v>54</v>
      </c>
      <c r="B61" s="21"/>
      <c r="C61" s="22"/>
      <c r="D61" s="15"/>
      <c r="E61" s="15"/>
      <c r="F61" s="80" t="s">
        <v>350</v>
      </c>
      <c r="G61" s="81">
        <f aca="true" t="shared" si="17" ref="G61:M61">SUM(G62:G67)</f>
        <v>444960</v>
      </c>
      <c r="H61" s="81">
        <f t="shared" si="17"/>
        <v>280886</v>
      </c>
      <c r="I61" s="164">
        <f t="shared" si="17"/>
        <v>255986</v>
      </c>
      <c r="J61" s="947">
        <f t="shared" si="17"/>
        <v>0</v>
      </c>
      <c r="K61" s="168">
        <f>SUM(K62:K67)</f>
        <v>1067026</v>
      </c>
      <c r="L61" s="1084">
        <f t="shared" si="17"/>
        <v>0</v>
      </c>
      <c r="M61" s="170">
        <f t="shared" si="17"/>
        <v>1067026</v>
      </c>
    </row>
    <row r="62" spans="1:13" ht="19.5">
      <c r="A62" s="104">
        <v>55</v>
      </c>
      <c r="B62" s="233" t="s">
        <v>463</v>
      </c>
      <c r="C62" s="15"/>
      <c r="D62" s="15"/>
      <c r="E62" s="15"/>
      <c r="F62" s="33" t="s">
        <v>351</v>
      </c>
      <c r="G62" s="363">
        <v>323552</v>
      </c>
      <c r="H62" s="363">
        <v>34459</v>
      </c>
      <c r="I62" s="28">
        <v>39832</v>
      </c>
      <c r="J62" s="945"/>
      <c r="K62" s="438">
        <v>142701</v>
      </c>
      <c r="L62" s="1083"/>
      <c r="M62" s="436">
        <f>SUM(K62:L62)</f>
        <v>142701</v>
      </c>
    </row>
    <row r="63" spans="1:13" ht="19.5">
      <c r="A63" s="104">
        <v>56</v>
      </c>
      <c r="B63" s="31" t="s">
        <v>464</v>
      </c>
      <c r="C63" s="15"/>
      <c r="D63" s="15"/>
      <c r="E63" s="15"/>
      <c r="F63" s="33" t="s">
        <v>376</v>
      </c>
      <c r="G63" s="363">
        <v>92911</v>
      </c>
      <c r="H63" s="363"/>
      <c r="I63" s="28"/>
      <c r="J63" s="945"/>
      <c r="K63" s="438">
        <v>0</v>
      </c>
      <c r="L63" s="1083"/>
      <c r="M63" s="436">
        <f aca="true" t="shared" si="18" ref="M63:M70">SUM(K63:L63)</f>
        <v>0</v>
      </c>
    </row>
    <row r="64" spans="1:13" ht="19.5">
      <c r="A64" s="104">
        <v>57</v>
      </c>
      <c r="B64" s="27">
        <v>17</v>
      </c>
      <c r="C64" s="15"/>
      <c r="D64" s="15"/>
      <c r="E64" s="15"/>
      <c r="F64" s="33" t="s">
        <v>358</v>
      </c>
      <c r="G64" s="363"/>
      <c r="H64" s="363">
        <v>131843</v>
      </c>
      <c r="I64" s="28">
        <v>140469</v>
      </c>
      <c r="J64" s="945"/>
      <c r="K64" s="438">
        <v>171583</v>
      </c>
      <c r="L64" s="1083"/>
      <c r="M64" s="436">
        <f t="shared" si="18"/>
        <v>171583</v>
      </c>
    </row>
    <row r="65" spans="1:13" ht="19.5">
      <c r="A65" s="104">
        <v>58</v>
      </c>
      <c r="B65" s="27">
        <v>18</v>
      </c>
      <c r="C65" s="15"/>
      <c r="D65" s="15"/>
      <c r="E65" s="15"/>
      <c r="F65" s="33" t="s">
        <v>913</v>
      </c>
      <c r="G65" s="363"/>
      <c r="H65" s="363">
        <v>114584</v>
      </c>
      <c r="I65" s="28">
        <v>66256</v>
      </c>
      <c r="J65" s="945"/>
      <c r="K65" s="438">
        <v>752742</v>
      </c>
      <c r="L65" s="1083"/>
      <c r="M65" s="436">
        <f t="shared" si="18"/>
        <v>752742</v>
      </c>
    </row>
    <row r="66" spans="1:13" ht="19.5">
      <c r="A66" s="104">
        <v>59</v>
      </c>
      <c r="B66" s="27">
        <v>18</v>
      </c>
      <c r="C66" s="34"/>
      <c r="D66" s="15"/>
      <c r="E66" s="15"/>
      <c r="F66" s="33" t="s">
        <v>17</v>
      </c>
      <c r="G66" s="363">
        <v>28455</v>
      </c>
      <c r="H66" s="363"/>
      <c r="I66" s="28">
        <v>8112</v>
      </c>
      <c r="J66" s="945"/>
      <c r="K66" s="438">
        <v>0</v>
      </c>
      <c r="L66" s="1083"/>
      <c r="M66" s="436">
        <f t="shared" si="18"/>
        <v>0</v>
      </c>
    </row>
    <row r="67" spans="1:13" ht="19.5">
      <c r="A67" s="104">
        <v>60</v>
      </c>
      <c r="B67" s="27">
        <v>18</v>
      </c>
      <c r="C67" s="15"/>
      <c r="D67" s="15"/>
      <c r="E67" s="15"/>
      <c r="F67" s="33" t="s">
        <v>138</v>
      </c>
      <c r="G67" s="363">
        <v>42</v>
      </c>
      <c r="H67" s="363"/>
      <c r="I67" s="28">
        <v>1317</v>
      </c>
      <c r="J67" s="945"/>
      <c r="K67" s="438">
        <v>0</v>
      </c>
      <c r="L67" s="1083"/>
      <c r="M67" s="436">
        <f t="shared" si="18"/>
        <v>0</v>
      </c>
    </row>
    <row r="68" spans="1:13" s="82" customFormat="1" ht="30" customHeight="1">
      <c r="A68" s="1">
        <v>61</v>
      </c>
      <c r="B68" s="21"/>
      <c r="C68" s="22"/>
      <c r="D68" s="15"/>
      <c r="E68" s="15"/>
      <c r="F68" s="80" t="s">
        <v>352</v>
      </c>
      <c r="G68" s="81">
        <f>SUM(G69:G70)</f>
        <v>45907</v>
      </c>
      <c r="H68" s="81">
        <f>SUM(H69:H70)</f>
        <v>0</v>
      </c>
      <c r="I68" s="164">
        <f>SUM(I69:I70)</f>
        <v>4270</v>
      </c>
      <c r="J68" s="947"/>
      <c r="K68" s="168">
        <v>0</v>
      </c>
      <c r="L68" s="1084"/>
      <c r="M68" s="435">
        <f t="shared" si="18"/>
        <v>0</v>
      </c>
    </row>
    <row r="69" spans="1:13" s="24" customFormat="1" ht="18">
      <c r="A69" s="104">
        <v>62</v>
      </c>
      <c r="B69" s="31" t="s">
        <v>463</v>
      </c>
      <c r="C69" s="15"/>
      <c r="D69" s="15"/>
      <c r="E69" s="15"/>
      <c r="F69" s="32" t="s">
        <v>351</v>
      </c>
      <c r="G69" s="363">
        <v>27540</v>
      </c>
      <c r="H69" s="363"/>
      <c r="I69" s="28">
        <v>4270</v>
      </c>
      <c r="J69" s="945"/>
      <c r="K69" s="438">
        <v>0</v>
      </c>
      <c r="L69" s="1082"/>
      <c r="M69" s="436">
        <f t="shared" si="18"/>
        <v>0</v>
      </c>
    </row>
    <row r="70" spans="1:13" s="24" customFormat="1" ht="18">
      <c r="A70" s="104">
        <v>63</v>
      </c>
      <c r="B70" s="27">
        <v>18</v>
      </c>
      <c r="C70" s="15"/>
      <c r="D70" s="15"/>
      <c r="E70" s="15"/>
      <c r="F70" s="32" t="s">
        <v>17</v>
      </c>
      <c r="G70" s="363">
        <v>18367</v>
      </c>
      <c r="H70" s="363"/>
      <c r="I70" s="28"/>
      <c r="J70" s="945"/>
      <c r="K70" s="438">
        <v>0</v>
      </c>
      <c r="L70" s="1082"/>
      <c r="M70" s="436">
        <f t="shared" si="18"/>
        <v>0</v>
      </c>
    </row>
    <row r="71" spans="1:13" s="38" customFormat="1" ht="36" customHeight="1">
      <c r="A71" s="83">
        <v>64</v>
      </c>
      <c r="B71" s="84"/>
      <c r="C71" s="85"/>
      <c r="D71" s="86"/>
      <c r="E71" s="86"/>
      <c r="F71" s="87" t="s">
        <v>817</v>
      </c>
      <c r="G71" s="372">
        <f aca="true" t="shared" si="19" ref="G71:M71">SUM(G72:G77)</f>
        <v>2967318</v>
      </c>
      <c r="H71" s="372">
        <f t="shared" si="19"/>
        <v>1757738</v>
      </c>
      <c r="I71" s="175">
        <f t="shared" si="19"/>
        <v>751769</v>
      </c>
      <c r="J71" s="951">
        <f t="shared" si="19"/>
        <v>1352433</v>
      </c>
      <c r="K71" s="175">
        <f t="shared" si="19"/>
        <v>1224962</v>
      </c>
      <c r="L71" s="1088">
        <f t="shared" si="19"/>
        <v>-137650</v>
      </c>
      <c r="M71" s="176">
        <f t="shared" si="19"/>
        <v>1087312</v>
      </c>
    </row>
    <row r="72" spans="1:13" s="82" customFormat="1" ht="30" customHeight="1">
      <c r="A72" s="1">
        <v>65</v>
      </c>
      <c r="B72" s="21">
        <v>18</v>
      </c>
      <c r="C72" s="22"/>
      <c r="D72" s="15"/>
      <c r="E72" s="15"/>
      <c r="F72" s="80" t="s">
        <v>818</v>
      </c>
      <c r="G72" s="81"/>
      <c r="H72" s="81"/>
      <c r="I72" s="164"/>
      <c r="J72" s="947"/>
      <c r="K72" s="168"/>
      <c r="L72" s="1084"/>
      <c r="M72" s="170"/>
    </row>
    <row r="73" spans="1:13" ht="19.5">
      <c r="A73" s="104">
        <v>66</v>
      </c>
      <c r="B73" s="27"/>
      <c r="C73" s="15"/>
      <c r="D73" s="15"/>
      <c r="E73" s="15"/>
      <c r="F73" s="33" t="s">
        <v>353</v>
      </c>
      <c r="G73" s="363"/>
      <c r="H73" s="363"/>
      <c r="I73" s="28"/>
      <c r="J73" s="945"/>
      <c r="K73" s="438">
        <v>0</v>
      </c>
      <c r="L73" s="1083"/>
      <c r="M73" s="436">
        <f>SUM(K73:L73)</f>
        <v>0</v>
      </c>
    </row>
    <row r="74" spans="1:13" ht="19.5">
      <c r="A74" s="104">
        <v>67</v>
      </c>
      <c r="B74" s="27"/>
      <c r="C74" s="15"/>
      <c r="D74" s="15"/>
      <c r="E74" s="15"/>
      <c r="F74" s="33" t="s">
        <v>18</v>
      </c>
      <c r="G74" s="363">
        <v>2065358</v>
      </c>
      <c r="H74" s="363"/>
      <c r="I74" s="28"/>
      <c r="J74" s="945"/>
      <c r="K74" s="438">
        <v>0</v>
      </c>
      <c r="L74" s="1083"/>
      <c r="M74" s="436">
        <f>SUM(K74:L74)</f>
        <v>0</v>
      </c>
    </row>
    <row r="75" spans="1:13" s="82" customFormat="1" ht="30" customHeight="1">
      <c r="A75" s="1">
        <v>68</v>
      </c>
      <c r="B75" s="21">
        <v>18</v>
      </c>
      <c r="C75" s="22"/>
      <c r="D75" s="15"/>
      <c r="E75" s="15"/>
      <c r="F75" s="80" t="s">
        <v>354</v>
      </c>
      <c r="G75" s="81"/>
      <c r="H75" s="81"/>
      <c r="I75" s="164"/>
      <c r="J75" s="947"/>
      <c r="K75" s="168"/>
      <c r="L75" s="1084"/>
      <c r="M75" s="436">
        <f>SUM(K75:L75)</f>
        <v>0</v>
      </c>
    </row>
    <row r="76" spans="1:13" ht="19.5">
      <c r="A76" s="104">
        <v>69</v>
      </c>
      <c r="B76" s="27"/>
      <c r="C76" s="15"/>
      <c r="D76" s="15"/>
      <c r="E76" s="15"/>
      <c r="F76" s="33" t="s">
        <v>354</v>
      </c>
      <c r="G76" s="363"/>
      <c r="H76" s="363">
        <v>850000</v>
      </c>
      <c r="I76" s="28">
        <v>751769</v>
      </c>
      <c r="J76" s="945">
        <v>500000</v>
      </c>
      <c r="K76" s="438">
        <v>500000</v>
      </c>
      <c r="L76" s="1083">
        <v>-137650</v>
      </c>
      <c r="M76" s="436">
        <f>SUM(K76:L76)</f>
        <v>362350</v>
      </c>
    </row>
    <row r="77" spans="1:13" ht="19.5">
      <c r="A77" s="104">
        <v>70</v>
      </c>
      <c r="B77" s="27"/>
      <c r="C77" s="15"/>
      <c r="D77" s="15"/>
      <c r="E77" s="15"/>
      <c r="F77" s="199" t="s">
        <v>355</v>
      </c>
      <c r="G77" s="373">
        <v>901960</v>
      </c>
      <c r="H77" s="373">
        <v>907738</v>
      </c>
      <c r="I77" s="165"/>
      <c r="J77" s="955">
        <v>852433</v>
      </c>
      <c r="K77" s="832">
        <v>724962</v>
      </c>
      <c r="L77" s="1092"/>
      <c r="M77" s="437">
        <f>SUM(K77:L77)</f>
        <v>724962</v>
      </c>
    </row>
    <row r="78" spans="1:13" s="82" customFormat="1" ht="30" customHeight="1">
      <c r="A78" s="1">
        <v>71</v>
      </c>
      <c r="B78" s="21"/>
      <c r="C78" s="22"/>
      <c r="D78" s="15"/>
      <c r="E78" s="15"/>
      <c r="F78" s="80" t="s">
        <v>356</v>
      </c>
      <c r="G78" s="81"/>
      <c r="H78" s="81"/>
      <c r="I78" s="164"/>
      <c r="J78" s="947"/>
      <c r="K78" s="168"/>
      <c r="L78" s="1084"/>
      <c r="M78" s="436"/>
    </row>
    <row r="79" spans="1:13" s="24" customFormat="1" ht="18">
      <c r="A79" s="104">
        <v>72</v>
      </c>
      <c r="B79" s="31" t="s">
        <v>463</v>
      </c>
      <c r="C79" s="22"/>
      <c r="D79" s="15"/>
      <c r="E79" s="15"/>
      <c r="F79" s="200" t="s">
        <v>139</v>
      </c>
      <c r="G79" s="363">
        <v>57475</v>
      </c>
      <c r="H79" s="23"/>
      <c r="I79" s="5">
        <f>-43840-31162</f>
        <v>-75002</v>
      </c>
      <c r="J79" s="946"/>
      <c r="K79" s="167">
        <v>0</v>
      </c>
      <c r="L79" s="1082"/>
      <c r="M79" s="436">
        <f>SUM(J79:L79)</f>
        <v>0</v>
      </c>
    </row>
    <row r="80" spans="1:13" ht="19.5">
      <c r="A80" s="104">
        <v>73</v>
      </c>
      <c r="B80" s="27">
        <v>18</v>
      </c>
      <c r="C80" s="15"/>
      <c r="D80" s="15"/>
      <c r="E80" s="15"/>
      <c r="F80" s="201" t="s">
        <v>369</v>
      </c>
      <c r="G80" s="363">
        <v>5388</v>
      </c>
      <c r="H80" s="363"/>
      <c r="I80" s="28">
        <v>-4457</v>
      </c>
      <c r="J80" s="945"/>
      <c r="K80" s="438">
        <v>0</v>
      </c>
      <c r="L80" s="1083"/>
      <c r="M80" s="436">
        <f>SUM(J80:L80)</f>
        <v>0</v>
      </c>
    </row>
    <row r="81" spans="1:13" s="38" customFormat="1" ht="36" customHeight="1" thickBot="1">
      <c r="A81" s="83">
        <v>74</v>
      </c>
      <c r="B81" s="35"/>
      <c r="C81" s="36"/>
      <c r="D81" s="68"/>
      <c r="E81" s="68"/>
      <c r="F81" s="37" t="s">
        <v>357</v>
      </c>
      <c r="G81" s="374">
        <f aca="true" t="shared" si="20" ref="G81:M81">SUM(G57,G59,G78:G80)</f>
        <v>19753402</v>
      </c>
      <c r="H81" s="374">
        <f t="shared" si="20"/>
        <v>13995665</v>
      </c>
      <c r="I81" s="177">
        <f t="shared" si="20"/>
        <v>14771478</v>
      </c>
      <c r="J81" s="956">
        <f t="shared" si="20"/>
        <v>18056073</v>
      </c>
      <c r="K81" s="177">
        <f t="shared" si="20"/>
        <v>20724467</v>
      </c>
      <c r="L81" s="1093">
        <f t="shared" si="20"/>
        <v>-13584</v>
      </c>
      <c r="M81" s="828">
        <f t="shared" si="20"/>
        <v>20710883</v>
      </c>
    </row>
    <row r="82" spans="10:13" ht="19.5">
      <c r="J82" s="957"/>
      <c r="K82" s="438"/>
      <c r="L82" s="1083"/>
      <c r="M82" s="774"/>
    </row>
    <row r="83" spans="10:13" ht="19.5">
      <c r="J83" s="957"/>
      <c r="K83" s="438"/>
      <c r="L83" s="1083"/>
      <c r="M83" s="774"/>
    </row>
    <row r="84" spans="10:13" ht="19.5">
      <c r="J84" s="957"/>
      <c r="K84" s="438"/>
      <c r="L84" s="1083"/>
      <c r="M84" s="774"/>
    </row>
    <row r="85" spans="10:13" ht="19.5">
      <c r="J85" s="957"/>
      <c r="K85" s="438"/>
      <c r="L85" s="1083"/>
      <c r="M85" s="774"/>
    </row>
    <row r="86" spans="10:13" ht="19.5">
      <c r="J86" s="957"/>
      <c r="K86" s="438"/>
      <c r="L86" s="1083"/>
      <c r="M86" s="774"/>
    </row>
    <row r="87" spans="10:13" ht="19.5">
      <c r="J87" s="957"/>
      <c r="K87" s="438"/>
      <c r="L87" s="1083"/>
      <c r="M87" s="774"/>
    </row>
    <row r="88" spans="10:13" ht="19.5">
      <c r="J88" s="957"/>
      <c r="K88" s="438"/>
      <c r="L88" s="1083"/>
      <c r="M88" s="774"/>
    </row>
    <row r="89" spans="10:13" ht="19.5">
      <c r="J89" s="957"/>
      <c r="K89" s="438"/>
      <c r="L89" s="1083"/>
      <c r="M89" s="774"/>
    </row>
    <row r="90" spans="10:13" ht="19.5">
      <c r="J90" s="957"/>
      <c r="K90" s="438"/>
      <c r="L90" s="1083"/>
      <c r="M90" s="774"/>
    </row>
    <row r="91" spans="10:13" ht="19.5">
      <c r="J91" s="957"/>
      <c r="K91" s="438"/>
      <c r="L91" s="1083"/>
      <c r="M91" s="774"/>
    </row>
    <row r="92" spans="10:13" ht="19.5">
      <c r="J92" s="957"/>
      <c r="K92" s="438"/>
      <c r="L92" s="1083"/>
      <c r="M92" s="774"/>
    </row>
    <row r="93" spans="10:13" ht="19.5">
      <c r="J93" s="957"/>
      <c r="K93" s="438"/>
      <c r="L93" s="1083"/>
      <c r="M93" s="774"/>
    </row>
    <row r="94" spans="10:13" ht="19.5">
      <c r="J94" s="957"/>
      <c r="K94" s="438"/>
      <c r="L94" s="1083"/>
      <c r="M94" s="774"/>
    </row>
    <row r="95" spans="10:13" ht="19.5">
      <c r="J95" s="957"/>
      <c r="K95" s="438"/>
      <c r="L95" s="1083"/>
      <c r="M95" s="774"/>
    </row>
    <row r="96" spans="10:13" ht="19.5">
      <c r="J96" s="957"/>
      <c r="K96" s="438"/>
      <c r="L96" s="1083"/>
      <c r="M96" s="774"/>
    </row>
    <row r="97" spans="10:13" ht="19.5">
      <c r="J97" s="957"/>
      <c r="K97" s="438"/>
      <c r="L97" s="1083"/>
      <c r="M97" s="774"/>
    </row>
    <row r="98" spans="10:13" ht="19.5">
      <c r="J98" s="957"/>
      <c r="K98" s="438"/>
      <c r="L98" s="1083"/>
      <c r="M98" s="774"/>
    </row>
    <row r="99" spans="10:13" ht="19.5">
      <c r="J99" s="957"/>
      <c r="K99" s="438"/>
      <c r="L99" s="1083"/>
      <c r="M99" s="774"/>
    </row>
    <row r="100" spans="10:13" ht="19.5">
      <c r="J100" s="957"/>
      <c r="K100" s="438"/>
      <c r="L100" s="1083"/>
      <c r="M100" s="774"/>
    </row>
    <row r="101" spans="10:13" ht="19.5">
      <c r="J101" s="957"/>
      <c r="K101" s="438"/>
      <c r="L101" s="1083"/>
      <c r="M101" s="774"/>
    </row>
    <row r="102" spans="10:13" ht="19.5">
      <c r="J102" s="957"/>
      <c r="K102" s="438"/>
      <c r="L102" s="1083"/>
      <c r="M102" s="774"/>
    </row>
    <row r="103" spans="10:13" ht="19.5">
      <c r="J103" s="957"/>
      <c r="K103" s="438"/>
      <c r="L103" s="1083"/>
      <c r="M103" s="774"/>
    </row>
    <row r="104" spans="10:13" ht="19.5">
      <c r="J104" s="957"/>
      <c r="K104" s="438"/>
      <c r="L104" s="1083"/>
      <c r="M104" s="774"/>
    </row>
    <row r="105" spans="10:13" ht="19.5">
      <c r="J105" s="957"/>
      <c r="K105" s="438"/>
      <c r="L105" s="1083"/>
      <c r="M105" s="774"/>
    </row>
    <row r="106" spans="10:13" ht="19.5">
      <c r="J106" s="957"/>
      <c r="K106" s="438"/>
      <c r="L106" s="1083"/>
      <c r="M106" s="774"/>
    </row>
    <row r="107" spans="10:13" ht="19.5">
      <c r="J107" s="957"/>
      <c r="K107" s="438"/>
      <c r="L107" s="1083"/>
      <c r="M107" s="774"/>
    </row>
    <row r="108" spans="10:13" ht="19.5">
      <c r="J108" s="957"/>
      <c r="K108" s="438"/>
      <c r="L108" s="1083"/>
      <c r="M108" s="774"/>
    </row>
    <row r="109" spans="10:13" ht="19.5">
      <c r="J109" s="957"/>
      <c r="K109" s="438"/>
      <c r="L109" s="1083"/>
      <c r="M109" s="774"/>
    </row>
    <row r="338" spans="1:13" s="240" customFormat="1" ht="19.5">
      <c r="A338" s="485"/>
      <c r="B338" s="244"/>
      <c r="C338" s="244"/>
      <c r="D338" s="244"/>
      <c r="E338" s="244"/>
      <c r="G338" s="39"/>
      <c r="H338" s="39"/>
      <c r="I338" s="39"/>
      <c r="J338" s="958"/>
      <c r="K338" s="439"/>
      <c r="L338" s="1094"/>
      <c r="M338" s="439"/>
    </row>
    <row r="339" spans="1:13" s="240" customFormat="1" ht="19.5">
      <c r="A339" s="485"/>
      <c r="B339" s="244"/>
      <c r="C339" s="244"/>
      <c r="D339" s="244"/>
      <c r="E339" s="244"/>
      <c r="G339" s="39"/>
      <c r="H339" s="39"/>
      <c r="I339" s="39"/>
      <c r="J339" s="958"/>
      <c r="K339" s="439"/>
      <c r="L339" s="1094"/>
      <c r="M339" s="439"/>
    </row>
    <row r="371" spans="1:13" s="492" customFormat="1" ht="19.5">
      <c r="A371" s="490"/>
      <c r="B371" s="491"/>
      <c r="C371" s="491"/>
      <c r="D371" s="491"/>
      <c r="E371" s="491"/>
      <c r="G371" s="493"/>
      <c r="H371" s="493"/>
      <c r="I371" s="39"/>
      <c r="J371" s="959"/>
      <c r="K371" s="494"/>
      <c r="L371" s="1095"/>
      <c r="M371" s="494"/>
    </row>
    <row r="372" spans="1:13" s="492" customFormat="1" ht="19.5">
      <c r="A372" s="490"/>
      <c r="B372" s="491"/>
      <c r="C372" s="491"/>
      <c r="D372" s="491"/>
      <c r="E372" s="491"/>
      <c r="G372" s="493"/>
      <c r="H372" s="493"/>
      <c r="I372" s="39"/>
      <c r="J372" s="959"/>
      <c r="K372" s="494"/>
      <c r="L372" s="1095"/>
      <c r="M372" s="494"/>
    </row>
    <row r="373" spans="1:13" s="492" customFormat="1" ht="19.5">
      <c r="A373" s="490"/>
      <c r="B373" s="491"/>
      <c r="C373" s="491"/>
      <c r="D373" s="491"/>
      <c r="E373" s="491"/>
      <c r="G373" s="493"/>
      <c r="H373" s="493"/>
      <c r="I373" s="39"/>
      <c r="J373" s="959"/>
      <c r="K373" s="494"/>
      <c r="L373" s="1095"/>
      <c r="M373" s="494"/>
    </row>
    <row r="374" spans="1:13" s="492" customFormat="1" ht="19.5">
      <c r="A374" s="490"/>
      <c r="B374" s="491"/>
      <c r="C374" s="491"/>
      <c r="D374" s="491"/>
      <c r="E374" s="491"/>
      <c r="G374" s="493"/>
      <c r="H374" s="493"/>
      <c r="I374" s="39"/>
      <c r="J374" s="959"/>
      <c r="K374" s="494"/>
      <c r="L374" s="1095"/>
      <c r="M374" s="494"/>
    </row>
    <row r="375" spans="1:18" s="492" customFormat="1" ht="17.25">
      <c r="A375" s="490"/>
      <c r="B375" s="491"/>
      <c r="C375" s="491"/>
      <c r="D375" s="491"/>
      <c r="E375" s="491"/>
      <c r="G375" s="493"/>
      <c r="H375" s="493"/>
      <c r="I375" s="39">
        <f aca="true" t="shared" si="21" ref="I375:R375">SUM(I373:I374)</f>
        <v>0</v>
      </c>
      <c r="J375" s="960">
        <f t="shared" si="21"/>
        <v>0</v>
      </c>
      <c r="K375" s="493"/>
      <c r="L375" s="1096">
        <f t="shared" si="21"/>
        <v>0</v>
      </c>
      <c r="M375" s="493">
        <f t="shared" si="21"/>
        <v>0</v>
      </c>
      <c r="N375" s="493">
        <f t="shared" si="21"/>
        <v>0</v>
      </c>
      <c r="O375" s="493">
        <f t="shared" si="21"/>
        <v>0</v>
      </c>
      <c r="P375" s="493">
        <f t="shared" si="21"/>
        <v>0</v>
      </c>
      <c r="Q375" s="493">
        <f t="shared" si="21"/>
        <v>0</v>
      </c>
      <c r="R375" s="493">
        <f t="shared" si="21"/>
        <v>0</v>
      </c>
    </row>
    <row r="376" spans="1:13" s="492" customFormat="1" ht="19.5">
      <c r="A376" s="490"/>
      <c r="B376" s="491"/>
      <c r="C376" s="491"/>
      <c r="D376" s="491"/>
      <c r="E376" s="491"/>
      <c r="G376" s="493"/>
      <c r="H376" s="493"/>
      <c r="I376" s="39"/>
      <c r="J376" s="959"/>
      <c r="K376" s="494"/>
      <c r="L376" s="1095"/>
      <c r="M376" s="494"/>
    </row>
    <row r="377" spans="1:13" s="492" customFormat="1" ht="19.5">
      <c r="A377" s="490"/>
      <c r="B377" s="491"/>
      <c r="C377" s="491"/>
      <c r="D377" s="491"/>
      <c r="E377" s="491"/>
      <c r="G377" s="493"/>
      <c r="H377" s="493"/>
      <c r="I377" s="39"/>
      <c r="J377" s="959"/>
      <c r="K377" s="494"/>
      <c r="L377" s="1095"/>
      <c r="M377" s="494"/>
    </row>
    <row r="378" spans="1:13" s="492" customFormat="1" ht="19.5">
      <c r="A378" s="490"/>
      <c r="B378" s="491"/>
      <c r="C378" s="491"/>
      <c r="D378" s="491"/>
      <c r="E378" s="491"/>
      <c r="G378" s="493"/>
      <c r="H378" s="493"/>
      <c r="I378" s="39"/>
      <c r="J378" s="959"/>
      <c r="K378" s="494"/>
      <c r="L378" s="1095"/>
      <c r="M378" s="494"/>
    </row>
    <row r="379" spans="1:13" s="492" customFormat="1" ht="19.5">
      <c r="A379" s="490"/>
      <c r="B379" s="491"/>
      <c r="C379" s="491"/>
      <c r="D379" s="491"/>
      <c r="E379" s="491"/>
      <c r="G379" s="493"/>
      <c r="H379" s="493"/>
      <c r="I379" s="39"/>
      <c r="J379" s="959"/>
      <c r="K379" s="494"/>
      <c r="L379" s="1095"/>
      <c r="M379" s="494"/>
    </row>
    <row r="380" spans="1:18" s="492" customFormat="1" ht="17.25">
      <c r="A380" s="490"/>
      <c r="B380" s="491"/>
      <c r="C380" s="491"/>
      <c r="D380" s="491"/>
      <c r="E380" s="491"/>
      <c r="G380" s="493"/>
      <c r="H380" s="493"/>
      <c r="I380" s="39">
        <f aca="true" t="shared" si="22" ref="I380:R380">SUM(I378:I379)</f>
        <v>0</v>
      </c>
      <c r="J380" s="960">
        <f t="shared" si="22"/>
        <v>0</v>
      </c>
      <c r="K380" s="493"/>
      <c r="L380" s="1096">
        <f t="shared" si="22"/>
        <v>0</v>
      </c>
      <c r="M380" s="493">
        <f t="shared" si="22"/>
        <v>0</v>
      </c>
      <c r="N380" s="493">
        <f t="shared" si="22"/>
        <v>0</v>
      </c>
      <c r="O380" s="493">
        <f t="shared" si="22"/>
        <v>0</v>
      </c>
      <c r="P380" s="493">
        <f t="shared" si="22"/>
        <v>0</v>
      </c>
      <c r="Q380" s="493">
        <f t="shared" si="22"/>
        <v>0</v>
      </c>
      <c r="R380" s="493">
        <f t="shared" si="22"/>
        <v>0</v>
      </c>
    </row>
    <row r="381" spans="1:13" s="492" customFormat="1" ht="19.5">
      <c r="A381" s="490"/>
      <c r="B381" s="491"/>
      <c r="C381" s="491"/>
      <c r="D381" s="491"/>
      <c r="E381" s="491"/>
      <c r="G381" s="493"/>
      <c r="H381" s="493"/>
      <c r="I381" s="39"/>
      <c r="J381" s="959"/>
      <c r="K381" s="494"/>
      <c r="L381" s="1095"/>
      <c r="M381" s="494"/>
    </row>
    <row r="382" spans="1:13" s="492" customFormat="1" ht="19.5">
      <c r="A382" s="490"/>
      <c r="B382" s="491"/>
      <c r="C382" s="491"/>
      <c r="D382" s="491"/>
      <c r="E382" s="491"/>
      <c r="G382" s="493"/>
      <c r="H382" s="493"/>
      <c r="I382" s="39"/>
      <c r="J382" s="959"/>
      <c r="K382" s="494"/>
      <c r="L382" s="1095"/>
      <c r="M382" s="494"/>
    </row>
    <row r="383" spans="1:13" s="492" customFormat="1" ht="19.5">
      <c r="A383" s="490"/>
      <c r="B383" s="491"/>
      <c r="C383" s="491"/>
      <c r="D383" s="491"/>
      <c r="E383" s="491"/>
      <c r="G383" s="493"/>
      <c r="H383" s="493"/>
      <c r="I383" s="39"/>
      <c r="J383" s="959"/>
      <c r="K383" s="494"/>
      <c r="L383" s="1095"/>
      <c r="M383" s="494"/>
    </row>
    <row r="384" spans="1:13" s="492" customFormat="1" ht="19.5">
      <c r="A384" s="490"/>
      <c r="B384" s="491"/>
      <c r="C384" s="491"/>
      <c r="D384" s="491"/>
      <c r="E384" s="491"/>
      <c r="G384" s="493"/>
      <c r="H384" s="493"/>
      <c r="I384" s="39"/>
      <c r="J384" s="959"/>
      <c r="K384" s="494"/>
      <c r="L384" s="1095"/>
      <c r="M384" s="494"/>
    </row>
    <row r="385" spans="1:18" s="492" customFormat="1" ht="17.25">
      <c r="A385" s="490"/>
      <c r="B385" s="491"/>
      <c r="C385" s="491"/>
      <c r="D385" s="491"/>
      <c r="E385" s="491"/>
      <c r="G385" s="493"/>
      <c r="H385" s="493"/>
      <c r="I385" s="39">
        <f aca="true" t="shared" si="23" ref="I385:R385">SUM(I383:I384)</f>
        <v>0</v>
      </c>
      <c r="J385" s="960">
        <f t="shared" si="23"/>
        <v>0</v>
      </c>
      <c r="K385" s="493"/>
      <c r="L385" s="1096">
        <f t="shared" si="23"/>
        <v>0</v>
      </c>
      <c r="M385" s="493">
        <f t="shared" si="23"/>
        <v>0</v>
      </c>
      <c r="N385" s="493">
        <f t="shared" si="23"/>
        <v>0</v>
      </c>
      <c r="O385" s="493">
        <f t="shared" si="23"/>
        <v>0</v>
      </c>
      <c r="P385" s="493">
        <f t="shared" si="23"/>
        <v>0</v>
      </c>
      <c r="Q385" s="493">
        <f t="shared" si="23"/>
        <v>0</v>
      </c>
      <c r="R385" s="493">
        <f t="shared" si="23"/>
        <v>0</v>
      </c>
    </row>
  </sheetData>
  <sheetProtection/>
  <mergeCells count="5">
    <mergeCell ref="B1:J1"/>
    <mergeCell ref="B2:M2"/>
    <mergeCell ref="B3:M3"/>
    <mergeCell ref="L5:M5"/>
    <mergeCell ref="B4:M4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7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view="pageBreakPreview" zoomScale="80" zoomScaleSheetLayoutView="80" zoomScalePageLayoutView="0" workbookViewId="0" topLeftCell="A13">
      <selection activeCell="A2" sqref="A2"/>
    </sheetView>
  </sheetViews>
  <sheetFormatPr defaultColWidth="9.125" defaultRowHeight="12.75"/>
  <cols>
    <col min="1" max="1" width="3.75390625" style="10" customWidth="1"/>
    <col min="2" max="2" width="5.75390625" style="43" customWidth="1"/>
    <col min="3" max="5" width="5.75390625" style="42" customWidth="1"/>
    <col min="6" max="6" width="55.75390625" style="40" customWidth="1"/>
    <col min="7" max="9" width="12.75390625" style="40" customWidth="1"/>
    <col min="10" max="10" width="14.75390625" style="975" customWidth="1"/>
    <col min="11" max="11" width="12.75390625" style="40" customWidth="1"/>
    <col min="12" max="12" width="12.75390625" style="189" customWidth="1"/>
    <col min="13" max="13" width="12.75390625" style="40" customWidth="1"/>
    <col min="14" max="16384" width="9.125" style="40" customWidth="1"/>
  </cols>
  <sheetData>
    <row r="1" spans="1:12" s="114" customFormat="1" ht="31.5" customHeight="1">
      <c r="A1" s="120"/>
      <c r="B1" s="1634" t="s">
        <v>401</v>
      </c>
      <c r="C1" s="1634"/>
      <c r="D1" s="1634"/>
      <c r="E1" s="1634"/>
      <c r="F1" s="1634"/>
      <c r="H1" s="445"/>
      <c r="J1" s="961"/>
      <c r="L1" s="1097"/>
    </row>
    <row r="2" spans="1:13" s="114" customFormat="1" ht="24.75" customHeight="1">
      <c r="A2" s="120"/>
      <c r="B2" s="1630" t="s">
        <v>789</v>
      </c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</row>
    <row r="3" spans="1:13" s="114" customFormat="1" ht="24.75" customHeight="1">
      <c r="A3" s="120"/>
      <c r="B3" s="1630" t="s">
        <v>402</v>
      </c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</row>
    <row r="4" spans="1:13" s="114" customFormat="1" ht="24.75" customHeight="1">
      <c r="A4" s="120"/>
      <c r="B4" s="1636" t="s">
        <v>1061</v>
      </c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</row>
    <row r="5" spans="1:13" s="184" customFormat="1" ht="14.25">
      <c r="A5" s="10"/>
      <c r="B5" s="180"/>
      <c r="C5" s="182"/>
      <c r="D5" s="10"/>
      <c r="E5" s="182"/>
      <c r="F5" s="183"/>
      <c r="G5" s="183"/>
      <c r="H5" s="375"/>
      <c r="J5" s="962"/>
      <c r="K5" s="444"/>
      <c r="L5" s="1635" t="s">
        <v>135</v>
      </c>
      <c r="M5" s="1635"/>
    </row>
    <row r="6" spans="2:13" s="10" customFormat="1" ht="15" thickBot="1">
      <c r="B6" s="180" t="s">
        <v>146</v>
      </c>
      <c r="C6" s="10" t="s">
        <v>147</v>
      </c>
      <c r="D6" s="10" t="s">
        <v>148</v>
      </c>
      <c r="E6" s="10" t="s">
        <v>149</v>
      </c>
      <c r="F6" s="10" t="s">
        <v>150</v>
      </c>
      <c r="G6" s="10" t="s">
        <v>151</v>
      </c>
      <c r="H6" s="10" t="s">
        <v>152</v>
      </c>
      <c r="I6" s="181" t="s">
        <v>911</v>
      </c>
      <c r="J6" s="963" t="s">
        <v>912</v>
      </c>
      <c r="K6" s="405" t="s">
        <v>858</v>
      </c>
      <c r="L6" s="1098" t="s">
        <v>859</v>
      </c>
      <c r="M6" s="10" t="s">
        <v>860</v>
      </c>
    </row>
    <row r="7" spans="1:13" s="117" customFormat="1" ht="57.75" thickBot="1">
      <c r="A7" s="120"/>
      <c r="B7" s="376" t="s">
        <v>140</v>
      </c>
      <c r="C7" s="377" t="s">
        <v>418</v>
      </c>
      <c r="D7" s="378" t="s">
        <v>8</v>
      </c>
      <c r="E7" s="378" t="s">
        <v>9</v>
      </c>
      <c r="F7" s="379" t="s">
        <v>136</v>
      </c>
      <c r="G7" s="109" t="s">
        <v>199</v>
      </c>
      <c r="H7" s="109" t="s">
        <v>198</v>
      </c>
      <c r="I7" s="676" t="s">
        <v>38</v>
      </c>
      <c r="J7" s="964" t="s">
        <v>276</v>
      </c>
      <c r="K7" s="836" t="s">
        <v>956</v>
      </c>
      <c r="L7" s="430" t="s">
        <v>873</v>
      </c>
      <c r="M7" s="431" t="s">
        <v>1066</v>
      </c>
    </row>
    <row r="8" spans="1:13" s="65" customFormat="1" ht="30" customHeight="1">
      <c r="A8" s="10">
        <v>1</v>
      </c>
      <c r="B8" s="236" t="s">
        <v>463</v>
      </c>
      <c r="C8" s="44"/>
      <c r="D8" s="45"/>
      <c r="E8" s="44"/>
      <c r="F8" s="185" t="s">
        <v>530</v>
      </c>
      <c r="G8" s="46">
        <f aca="true" t="shared" si="0" ref="G8:M8">SUM(G9:G12)</f>
        <v>10590218</v>
      </c>
      <c r="H8" s="46">
        <f t="shared" si="0"/>
        <v>5709332</v>
      </c>
      <c r="I8" s="46">
        <f t="shared" si="0"/>
        <v>6047359</v>
      </c>
      <c r="J8" s="965">
        <f t="shared" si="0"/>
        <v>6127521</v>
      </c>
      <c r="K8" s="46">
        <f t="shared" si="0"/>
        <v>6943543</v>
      </c>
      <c r="L8" s="1099">
        <f t="shared" si="0"/>
        <v>62055</v>
      </c>
      <c r="M8" s="47">
        <f t="shared" si="0"/>
        <v>7005598</v>
      </c>
    </row>
    <row r="9" spans="1:13" ht="25.5" customHeight="1">
      <c r="A9" s="10">
        <v>2</v>
      </c>
      <c r="B9" s="48"/>
      <c r="C9" s="49"/>
      <c r="D9" s="49">
        <v>1</v>
      </c>
      <c r="E9" s="49"/>
      <c r="F9" s="50" t="s">
        <v>888</v>
      </c>
      <c r="G9" s="50">
        <f>9013971+1473034</f>
        <v>10487005</v>
      </c>
      <c r="H9" s="50">
        <f>4269068+1426264</f>
        <v>5695332</v>
      </c>
      <c r="I9" s="50">
        <f>4696272+1244999</f>
        <v>5941271</v>
      </c>
      <c r="J9" s="966">
        <v>6014645</v>
      </c>
      <c r="K9" s="50">
        <v>6762339</v>
      </c>
      <c r="L9" s="178">
        <v>51142</v>
      </c>
      <c r="M9" s="54">
        <f>SUM(K9:L9)</f>
        <v>6813481</v>
      </c>
    </row>
    <row r="10" spans="1:13" ht="19.5" customHeight="1">
      <c r="A10" s="10">
        <v>3</v>
      </c>
      <c r="B10" s="48"/>
      <c r="C10" s="49"/>
      <c r="D10" s="49">
        <v>2</v>
      </c>
      <c r="E10" s="49"/>
      <c r="F10" s="50" t="s">
        <v>890</v>
      </c>
      <c r="G10" s="50"/>
      <c r="H10" s="50"/>
      <c r="I10" s="50"/>
      <c r="J10" s="966"/>
      <c r="K10" s="50">
        <v>0</v>
      </c>
      <c r="L10" s="178"/>
      <c r="M10" s="54">
        <f>SUM(K10:L10)</f>
        <v>0</v>
      </c>
    </row>
    <row r="11" spans="1:13" ht="19.5" customHeight="1">
      <c r="A11" s="10">
        <v>4</v>
      </c>
      <c r="B11" s="48"/>
      <c r="C11" s="49"/>
      <c r="D11" s="49"/>
      <c r="E11" s="49">
        <v>1</v>
      </c>
      <c r="F11" s="50" t="s">
        <v>370</v>
      </c>
      <c r="G11" s="50">
        <v>76072</v>
      </c>
      <c r="H11" s="50">
        <v>14000</v>
      </c>
      <c r="I11" s="50">
        <f>88060+17347</f>
        <v>105407</v>
      </c>
      <c r="J11" s="966">
        <v>94211</v>
      </c>
      <c r="K11" s="50">
        <v>155131</v>
      </c>
      <c r="L11" s="178">
        <v>7337</v>
      </c>
      <c r="M11" s="54">
        <f>SUM(K11:L11)</f>
        <v>162468</v>
      </c>
    </row>
    <row r="12" spans="1:13" ht="19.5" customHeight="1">
      <c r="A12" s="10">
        <v>5</v>
      </c>
      <c r="B12" s="48"/>
      <c r="C12" s="49"/>
      <c r="D12" s="49"/>
      <c r="E12" s="49">
        <v>2</v>
      </c>
      <c r="F12" s="50" t="s">
        <v>359</v>
      </c>
      <c r="G12" s="50">
        <v>27141</v>
      </c>
      <c r="H12" s="50"/>
      <c r="I12" s="50">
        <v>681</v>
      </c>
      <c r="J12" s="966">
        <f>18240+425</f>
        <v>18665</v>
      </c>
      <c r="K12" s="50">
        <v>26073</v>
      </c>
      <c r="L12" s="178">
        <v>3576</v>
      </c>
      <c r="M12" s="54">
        <f>SUM(K12:L12)</f>
        <v>29649</v>
      </c>
    </row>
    <row r="13" spans="1:13" s="65" customFormat="1" ht="30" customHeight="1">
      <c r="A13" s="10">
        <v>6</v>
      </c>
      <c r="B13" s="48" t="s">
        <v>465</v>
      </c>
      <c r="C13" s="51"/>
      <c r="D13" s="49"/>
      <c r="E13" s="49"/>
      <c r="F13" s="52" t="s">
        <v>913</v>
      </c>
      <c r="G13" s="52">
        <f aca="true" t="shared" si="1" ref="G13:M13">SUM(G14:G15,G25,G26)</f>
        <v>4822768</v>
      </c>
      <c r="H13" s="52">
        <f t="shared" si="1"/>
        <v>7778846</v>
      </c>
      <c r="I13" s="52">
        <f t="shared" si="1"/>
        <v>6973981</v>
      </c>
      <c r="J13" s="967">
        <f>SUM(J14:J15,J25,J26)</f>
        <v>10180559</v>
      </c>
      <c r="K13" s="52">
        <f>SUM(K14:K15,K25,K26)</f>
        <v>12032931</v>
      </c>
      <c r="L13" s="1100">
        <f>SUM(L14:L15,L25,L26)</f>
        <v>-67780</v>
      </c>
      <c r="M13" s="53">
        <f t="shared" si="1"/>
        <v>11965151</v>
      </c>
    </row>
    <row r="14" spans="1:13" s="65" customFormat="1" ht="19.5" customHeight="1">
      <c r="A14" s="10">
        <v>7</v>
      </c>
      <c r="B14" s="48"/>
      <c r="C14" s="51"/>
      <c r="D14" s="51">
        <v>1</v>
      </c>
      <c r="E14" s="51"/>
      <c r="F14" s="52" t="s">
        <v>888</v>
      </c>
      <c r="G14" s="52">
        <f>2533406+568965</f>
        <v>3102371</v>
      </c>
      <c r="H14" s="52">
        <f>3686640+281589</f>
        <v>3968229</v>
      </c>
      <c r="I14" s="52">
        <f>3560146+263651</f>
        <v>3823797</v>
      </c>
      <c r="J14" s="967">
        <f>4093644+87500</f>
        <v>4181144</v>
      </c>
      <c r="K14" s="52">
        <v>4812682</v>
      </c>
      <c r="L14" s="1100">
        <v>2873</v>
      </c>
      <c r="M14" s="53">
        <f>SUM(K14:L14)</f>
        <v>4815555</v>
      </c>
    </row>
    <row r="15" spans="1:13" ht="19.5" customHeight="1">
      <c r="A15" s="10">
        <v>8</v>
      </c>
      <c r="B15" s="48"/>
      <c r="C15" s="51"/>
      <c r="D15" s="51"/>
      <c r="E15" s="51"/>
      <c r="F15" s="52" t="s">
        <v>897</v>
      </c>
      <c r="G15" s="52">
        <f aca="true" t="shared" si="2" ref="G15:M15">SUM(G16,G21)</f>
        <v>0</v>
      </c>
      <c r="H15" s="52">
        <f t="shared" si="2"/>
        <v>1447041</v>
      </c>
      <c r="I15" s="52">
        <f t="shared" si="2"/>
        <v>0</v>
      </c>
      <c r="J15" s="967">
        <f>SUM(J16,J21)</f>
        <v>1273579</v>
      </c>
      <c r="K15" s="52">
        <f>SUM(K16,K21)</f>
        <v>153339</v>
      </c>
      <c r="L15" s="1100">
        <f>SUM(L16,L21)</f>
        <v>-398</v>
      </c>
      <c r="M15" s="53">
        <f t="shared" si="2"/>
        <v>152941</v>
      </c>
    </row>
    <row r="16" spans="1:13" s="189" customFormat="1" ht="19.5" customHeight="1">
      <c r="A16" s="10">
        <v>9</v>
      </c>
      <c r="B16" s="55"/>
      <c r="C16" s="56"/>
      <c r="D16" s="56"/>
      <c r="E16" s="56"/>
      <c r="F16" s="187" t="s">
        <v>898</v>
      </c>
      <c r="G16" s="178">
        <f>SUM(G17:G20)</f>
        <v>0</v>
      </c>
      <c r="H16" s="178">
        <f>SUM(H17:H20)</f>
        <v>75376</v>
      </c>
      <c r="I16" s="178">
        <f>SUM(I17:I20)</f>
        <v>0</v>
      </c>
      <c r="J16" s="968">
        <f>SUM(J17:J20)</f>
        <v>120000</v>
      </c>
      <c r="K16" s="178">
        <v>5110</v>
      </c>
      <c r="L16" s="178">
        <v>-398</v>
      </c>
      <c r="M16" s="188">
        <f aca="true" t="shared" si="3" ref="M16:M25">SUM(K16:L16)</f>
        <v>4712</v>
      </c>
    </row>
    <row r="17" spans="1:13" ht="19.5" customHeight="1">
      <c r="A17" s="10">
        <v>10</v>
      </c>
      <c r="B17" s="48"/>
      <c r="C17" s="49"/>
      <c r="D17" s="49"/>
      <c r="E17" s="49"/>
      <c r="F17" s="190" t="s">
        <v>116</v>
      </c>
      <c r="G17" s="50"/>
      <c r="H17" s="50"/>
      <c r="I17" s="50"/>
      <c r="J17" s="966"/>
      <c r="K17" s="50">
        <v>0</v>
      </c>
      <c r="L17" s="178"/>
      <c r="M17" s="54">
        <f t="shared" si="3"/>
        <v>0</v>
      </c>
    </row>
    <row r="18" spans="1:13" ht="19.5" customHeight="1">
      <c r="A18" s="10">
        <v>11</v>
      </c>
      <c r="B18" s="48"/>
      <c r="C18" s="49"/>
      <c r="D18" s="49"/>
      <c r="E18" s="49"/>
      <c r="F18" s="190" t="s">
        <v>371</v>
      </c>
      <c r="G18" s="50"/>
      <c r="H18" s="50">
        <v>51376</v>
      </c>
      <c r="I18" s="50"/>
      <c r="J18" s="966">
        <v>96000</v>
      </c>
      <c r="K18" s="50">
        <v>1024</v>
      </c>
      <c r="L18" s="178">
        <v>-118</v>
      </c>
      <c r="M18" s="54">
        <f t="shared" si="3"/>
        <v>906</v>
      </c>
    </row>
    <row r="19" spans="1:13" ht="19.5" customHeight="1">
      <c r="A19" s="10">
        <v>12</v>
      </c>
      <c r="B19" s="48"/>
      <c r="C19" s="49"/>
      <c r="D19" s="49"/>
      <c r="E19" s="49"/>
      <c r="F19" s="190" t="s">
        <v>372</v>
      </c>
      <c r="G19" s="50"/>
      <c r="H19" s="50">
        <v>24000</v>
      </c>
      <c r="I19" s="50"/>
      <c r="J19" s="966">
        <v>24000</v>
      </c>
      <c r="K19" s="50">
        <v>4086</v>
      </c>
      <c r="L19" s="178">
        <v>-280</v>
      </c>
      <c r="M19" s="54">
        <f t="shared" si="3"/>
        <v>3806</v>
      </c>
    </row>
    <row r="20" spans="1:13" ht="33" customHeight="1">
      <c r="A20" s="10">
        <v>13</v>
      </c>
      <c r="B20" s="48"/>
      <c r="C20" s="49"/>
      <c r="D20" s="49"/>
      <c r="E20" s="49"/>
      <c r="F20" s="191" t="s">
        <v>117</v>
      </c>
      <c r="G20" s="50"/>
      <c r="H20" s="50"/>
      <c r="I20" s="50"/>
      <c r="J20" s="966"/>
      <c r="K20" s="50">
        <v>0</v>
      </c>
      <c r="L20" s="178"/>
      <c r="M20" s="54">
        <f t="shared" si="3"/>
        <v>0</v>
      </c>
    </row>
    <row r="21" spans="1:13" s="189" customFormat="1" ht="25.5" customHeight="1">
      <c r="A21" s="10">
        <v>14</v>
      </c>
      <c r="B21" s="55"/>
      <c r="C21" s="56"/>
      <c r="D21" s="56"/>
      <c r="E21" s="56"/>
      <c r="F21" s="187" t="s">
        <v>899</v>
      </c>
      <c r="G21" s="178">
        <f>SUM(G22:G24)</f>
        <v>0</v>
      </c>
      <c r="H21" s="178">
        <f>SUM(H22:H24)</f>
        <v>1371665</v>
      </c>
      <c r="I21" s="178">
        <f>SUM(I22:I24)</f>
        <v>0</v>
      </c>
      <c r="J21" s="968">
        <f>SUM(J22:J24)</f>
        <v>1153579</v>
      </c>
      <c r="K21" s="178">
        <v>148229</v>
      </c>
      <c r="L21" s="178"/>
      <c r="M21" s="188">
        <f t="shared" si="3"/>
        <v>148229</v>
      </c>
    </row>
    <row r="22" spans="1:13" ht="19.5" customHeight="1">
      <c r="A22" s="10">
        <v>15</v>
      </c>
      <c r="B22" s="48"/>
      <c r="C22" s="49"/>
      <c r="D22" s="49"/>
      <c r="E22" s="49"/>
      <c r="F22" s="190" t="s">
        <v>373</v>
      </c>
      <c r="G22" s="50"/>
      <c r="H22" s="50">
        <v>783009</v>
      </c>
      <c r="I22" s="50"/>
      <c r="J22" s="966">
        <v>815433</v>
      </c>
      <c r="K22" s="50">
        <v>148229</v>
      </c>
      <c r="L22" s="178"/>
      <c r="M22" s="54">
        <f t="shared" si="3"/>
        <v>148229</v>
      </c>
    </row>
    <row r="23" spans="1:13" ht="19.5" customHeight="1">
      <c r="A23" s="10">
        <v>16</v>
      </c>
      <c r="B23" s="48"/>
      <c r="C23" s="49"/>
      <c r="D23" s="49"/>
      <c r="E23" s="49"/>
      <c r="F23" s="190" t="s">
        <v>375</v>
      </c>
      <c r="G23" s="50"/>
      <c r="H23" s="50">
        <v>330809</v>
      </c>
      <c r="I23" s="50"/>
      <c r="J23" s="966">
        <v>121471</v>
      </c>
      <c r="K23" s="50">
        <v>0</v>
      </c>
      <c r="L23" s="178"/>
      <c r="M23" s="54">
        <f t="shared" si="3"/>
        <v>0</v>
      </c>
    </row>
    <row r="24" spans="1:13" ht="19.5" customHeight="1">
      <c r="A24" s="10">
        <v>17</v>
      </c>
      <c r="B24" s="48"/>
      <c r="C24" s="49"/>
      <c r="D24" s="49"/>
      <c r="E24" s="49"/>
      <c r="F24" s="190" t="s">
        <v>374</v>
      </c>
      <c r="G24" s="50"/>
      <c r="H24" s="50">
        <v>257847</v>
      </c>
      <c r="I24" s="50"/>
      <c r="J24" s="966">
        <v>216675</v>
      </c>
      <c r="K24" s="50">
        <v>0</v>
      </c>
      <c r="L24" s="178"/>
      <c r="M24" s="54">
        <f t="shared" si="3"/>
        <v>0</v>
      </c>
    </row>
    <row r="25" spans="1:13" s="114" customFormat="1" ht="30" customHeight="1">
      <c r="A25" s="120">
        <v>18</v>
      </c>
      <c r="B25" s="237"/>
      <c r="C25" s="196"/>
      <c r="D25" s="196"/>
      <c r="E25" s="196"/>
      <c r="F25" s="192" t="s">
        <v>141</v>
      </c>
      <c r="G25" s="192">
        <v>0</v>
      </c>
      <c r="H25" s="192">
        <v>50000</v>
      </c>
      <c r="I25" s="192"/>
      <c r="J25" s="969">
        <v>85000</v>
      </c>
      <c r="K25" s="192">
        <v>0</v>
      </c>
      <c r="L25" s="1065"/>
      <c r="M25" s="380">
        <f t="shared" si="3"/>
        <v>0</v>
      </c>
    </row>
    <row r="26" spans="1:13" s="65" customFormat="1" ht="25.5" customHeight="1">
      <c r="A26" s="10">
        <v>19</v>
      </c>
      <c r="B26" s="48"/>
      <c r="C26" s="51"/>
      <c r="D26" s="51">
        <v>2</v>
      </c>
      <c r="E26" s="51"/>
      <c r="F26" s="52" t="s">
        <v>890</v>
      </c>
      <c r="G26" s="52">
        <f aca="true" t="shared" si="4" ref="G26:M26">SUM(G27:G29)</f>
        <v>1720397</v>
      </c>
      <c r="H26" s="52">
        <f t="shared" si="4"/>
        <v>2313576</v>
      </c>
      <c r="I26" s="52">
        <f t="shared" si="4"/>
        <v>3150184</v>
      </c>
      <c r="J26" s="967">
        <f t="shared" si="4"/>
        <v>4640836</v>
      </c>
      <c r="K26" s="52">
        <f t="shared" si="4"/>
        <v>7066910</v>
      </c>
      <c r="L26" s="1100">
        <f t="shared" si="4"/>
        <v>-70255</v>
      </c>
      <c r="M26" s="53">
        <f t="shared" si="4"/>
        <v>6996655</v>
      </c>
    </row>
    <row r="27" spans="1:13" ht="19.5" customHeight="1">
      <c r="A27" s="10">
        <v>20</v>
      </c>
      <c r="B27" s="48"/>
      <c r="C27" s="51"/>
      <c r="D27" s="49"/>
      <c r="E27" s="49">
        <v>1</v>
      </c>
      <c r="F27" s="50" t="s">
        <v>370</v>
      </c>
      <c r="G27" s="50">
        <v>1050701</v>
      </c>
      <c r="H27" s="50">
        <v>1531876</v>
      </c>
      <c r="I27" s="50">
        <v>2292451</v>
      </c>
      <c r="J27" s="966">
        <v>3017086</v>
      </c>
      <c r="K27" s="50">
        <v>6411488</v>
      </c>
      <c r="L27" s="178">
        <v>-67255</v>
      </c>
      <c r="M27" s="54">
        <f>SUM(K27:L27)</f>
        <v>6344233</v>
      </c>
    </row>
    <row r="28" spans="1:13" ht="19.5" customHeight="1">
      <c r="A28" s="10">
        <v>21</v>
      </c>
      <c r="B28" s="48"/>
      <c r="C28" s="51"/>
      <c r="D28" s="49"/>
      <c r="E28" s="49">
        <v>2</v>
      </c>
      <c r="F28" s="50" t="s">
        <v>359</v>
      </c>
      <c r="G28" s="50">
        <v>68730</v>
      </c>
      <c r="H28" s="50"/>
      <c r="I28" s="50">
        <v>54477</v>
      </c>
      <c r="J28" s="966">
        <v>204950</v>
      </c>
      <c r="K28" s="50">
        <v>627809</v>
      </c>
      <c r="L28" s="178">
        <v>-3000</v>
      </c>
      <c r="M28" s="54">
        <f>SUM(K28:L28)</f>
        <v>624809</v>
      </c>
    </row>
    <row r="29" spans="1:13" ht="19.5" customHeight="1">
      <c r="A29" s="10">
        <v>22</v>
      </c>
      <c r="B29" s="48"/>
      <c r="C29" s="51"/>
      <c r="D29" s="49"/>
      <c r="E29" s="49">
        <v>3</v>
      </c>
      <c r="F29" s="50" t="s">
        <v>806</v>
      </c>
      <c r="G29" s="50">
        <v>600966</v>
      </c>
      <c r="H29" s="50">
        <v>781700</v>
      </c>
      <c r="I29" s="50">
        <v>803256</v>
      </c>
      <c r="J29" s="966">
        <v>1418800</v>
      </c>
      <c r="K29" s="50">
        <v>27613</v>
      </c>
      <c r="L29" s="178"/>
      <c r="M29" s="54">
        <f>SUM(K29:L29)</f>
        <v>27613</v>
      </c>
    </row>
    <row r="30" spans="1:13" s="65" customFormat="1" ht="30" customHeight="1">
      <c r="A30" s="10">
        <v>23</v>
      </c>
      <c r="B30" s="48" t="s">
        <v>465</v>
      </c>
      <c r="C30" s="51"/>
      <c r="D30" s="49"/>
      <c r="E30" s="51"/>
      <c r="F30" s="52" t="s">
        <v>142</v>
      </c>
      <c r="G30" s="52">
        <f aca="true" t="shared" si="5" ref="G30:M30">SUM(G31:G32)</f>
        <v>25202</v>
      </c>
      <c r="H30" s="52">
        <f t="shared" si="5"/>
        <v>10632</v>
      </c>
      <c r="I30" s="52">
        <f t="shared" si="5"/>
        <v>47</v>
      </c>
      <c r="J30" s="967">
        <f t="shared" si="5"/>
        <v>0</v>
      </c>
      <c r="K30" s="52">
        <f t="shared" si="5"/>
        <v>0</v>
      </c>
      <c r="L30" s="1100">
        <f t="shared" si="5"/>
        <v>0</v>
      </c>
      <c r="M30" s="53">
        <f t="shared" si="5"/>
        <v>0</v>
      </c>
    </row>
    <row r="31" spans="1:13" ht="19.5" customHeight="1">
      <c r="A31" s="10">
        <v>24</v>
      </c>
      <c r="B31" s="48"/>
      <c r="C31" s="49"/>
      <c r="D31" s="49">
        <v>1</v>
      </c>
      <c r="E31" s="49"/>
      <c r="F31" s="142" t="s">
        <v>888</v>
      </c>
      <c r="G31" s="50">
        <f>340+22359</f>
        <v>22699</v>
      </c>
      <c r="H31" s="50">
        <v>10632</v>
      </c>
      <c r="I31" s="50">
        <v>47</v>
      </c>
      <c r="J31" s="966"/>
      <c r="K31" s="50">
        <v>0</v>
      </c>
      <c r="L31" s="178"/>
      <c r="M31" s="54">
        <f>SUM(K31:L31)</f>
        <v>0</v>
      </c>
    </row>
    <row r="32" spans="1:13" s="108" customFormat="1" ht="24" customHeight="1" thickBot="1">
      <c r="A32" s="119">
        <v>25</v>
      </c>
      <c r="B32" s="62"/>
      <c r="C32" s="63"/>
      <c r="D32" s="63">
        <v>2</v>
      </c>
      <c r="E32" s="63"/>
      <c r="F32" s="106" t="s">
        <v>890</v>
      </c>
      <c r="G32" s="64">
        <v>2503</v>
      </c>
      <c r="H32" s="64"/>
      <c r="I32" s="64"/>
      <c r="J32" s="970"/>
      <c r="K32" s="64">
        <v>0</v>
      </c>
      <c r="L32" s="1101"/>
      <c r="M32" s="54">
        <f>SUM(K32:L32)</f>
        <v>0</v>
      </c>
    </row>
    <row r="33" spans="1:13" s="192" customFormat="1" ht="39.75" customHeight="1" thickBot="1">
      <c r="A33" s="120">
        <v>26</v>
      </c>
      <c r="B33" s="238"/>
      <c r="C33" s="57"/>
      <c r="D33" s="58"/>
      <c r="E33" s="57"/>
      <c r="F33" s="59" t="s">
        <v>427</v>
      </c>
      <c r="G33" s="59">
        <f aca="true" t="shared" si="6" ref="G33:M33">SUM(G8,G13,G30)</f>
        <v>15438188</v>
      </c>
      <c r="H33" s="59">
        <f t="shared" si="6"/>
        <v>13498810</v>
      </c>
      <c r="I33" s="59">
        <f t="shared" si="6"/>
        <v>13021387</v>
      </c>
      <c r="J33" s="971">
        <f t="shared" si="6"/>
        <v>16308080</v>
      </c>
      <c r="K33" s="59">
        <f t="shared" si="6"/>
        <v>18976474</v>
      </c>
      <c r="L33" s="1102">
        <f>SUM(L8,L13,L30)</f>
        <v>-5725</v>
      </c>
      <c r="M33" s="60">
        <f t="shared" si="6"/>
        <v>18970749</v>
      </c>
    </row>
    <row r="34" spans="1:13" s="116" customFormat="1" ht="30" customHeight="1">
      <c r="A34" s="10">
        <v>27</v>
      </c>
      <c r="B34" s="48" t="s">
        <v>465</v>
      </c>
      <c r="C34" s="49"/>
      <c r="D34" s="49"/>
      <c r="E34" s="49"/>
      <c r="F34" s="61" t="s">
        <v>360</v>
      </c>
      <c r="G34" s="61"/>
      <c r="H34" s="61"/>
      <c r="I34" s="61"/>
      <c r="J34" s="972"/>
      <c r="K34" s="61"/>
      <c r="L34" s="1103"/>
      <c r="M34" s="193"/>
    </row>
    <row r="35" spans="1:13" s="116" customFormat="1" ht="19.5" customHeight="1">
      <c r="A35" s="10">
        <v>28</v>
      </c>
      <c r="B35" s="48"/>
      <c r="C35" s="49"/>
      <c r="D35" s="49">
        <v>1</v>
      </c>
      <c r="E35" s="49"/>
      <c r="F35" s="61" t="s">
        <v>807</v>
      </c>
      <c r="G35" s="61"/>
      <c r="H35" s="61"/>
      <c r="I35" s="61"/>
      <c r="J35" s="972"/>
      <c r="K35" s="61"/>
      <c r="L35" s="1103"/>
      <c r="M35" s="193"/>
    </row>
    <row r="36" spans="1:13" ht="19.5" customHeight="1">
      <c r="A36" s="10">
        <v>29</v>
      </c>
      <c r="B36" s="48"/>
      <c r="C36" s="49"/>
      <c r="D36" s="49"/>
      <c r="E36" s="49"/>
      <c r="F36" s="186" t="s">
        <v>144</v>
      </c>
      <c r="G36" s="50">
        <v>3972669</v>
      </c>
      <c r="H36" s="50">
        <v>309804</v>
      </c>
      <c r="I36" s="50"/>
      <c r="J36" s="966"/>
      <c r="K36" s="50">
        <v>0</v>
      </c>
      <c r="L36" s="178"/>
      <c r="M36" s="54">
        <f>SUM(K36:L36)</f>
        <v>0</v>
      </c>
    </row>
    <row r="37" spans="1:13" ht="19.5" customHeight="1">
      <c r="A37" s="10">
        <v>30</v>
      </c>
      <c r="B37" s="48"/>
      <c r="C37" s="49"/>
      <c r="D37" s="49">
        <v>2</v>
      </c>
      <c r="E37" s="49"/>
      <c r="F37" s="61" t="s">
        <v>808</v>
      </c>
      <c r="G37" s="50"/>
      <c r="H37" s="50"/>
      <c r="I37" s="50"/>
      <c r="J37" s="966"/>
      <c r="K37" s="50"/>
      <c r="L37" s="178"/>
      <c r="M37" s="54"/>
    </row>
    <row r="38" spans="1:13" ht="19.5" customHeight="1">
      <c r="A38" s="10">
        <v>31</v>
      </c>
      <c r="B38" s="48"/>
      <c r="C38" s="49"/>
      <c r="D38" s="49"/>
      <c r="E38" s="49"/>
      <c r="F38" s="186" t="s">
        <v>144</v>
      </c>
      <c r="G38" s="50"/>
      <c r="H38" s="50">
        <v>180811</v>
      </c>
      <c r="I38" s="50">
        <v>745787</v>
      </c>
      <c r="J38" s="966">
        <v>1747993</v>
      </c>
      <c r="K38" s="50">
        <v>1747993</v>
      </c>
      <c r="L38" s="178">
        <v>-7859</v>
      </c>
      <c r="M38" s="54">
        <f>SUM(K38:L38)</f>
        <v>1740134</v>
      </c>
    </row>
    <row r="39" spans="1:13" s="108" customFormat="1" ht="19.5" customHeight="1" thickBot="1">
      <c r="A39" s="10">
        <v>32</v>
      </c>
      <c r="B39" s="62"/>
      <c r="C39" s="63"/>
      <c r="D39" s="63"/>
      <c r="E39" s="63"/>
      <c r="F39" s="194" t="s">
        <v>145</v>
      </c>
      <c r="G39" s="64">
        <v>20800</v>
      </c>
      <c r="H39" s="64">
        <v>6240</v>
      </c>
      <c r="I39" s="64">
        <v>74</v>
      </c>
      <c r="J39" s="970"/>
      <c r="K39" s="64"/>
      <c r="L39" s="1101"/>
      <c r="M39" s="54">
        <f>SUM(K39:L39)</f>
        <v>0</v>
      </c>
    </row>
    <row r="40" spans="1:13" s="192" customFormat="1" ht="39.75" customHeight="1" thickBot="1">
      <c r="A40" s="120">
        <v>33</v>
      </c>
      <c r="B40" s="238"/>
      <c r="C40" s="57"/>
      <c r="D40" s="58"/>
      <c r="E40" s="57"/>
      <c r="F40" s="59" t="s">
        <v>134</v>
      </c>
      <c r="G40" s="59">
        <f aca="true" t="shared" si="7" ref="G40:M40">SUM(G33:G39)</f>
        <v>19431657</v>
      </c>
      <c r="H40" s="59">
        <f t="shared" si="7"/>
        <v>13995665</v>
      </c>
      <c r="I40" s="59">
        <f t="shared" si="7"/>
        <v>13767248</v>
      </c>
      <c r="J40" s="971">
        <f t="shared" si="7"/>
        <v>18056073</v>
      </c>
      <c r="K40" s="59">
        <f t="shared" si="7"/>
        <v>20724467</v>
      </c>
      <c r="L40" s="1102">
        <f t="shared" si="7"/>
        <v>-13584</v>
      </c>
      <c r="M40" s="60">
        <f t="shared" si="7"/>
        <v>20710883</v>
      </c>
    </row>
    <row r="41" spans="1:13" s="116" customFormat="1" ht="30" customHeight="1">
      <c r="A41" s="10">
        <v>34</v>
      </c>
      <c r="B41" s="48"/>
      <c r="C41" s="49"/>
      <c r="D41" s="49"/>
      <c r="E41" s="49"/>
      <c r="F41" s="61" t="s">
        <v>143</v>
      </c>
      <c r="G41" s="61"/>
      <c r="H41" s="61"/>
      <c r="I41" s="61"/>
      <c r="J41" s="972"/>
      <c r="K41" s="61"/>
      <c r="L41" s="1103"/>
      <c r="M41" s="193"/>
    </row>
    <row r="42" spans="1:13" ht="19.5" customHeight="1">
      <c r="A42" s="10">
        <v>35</v>
      </c>
      <c r="B42" s="48" t="s">
        <v>463</v>
      </c>
      <c r="C42" s="49"/>
      <c r="D42" s="49"/>
      <c r="E42" s="49"/>
      <c r="F42" s="186" t="s">
        <v>139</v>
      </c>
      <c r="G42" s="50">
        <v>633</v>
      </c>
      <c r="H42" s="50"/>
      <c r="I42" s="50">
        <f>2780-4719</f>
        <v>-1939</v>
      </c>
      <c r="J42" s="966"/>
      <c r="K42" s="50">
        <v>0</v>
      </c>
      <c r="L42" s="178"/>
      <c r="M42" s="54">
        <f>SUM(K42:L42)</f>
        <v>0</v>
      </c>
    </row>
    <row r="43" spans="1:13" s="108" customFormat="1" ht="19.5" customHeight="1" thickBot="1">
      <c r="A43" s="10">
        <v>36</v>
      </c>
      <c r="B43" s="62" t="s">
        <v>465</v>
      </c>
      <c r="C43" s="63"/>
      <c r="D43" s="63"/>
      <c r="E43" s="63"/>
      <c r="F43" s="194" t="s">
        <v>369</v>
      </c>
      <c r="G43" s="64">
        <v>-2050</v>
      </c>
      <c r="H43" s="64"/>
      <c r="I43" s="64">
        <v>-56553</v>
      </c>
      <c r="J43" s="970"/>
      <c r="K43" s="64">
        <v>0</v>
      </c>
      <c r="L43" s="1101"/>
      <c r="M43" s="107">
        <f>SUM(K43:L43)</f>
        <v>0</v>
      </c>
    </row>
    <row r="44" spans="1:13" s="192" customFormat="1" ht="39.75" customHeight="1" thickBot="1">
      <c r="A44" s="120">
        <v>37</v>
      </c>
      <c r="B44" s="238"/>
      <c r="C44" s="57"/>
      <c r="D44" s="58"/>
      <c r="E44" s="57"/>
      <c r="F44" s="59" t="s">
        <v>361</v>
      </c>
      <c r="G44" s="59">
        <f aca="true" t="shared" si="8" ref="G44:M44">SUM(G40:G43)</f>
        <v>19430240</v>
      </c>
      <c r="H44" s="59">
        <f t="shared" si="8"/>
        <v>13995665</v>
      </c>
      <c r="I44" s="59">
        <f t="shared" si="8"/>
        <v>13708756</v>
      </c>
      <c r="J44" s="971">
        <f t="shared" si="8"/>
        <v>18056073</v>
      </c>
      <c r="K44" s="59">
        <f t="shared" si="8"/>
        <v>20724467</v>
      </c>
      <c r="L44" s="1102">
        <f t="shared" si="8"/>
        <v>-13584</v>
      </c>
      <c r="M44" s="60">
        <f t="shared" si="8"/>
        <v>20710883</v>
      </c>
    </row>
    <row r="45" spans="2:12" ht="17.25">
      <c r="B45" s="195"/>
      <c r="C45" s="49"/>
      <c r="D45" s="49"/>
      <c r="E45" s="49"/>
      <c r="F45" s="50"/>
      <c r="G45" s="50"/>
      <c r="H45" s="50"/>
      <c r="I45" s="50"/>
      <c r="J45" s="973"/>
      <c r="K45" s="50"/>
      <c r="L45" s="178"/>
    </row>
    <row r="46" spans="2:12" ht="17.25">
      <c r="B46" s="195"/>
      <c r="C46" s="49"/>
      <c r="D46" s="49"/>
      <c r="E46" s="49"/>
      <c r="F46" s="50"/>
      <c r="G46" s="50"/>
      <c r="H46" s="50"/>
      <c r="I46" s="50"/>
      <c r="J46" s="973"/>
      <c r="K46" s="50"/>
      <c r="L46" s="178"/>
    </row>
    <row r="47" spans="2:12" ht="17.25">
      <c r="B47" s="195"/>
      <c r="C47" s="49"/>
      <c r="D47" s="49"/>
      <c r="E47" s="49"/>
      <c r="F47" s="50"/>
      <c r="G47" s="50"/>
      <c r="H47" s="50"/>
      <c r="I47" s="50"/>
      <c r="J47" s="973"/>
      <c r="K47" s="50"/>
      <c r="L47" s="178"/>
    </row>
    <row r="48" spans="2:12" ht="17.25">
      <c r="B48" s="195"/>
      <c r="C48" s="49"/>
      <c r="D48" s="49"/>
      <c r="E48" s="49"/>
      <c r="F48" s="50"/>
      <c r="G48" s="50"/>
      <c r="H48" s="50"/>
      <c r="I48" s="50"/>
      <c r="J48" s="973"/>
      <c r="K48" s="50"/>
      <c r="L48" s="178"/>
    </row>
    <row r="49" spans="2:12" ht="17.25">
      <c r="B49" s="195"/>
      <c r="C49" s="51"/>
      <c r="D49" s="49"/>
      <c r="E49" s="51"/>
      <c r="F49" s="52"/>
      <c r="G49" s="52"/>
      <c r="H49" s="52"/>
      <c r="I49" s="52"/>
      <c r="J49" s="973"/>
      <c r="K49" s="50"/>
      <c r="L49" s="178"/>
    </row>
    <row r="50" spans="2:12" ht="17.25">
      <c r="B50" s="195"/>
      <c r="C50" s="49"/>
      <c r="D50" s="49"/>
      <c r="E50" s="49"/>
      <c r="F50" s="50"/>
      <c r="G50" s="50"/>
      <c r="H50" s="50"/>
      <c r="I50" s="50"/>
      <c r="J50" s="973"/>
      <c r="K50" s="50"/>
      <c r="L50" s="178"/>
    </row>
    <row r="51" spans="2:12" ht="17.25">
      <c r="B51" s="195"/>
      <c r="C51" s="49"/>
      <c r="D51" s="49"/>
      <c r="E51" s="49"/>
      <c r="F51" s="50"/>
      <c r="G51" s="50"/>
      <c r="H51" s="50"/>
      <c r="I51" s="50"/>
      <c r="J51" s="973"/>
      <c r="K51" s="50"/>
      <c r="L51" s="178"/>
    </row>
    <row r="52" spans="10:12" ht="17.25">
      <c r="J52" s="973"/>
      <c r="K52" s="50"/>
      <c r="L52" s="178"/>
    </row>
    <row r="53" spans="10:12" ht="17.25">
      <c r="J53" s="973"/>
      <c r="K53" s="50"/>
      <c r="L53" s="178"/>
    </row>
    <row r="54" spans="10:12" ht="17.25">
      <c r="J54" s="973"/>
      <c r="K54" s="50"/>
      <c r="L54" s="178"/>
    </row>
    <row r="55" spans="10:12" ht="17.25">
      <c r="J55" s="973"/>
      <c r="K55" s="50"/>
      <c r="L55" s="178"/>
    </row>
    <row r="56" spans="10:12" ht="17.25">
      <c r="J56" s="973"/>
      <c r="K56" s="50"/>
      <c r="L56" s="178"/>
    </row>
    <row r="57" spans="10:12" ht="17.25">
      <c r="J57" s="973"/>
      <c r="K57" s="50"/>
      <c r="L57" s="178"/>
    </row>
    <row r="58" spans="10:12" ht="17.25">
      <c r="J58" s="973"/>
      <c r="K58" s="50"/>
      <c r="L58" s="178"/>
    </row>
    <row r="59" spans="10:12" ht="17.25">
      <c r="J59" s="973"/>
      <c r="K59" s="50"/>
      <c r="L59" s="178"/>
    </row>
    <row r="60" spans="1:12" s="65" customFormat="1" ht="17.25">
      <c r="A60" s="182"/>
      <c r="B60" s="43"/>
      <c r="C60" s="41"/>
      <c r="D60" s="42"/>
      <c r="E60" s="41"/>
      <c r="J60" s="974"/>
      <c r="K60" s="52"/>
      <c r="L60" s="1100"/>
    </row>
    <row r="61" spans="10:12" ht="17.25">
      <c r="J61" s="973"/>
      <c r="K61" s="50"/>
      <c r="L61" s="178"/>
    </row>
    <row r="62" spans="10:12" ht="17.25">
      <c r="J62" s="973"/>
      <c r="K62" s="50"/>
      <c r="L62" s="178"/>
    </row>
    <row r="63" spans="10:12" ht="17.25">
      <c r="J63" s="973"/>
      <c r="K63" s="50"/>
      <c r="L63" s="178"/>
    </row>
    <row r="64" spans="10:12" ht="17.25">
      <c r="J64" s="973"/>
      <c r="K64" s="50"/>
      <c r="L64" s="178"/>
    </row>
    <row r="65" spans="1:12" s="65" customFormat="1" ht="17.25">
      <c r="A65" s="182"/>
      <c r="B65" s="43"/>
      <c r="C65" s="41"/>
      <c r="D65" s="42"/>
      <c r="E65" s="41"/>
      <c r="J65" s="974"/>
      <c r="K65" s="52"/>
      <c r="L65" s="1100"/>
    </row>
    <row r="66" spans="10:12" ht="17.25">
      <c r="J66" s="973"/>
      <c r="K66" s="50"/>
      <c r="L66" s="178"/>
    </row>
    <row r="67" spans="1:12" s="65" customFormat="1" ht="17.25">
      <c r="A67" s="182"/>
      <c r="B67" s="43"/>
      <c r="C67" s="41"/>
      <c r="D67" s="42"/>
      <c r="E67" s="41"/>
      <c r="J67" s="974"/>
      <c r="K67" s="52"/>
      <c r="L67" s="1100"/>
    </row>
    <row r="74" ht="17.25">
      <c r="F74" s="50"/>
    </row>
    <row r="75" ht="17.25">
      <c r="F75" s="50"/>
    </row>
    <row r="76" ht="17.25">
      <c r="F76" s="50"/>
    </row>
    <row r="77" ht="17.25">
      <c r="F77" s="50"/>
    </row>
    <row r="78" ht="17.25">
      <c r="F78" s="50"/>
    </row>
    <row r="79" ht="17.25">
      <c r="F79" s="50"/>
    </row>
    <row r="80" ht="17.25">
      <c r="F80" s="50"/>
    </row>
    <row r="371" spans="1:12" s="489" customFormat="1" ht="17.25">
      <c r="A371" s="486"/>
      <c r="B371" s="487"/>
      <c r="C371" s="488"/>
      <c r="D371" s="488"/>
      <c r="E371" s="488"/>
      <c r="I371" s="40"/>
      <c r="J371" s="976"/>
      <c r="L371" s="1104"/>
    </row>
    <row r="372" spans="1:12" s="489" customFormat="1" ht="17.25">
      <c r="A372" s="486"/>
      <c r="B372" s="487"/>
      <c r="C372" s="488"/>
      <c r="D372" s="488"/>
      <c r="E372" s="488"/>
      <c r="I372" s="40"/>
      <c r="J372" s="976"/>
      <c r="L372" s="1104"/>
    </row>
    <row r="373" spans="1:12" s="489" customFormat="1" ht="17.25">
      <c r="A373" s="486"/>
      <c r="B373" s="487"/>
      <c r="C373" s="488"/>
      <c r="D373" s="488"/>
      <c r="E373" s="488"/>
      <c r="I373" s="40"/>
      <c r="J373" s="976"/>
      <c r="L373" s="1104"/>
    </row>
    <row r="374" spans="1:12" s="489" customFormat="1" ht="17.25">
      <c r="A374" s="486"/>
      <c r="B374" s="487"/>
      <c r="C374" s="488"/>
      <c r="D374" s="488"/>
      <c r="E374" s="488"/>
      <c r="I374" s="40"/>
      <c r="J374" s="976"/>
      <c r="L374" s="1104"/>
    </row>
    <row r="375" spans="1:18" s="489" customFormat="1" ht="17.25">
      <c r="A375" s="486"/>
      <c r="B375" s="487"/>
      <c r="C375" s="488"/>
      <c r="D375" s="488"/>
      <c r="E375" s="488"/>
      <c r="I375" s="40">
        <f aca="true" t="shared" si="9" ref="I375:R375">SUM(I373:I374)</f>
        <v>0</v>
      </c>
      <c r="J375" s="976">
        <f t="shared" si="9"/>
        <v>0</v>
      </c>
      <c r="L375" s="1104">
        <f t="shared" si="9"/>
        <v>0</v>
      </c>
      <c r="M375" s="489">
        <f t="shared" si="9"/>
        <v>0</v>
      </c>
      <c r="N375" s="489">
        <f t="shared" si="9"/>
        <v>0</v>
      </c>
      <c r="O375" s="489">
        <f t="shared" si="9"/>
        <v>0</v>
      </c>
      <c r="P375" s="489">
        <f t="shared" si="9"/>
        <v>0</v>
      </c>
      <c r="Q375" s="489">
        <f t="shared" si="9"/>
        <v>0</v>
      </c>
      <c r="R375" s="489">
        <f t="shared" si="9"/>
        <v>0</v>
      </c>
    </row>
    <row r="376" spans="1:12" s="489" customFormat="1" ht="17.25">
      <c r="A376" s="486"/>
      <c r="B376" s="487"/>
      <c r="C376" s="488"/>
      <c r="D376" s="488"/>
      <c r="E376" s="488"/>
      <c r="I376" s="40"/>
      <c r="J376" s="976"/>
      <c r="L376" s="1104"/>
    </row>
    <row r="377" spans="1:12" s="489" customFormat="1" ht="17.25">
      <c r="A377" s="486"/>
      <c r="B377" s="487"/>
      <c r="C377" s="488"/>
      <c r="D377" s="488"/>
      <c r="E377" s="488"/>
      <c r="I377" s="40"/>
      <c r="J377" s="976"/>
      <c r="L377" s="1104"/>
    </row>
    <row r="378" spans="1:12" s="489" customFormat="1" ht="17.25">
      <c r="A378" s="486"/>
      <c r="B378" s="487"/>
      <c r="C378" s="488"/>
      <c r="D378" s="488"/>
      <c r="E378" s="488"/>
      <c r="I378" s="40"/>
      <c r="J378" s="976"/>
      <c r="L378" s="1104"/>
    </row>
    <row r="379" spans="1:12" s="489" customFormat="1" ht="17.25">
      <c r="A379" s="486"/>
      <c r="B379" s="487"/>
      <c r="C379" s="488"/>
      <c r="D379" s="488"/>
      <c r="E379" s="488"/>
      <c r="I379" s="40"/>
      <c r="J379" s="976"/>
      <c r="L379" s="1104"/>
    </row>
    <row r="380" spans="1:18" s="489" customFormat="1" ht="17.25">
      <c r="A380" s="486"/>
      <c r="B380" s="487"/>
      <c r="C380" s="488"/>
      <c r="D380" s="488"/>
      <c r="E380" s="488"/>
      <c r="I380" s="40">
        <f aca="true" t="shared" si="10" ref="I380:R380">SUM(I378:I379)</f>
        <v>0</v>
      </c>
      <c r="J380" s="976">
        <f t="shared" si="10"/>
        <v>0</v>
      </c>
      <c r="L380" s="1104">
        <f t="shared" si="10"/>
        <v>0</v>
      </c>
      <c r="M380" s="489">
        <f t="shared" si="10"/>
        <v>0</v>
      </c>
      <c r="N380" s="489">
        <f t="shared" si="10"/>
        <v>0</v>
      </c>
      <c r="O380" s="489">
        <f t="shared" si="10"/>
        <v>0</v>
      </c>
      <c r="P380" s="489">
        <f t="shared" si="10"/>
        <v>0</v>
      </c>
      <c r="Q380" s="489">
        <f t="shared" si="10"/>
        <v>0</v>
      </c>
      <c r="R380" s="489">
        <f t="shared" si="10"/>
        <v>0</v>
      </c>
    </row>
    <row r="381" spans="1:12" s="489" customFormat="1" ht="17.25">
      <c r="A381" s="486"/>
      <c r="B381" s="487"/>
      <c r="C381" s="488"/>
      <c r="D381" s="488"/>
      <c r="E381" s="488"/>
      <c r="I381" s="40"/>
      <c r="J381" s="976"/>
      <c r="L381" s="1104"/>
    </row>
    <row r="382" spans="1:12" s="489" customFormat="1" ht="17.25">
      <c r="A382" s="486"/>
      <c r="B382" s="487"/>
      <c r="C382" s="488"/>
      <c r="D382" s="488"/>
      <c r="E382" s="488"/>
      <c r="I382" s="40"/>
      <c r="J382" s="976"/>
      <c r="L382" s="1104"/>
    </row>
    <row r="383" spans="1:12" s="489" customFormat="1" ht="17.25">
      <c r="A383" s="486"/>
      <c r="B383" s="487"/>
      <c r="C383" s="488"/>
      <c r="D383" s="488"/>
      <c r="E383" s="488"/>
      <c r="I383" s="40"/>
      <c r="J383" s="976"/>
      <c r="L383" s="1104"/>
    </row>
    <row r="384" spans="1:12" s="489" customFormat="1" ht="17.25">
      <c r="A384" s="486"/>
      <c r="B384" s="487"/>
      <c r="C384" s="488"/>
      <c r="D384" s="488"/>
      <c r="E384" s="488"/>
      <c r="I384" s="40"/>
      <c r="J384" s="976"/>
      <c r="L384" s="1104"/>
    </row>
    <row r="385" spans="1:18" s="489" customFormat="1" ht="17.25">
      <c r="A385" s="486"/>
      <c r="B385" s="487"/>
      <c r="C385" s="488"/>
      <c r="D385" s="488"/>
      <c r="E385" s="488"/>
      <c r="I385" s="40">
        <f aca="true" t="shared" si="11" ref="I385:R385">SUM(I383:I384)</f>
        <v>0</v>
      </c>
      <c r="J385" s="976">
        <f t="shared" si="11"/>
        <v>0</v>
      </c>
      <c r="L385" s="1104">
        <f t="shared" si="11"/>
        <v>0</v>
      </c>
      <c r="M385" s="489">
        <f t="shared" si="11"/>
        <v>0</v>
      </c>
      <c r="N385" s="489">
        <f t="shared" si="11"/>
        <v>0</v>
      </c>
      <c r="O385" s="489">
        <f t="shared" si="11"/>
        <v>0</v>
      </c>
      <c r="P385" s="489">
        <f t="shared" si="11"/>
        <v>0</v>
      </c>
      <c r="Q385" s="489">
        <f t="shared" si="11"/>
        <v>0</v>
      </c>
      <c r="R385" s="489">
        <f t="shared" si="11"/>
        <v>0</v>
      </c>
    </row>
  </sheetData>
  <sheetProtection/>
  <mergeCells count="5">
    <mergeCell ref="B1:F1"/>
    <mergeCell ref="L5:M5"/>
    <mergeCell ref="B2:M2"/>
    <mergeCell ref="B3:M3"/>
    <mergeCell ref="B4:M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3"/>
  <sheetViews>
    <sheetView view="pageBreakPreview" zoomScale="82" zoomScaleSheetLayoutView="82" zoomScalePageLayoutView="0" workbookViewId="0" topLeftCell="A229">
      <selection activeCell="D217" sqref="D217:N217"/>
    </sheetView>
  </sheetViews>
  <sheetFormatPr defaultColWidth="9.125" defaultRowHeight="12.75"/>
  <cols>
    <col min="1" max="1" width="3.625" style="226" bestFit="1" customWidth="1"/>
    <col min="2" max="2" width="4.125" style="1361" customWidth="1"/>
    <col min="3" max="3" width="5.875" style="79" bestFit="1" customWidth="1"/>
    <col min="4" max="4" width="50.75390625" style="79" customWidth="1"/>
    <col min="5" max="5" width="9.375" style="79" bestFit="1" customWidth="1"/>
    <col min="6" max="6" width="14.00390625" style="79" bestFit="1" customWidth="1"/>
    <col min="7" max="7" width="11.25390625" style="79" customWidth="1"/>
    <col min="8" max="8" width="13.00390625" style="79" customWidth="1"/>
    <col min="9" max="11" width="12.75390625" style="79" customWidth="1"/>
    <col min="12" max="12" width="9.875" style="79" bestFit="1" customWidth="1"/>
    <col min="13" max="13" width="12.75390625" style="131" customWidth="1"/>
    <col min="14" max="14" width="12.75390625" style="79" customWidth="1"/>
    <col min="15" max="15" width="0" style="79" hidden="1" customWidth="1"/>
    <col min="16" max="16384" width="9.125" style="79" customWidth="1"/>
  </cols>
  <sheetData>
    <row r="1" spans="2:4" ht="15">
      <c r="B1" s="1639" t="s">
        <v>896</v>
      </c>
      <c r="C1" s="1639"/>
      <c r="D1" s="1639"/>
    </row>
    <row r="2" spans="2:14" ht="15">
      <c r="B2" s="1651" t="s">
        <v>417</v>
      </c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1"/>
    </row>
    <row r="3" spans="2:14" ht="15">
      <c r="B3" s="1651" t="s">
        <v>1062</v>
      </c>
      <c r="C3" s="1651"/>
      <c r="D3" s="1651"/>
      <c r="E3" s="1651"/>
      <c r="F3" s="1651"/>
      <c r="G3" s="1651"/>
      <c r="H3" s="1651"/>
      <c r="I3" s="1651"/>
      <c r="J3" s="1651"/>
      <c r="K3" s="1651"/>
      <c r="L3" s="1651"/>
      <c r="M3" s="1651"/>
      <c r="N3" s="1651"/>
    </row>
    <row r="4" spans="5:14" ht="15">
      <c r="E4" s="71"/>
      <c r="F4" s="71"/>
      <c r="G4" s="71"/>
      <c r="H4" s="71"/>
      <c r="I4" s="71"/>
      <c r="J4" s="71"/>
      <c r="M4" s="1650" t="s">
        <v>135</v>
      </c>
      <c r="N4" s="1650"/>
    </row>
    <row r="5" spans="1:14" s="1105" customFormat="1" ht="15" thickBot="1">
      <c r="A5" s="668"/>
      <c r="B5" s="1105" t="s">
        <v>146</v>
      </c>
      <c r="C5" s="1105" t="s">
        <v>147</v>
      </c>
      <c r="D5" s="1105" t="s">
        <v>148</v>
      </c>
      <c r="E5" s="1106" t="s">
        <v>149</v>
      </c>
      <c r="F5" s="1106" t="s">
        <v>150</v>
      </c>
      <c r="G5" s="1106" t="s">
        <v>151</v>
      </c>
      <c r="H5" s="1106" t="s">
        <v>152</v>
      </c>
      <c r="I5" s="1106" t="s">
        <v>911</v>
      </c>
      <c r="J5" s="1106" t="s">
        <v>912</v>
      </c>
      <c r="K5" s="1105" t="s">
        <v>858</v>
      </c>
      <c r="L5" s="1105" t="s">
        <v>859</v>
      </c>
      <c r="M5" s="1107" t="s">
        <v>860</v>
      </c>
      <c r="N5" s="1105" t="s">
        <v>861</v>
      </c>
    </row>
    <row r="6" spans="1:14" s="1361" customFormat="1" ht="15">
      <c r="A6" s="226"/>
      <c r="B6" s="1640" t="s">
        <v>790</v>
      </c>
      <c r="C6" s="1644" t="s">
        <v>418</v>
      </c>
      <c r="D6" s="1642" t="s">
        <v>136</v>
      </c>
      <c r="E6" s="1652" t="s">
        <v>894</v>
      </c>
      <c r="F6" s="1652"/>
      <c r="G6" s="1652"/>
      <c r="H6" s="1653" t="s">
        <v>895</v>
      </c>
      <c r="I6" s="1653"/>
      <c r="J6" s="1653"/>
      <c r="K6" s="1653" t="s">
        <v>864</v>
      </c>
      <c r="L6" s="1653" t="s">
        <v>863</v>
      </c>
      <c r="M6" s="1653"/>
      <c r="N6" s="1655" t="s">
        <v>787</v>
      </c>
    </row>
    <row r="7" spans="2:14" ht="75.75" thickBot="1">
      <c r="B7" s="1641"/>
      <c r="C7" s="1645"/>
      <c r="D7" s="1643"/>
      <c r="E7" s="1483" t="s">
        <v>177</v>
      </c>
      <c r="F7" s="1483" t="s">
        <v>893</v>
      </c>
      <c r="G7" s="1483" t="s">
        <v>34</v>
      </c>
      <c r="H7" s="1483" t="s">
        <v>865</v>
      </c>
      <c r="I7" s="1483" t="s">
        <v>866</v>
      </c>
      <c r="J7" s="1483" t="s">
        <v>872</v>
      </c>
      <c r="K7" s="1654"/>
      <c r="L7" s="1483" t="s">
        <v>134</v>
      </c>
      <c r="M7" s="9" t="s">
        <v>121</v>
      </c>
      <c r="N7" s="1656"/>
    </row>
    <row r="8" spans="1:15" s="133" customFormat="1" ht="30" customHeight="1">
      <c r="A8" s="226">
        <v>1</v>
      </c>
      <c r="B8" s="134">
        <v>1</v>
      </c>
      <c r="C8" s="135"/>
      <c r="D8" s="1638" t="s">
        <v>411</v>
      </c>
      <c r="E8" s="1638"/>
      <c r="F8" s="1638"/>
      <c r="G8" s="1638"/>
      <c r="H8" s="136"/>
      <c r="I8" s="136"/>
      <c r="J8" s="136"/>
      <c r="K8" s="136"/>
      <c r="L8" s="136"/>
      <c r="M8" s="137"/>
      <c r="N8" s="111"/>
      <c r="O8" s="133">
        <f>(SUM(E9:L9))-N8</f>
        <v>166856</v>
      </c>
    </row>
    <row r="9" spans="1:14" s="843" customFormat="1" ht="15">
      <c r="A9" s="226">
        <v>2</v>
      </c>
      <c r="B9" s="837"/>
      <c r="C9" s="838"/>
      <c r="D9" s="839" t="s">
        <v>403</v>
      </c>
      <c r="E9" s="840">
        <v>16015</v>
      </c>
      <c r="F9" s="840"/>
      <c r="G9" s="840"/>
      <c r="H9" s="840"/>
      <c r="I9" s="840"/>
      <c r="J9" s="840"/>
      <c r="K9" s="840"/>
      <c r="L9" s="840">
        <v>150841</v>
      </c>
      <c r="M9" s="841">
        <v>126132</v>
      </c>
      <c r="N9" s="842">
        <f>SUM(E9:L9)</f>
        <v>166856</v>
      </c>
    </row>
    <row r="10" spans="1:14" ht="15">
      <c r="A10" s="226">
        <v>3</v>
      </c>
      <c r="B10" s="73"/>
      <c r="C10" s="76"/>
      <c r="D10" s="77" t="s">
        <v>957</v>
      </c>
      <c r="E10" s="136">
        <v>16015</v>
      </c>
      <c r="F10" s="136"/>
      <c r="G10" s="136"/>
      <c r="H10" s="136"/>
      <c r="I10" s="136"/>
      <c r="J10" s="136"/>
      <c r="K10" s="136">
        <v>1656</v>
      </c>
      <c r="L10" s="136">
        <v>155055</v>
      </c>
      <c r="M10" s="137">
        <v>126132</v>
      </c>
      <c r="N10" s="306">
        <f>SUM(E10:L10)</f>
        <v>172726</v>
      </c>
    </row>
    <row r="11" spans="1:14" s="131" customFormat="1" ht="15">
      <c r="A11" s="226">
        <v>4</v>
      </c>
      <c r="B11" s="132"/>
      <c r="C11" s="227"/>
      <c r="D11" s="140" t="s">
        <v>1074</v>
      </c>
      <c r="E11" s="72"/>
      <c r="F11" s="72"/>
      <c r="G11" s="72"/>
      <c r="H11" s="72"/>
      <c r="I11" s="72"/>
      <c r="J11" s="72"/>
      <c r="K11" s="72"/>
      <c r="L11" s="72">
        <v>90</v>
      </c>
      <c r="M11" s="72"/>
      <c r="N11" s="307">
        <f>SUM(E11:L11)</f>
        <v>90</v>
      </c>
    </row>
    <row r="12" spans="1:14" s="131" customFormat="1" ht="15">
      <c r="A12" s="226">
        <v>5</v>
      </c>
      <c r="B12" s="132"/>
      <c r="C12" s="227"/>
      <c r="D12" s="140" t="s">
        <v>1107</v>
      </c>
      <c r="E12" s="72">
        <v>700</v>
      </c>
      <c r="F12" s="72"/>
      <c r="G12" s="72"/>
      <c r="H12" s="72"/>
      <c r="I12" s="72"/>
      <c r="J12" s="72"/>
      <c r="K12" s="72"/>
      <c r="L12" s="72"/>
      <c r="M12" s="72"/>
      <c r="N12" s="307">
        <f>SUM(E12:L12)</f>
        <v>700</v>
      </c>
    </row>
    <row r="13" spans="1:14" s="4" customFormat="1" ht="15">
      <c r="A13" s="226">
        <v>6</v>
      </c>
      <c r="B13" s="1488"/>
      <c r="C13" s="1489"/>
      <c r="D13" s="138" t="s">
        <v>1067</v>
      </c>
      <c r="E13" s="74">
        <f aca="true" t="shared" si="0" ref="E13:N13">SUM(E10:E12)</f>
        <v>16715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74">
        <f t="shared" si="0"/>
        <v>0</v>
      </c>
      <c r="K13" s="74">
        <f t="shared" si="0"/>
        <v>1656</v>
      </c>
      <c r="L13" s="74">
        <f t="shared" si="0"/>
        <v>155145</v>
      </c>
      <c r="M13" s="139">
        <f t="shared" si="0"/>
        <v>126132</v>
      </c>
      <c r="N13" s="75">
        <f t="shared" si="0"/>
        <v>173516</v>
      </c>
    </row>
    <row r="14" spans="1:15" s="133" customFormat="1" ht="24" customHeight="1">
      <c r="A14" s="226">
        <v>7</v>
      </c>
      <c r="B14" s="134"/>
      <c r="C14" s="135">
        <v>1</v>
      </c>
      <c r="D14" s="1485" t="s">
        <v>857</v>
      </c>
      <c r="E14" s="136"/>
      <c r="F14" s="136"/>
      <c r="G14" s="136"/>
      <c r="H14" s="136"/>
      <c r="I14" s="136"/>
      <c r="J14" s="136"/>
      <c r="K14" s="136"/>
      <c r="L14" s="136"/>
      <c r="M14" s="137"/>
      <c r="N14" s="111"/>
      <c r="O14" s="133">
        <f>(SUM(E14:L14))-N14</f>
        <v>0</v>
      </c>
    </row>
    <row r="15" spans="1:14" s="843" customFormat="1" ht="15">
      <c r="A15" s="226">
        <v>8</v>
      </c>
      <c r="B15" s="837"/>
      <c r="C15" s="838"/>
      <c r="D15" s="839" t="s">
        <v>403</v>
      </c>
      <c r="E15" s="840"/>
      <c r="F15" s="840">
        <v>792</v>
      </c>
      <c r="G15" s="840"/>
      <c r="H15" s="840"/>
      <c r="I15" s="840"/>
      <c r="J15" s="840"/>
      <c r="K15" s="840"/>
      <c r="L15" s="840"/>
      <c r="M15" s="841"/>
      <c r="N15" s="842">
        <f>SUM(E15:L15)</f>
        <v>792</v>
      </c>
    </row>
    <row r="16" spans="1:14" ht="15">
      <c r="A16" s="226">
        <v>9</v>
      </c>
      <c r="B16" s="73"/>
      <c r="C16" s="76"/>
      <c r="D16" s="77" t="s">
        <v>957</v>
      </c>
      <c r="E16" s="136"/>
      <c r="F16" s="136">
        <v>792</v>
      </c>
      <c r="G16" s="136"/>
      <c r="H16" s="136"/>
      <c r="I16" s="136"/>
      <c r="J16" s="136"/>
      <c r="K16" s="136"/>
      <c r="L16" s="136"/>
      <c r="M16" s="137"/>
      <c r="N16" s="306">
        <f>SUM(E16:L16)</f>
        <v>792</v>
      </c>
    </row>
    <row r="17" spans="1:14" s="131" customFormat="1" ht="15">
      <c r="A17" s="226">
        <v>10</v>
      </c>
      <c r="B17" s="132"/>
      <c r="C17" s="227"/>
      <c r="D17" s="140" t="s">
        <v>405</v>
      </c>
      <c r="E17" s="72"/>
      <c r="F17" s="72"/>
      <c r="G17" s="72"/>
      <c r="H17" s="72"/>
      <c r="I17" s="72"/>
      <c r="J17" s="72"/>
      <c r="K17" s="72"/>
      <c r="L17" s="72"/>
      <c r="M17" s="72"/>
      <c r="N17" s="307">
        <f aca="true" t="shared" si="1" ref="N17:N73">SUM(E17:L17)</f>
        <v>0</v>
      </c>
    </row>
    <row r="18" spans="1:14" s="4" customFormat="1" ht="15">
      <c r="A18" s="226">
        <v>11</v>
      </c>
      <c r="B18" s="1488"/>
      <c r="C18" s="1489"/>
      <c r="D18" s="138" t="s">
        <v>1067</v>
      </c>
      <c r="E18" s="74">
        <f>SUM(E16:E17)</f>
        <v>0</v>
      </c>
      <c r="F18" s="74">
        <f>SUM(F16:F17)</f>
        <v>792</v>
      </c>
      <c r="G18" s="74">
        <f aca="true" t="shared" si="2" ref="G18:M18">SUM(G16:G17)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139">
        <f t="shared" si="2"/>
        <v>0</v>
      </c>
      <c r="N18" s="111">
        <f t="shared" si="1"/>
        <v>792</v>
      </c>
    </row>
    <row r="19" spans="1:15" s="133" customFormat="1" ht="30" customHeight="1">
      <c r="A19" s="226">
        <v>12</v>
      </c>
      <c r="B19" s="134">
        <v>2</v>
      </c>
      <c r="C19" s="135"/>
      <c r="D19" s="1638" t="s">
        <v>406</v>
      </c>
      <c r="E19" s="1638"/>
      <c r="F19" s="1638"/>
      <c r="G19" s="1638"/>
      <c r="H19" s="136"/>
      <c r="I19" s="136"/>
      <c r="J19" s="136"/>
      <c r="K19" s="136"/>
      <c r="L19" s="136"/>
      <c r="M19" s="137"/>
      <c r="N19" s="111"/>
      <c r="O19" s="133">
        <f>(SUM(E20:L20))-N19</f>
        <v>291675</v>
      </c>
    </row>
    <row r="20" spans="1:14" s="843" customFormat="1" ht="15">
      <c r="A20" s="226">
        <v>13</v>
      </c>
      <c r="B20" s="837"/>
      <c r="C20" s="838"/>
      <c r="D20" s="839" t="s">
        <v>403</v>
      </c>
      <c r="E20" s="840">
        <v>28300</v>
      </c>
      <c r="F20" s="840"/>
      <c r="G20" s="840"/>
      <c r="H20" s="840"/>
      <c r="I20" s="840"/>
      <c r="J20" s="840"/>
      <c r="K20" s="840"/>
      <c r="L20" s="840">
        <v>263375</v>
      </c>
      <c r="M20" s="841">
        <v>238300</v>
      </c>
      <c r="N20" s="842">
        <f t="shared" si="1"/>
        <v>291675</v>
      </c>
    </row>
    <row r="21" spans="1:14" ht="15">
      <c r="A21" s="226">
        <v>14</v>
      </c>
      <c r="B21" s="73"/>
      <c r="C21" s="76"/>
      <c r="D21" s="77" t="s">
        <v>957</v>
      </c>
      <c r="E21" s="136">
        <v>28300</v>
      </c>
      <c r="F21" s="136"/>
      <c r="G21" s="136"/>
      <c r="H21" s="136"/>
      <c r="I21" s="136"/>
      <c r="J21" s="136"/>
      <c r="K21" s="136">
        <v>905</v>
      </c>
      <c r="L21" s="136">
        <v>276965</v>
      </c>
      <c r="M21" s="137">
        <v>238300</v>
      </c>
      <c r="N21" s="306">
        <f t="shared" si="1"/>
        <v>306170</v>
      </c>
    </row>
    <row r="22" spans="1:14" s="131" customFormat="1" ht="15">
      <c r="A22" s="226">
        <v>15</v>
      </c>
      <c r="B22" s="132"/>
      <c r="C22" s="227"/>
      <c r="D22" s="140" t="s">
        <v>1074</v>
      </c>
      <c r="E22" s="72"/>
      <c r="F22" s="72"/>
      <c r="G22" s="72"/>
      <c r="H22" s="72"/>
      <c r="I22" s="72"/>
      <c r="J22" s="72"/>
      <c r="K22" s="72"/>
      <c r="L22" s="72">
        <v>174</v>
      </c>
      <c r="M22" s="72"/>
      <c r="N22" s="307">
        <f t="shared" si="1"/>
        <v>174</v>
      </c>
    </row>
    <row r="23" spans="1:14" s="4" customFormat="1" ht="15">
      <c r="A23" s="226">
        <v>16</v>
      </c>
      <c r="B23" s="1488"/>
      <c r="C23" s="1489"/>
      <c r="D23" s="138" t="s">
        <v>1067</v>
      </c>
      <c r="E23" s="74">
        <f aca="true" t="shared" si="3" ref="E23:N23">SUM(E21:E22)</f>
        <v>28300</v>
      </c>
      <c r="F23" s="74">
        <f t="shared" si="3"/>
        <v>0</v>
      </c>
      <c r="G23" s="74">
        <f t="shared" si="3"/>
        <v>0</v>
      </c>
      <c r="H23" s="74">
        <f t="shared" si="3"/>
        <v>0</v>
      </c>
      <c r="I23" s="74">
        <f t="shared" si="3"/>
        <v>0</v>
      </c>
      <c r="J23" s="74">
        <f t="shared" si="3"/>
        <v>0</v>
      </c>
      <c r="K23" s="74">
        <f t="shared" si="3"/>
        <v>905</v>
      </c>
      <c r="L23" s="74">
        <f t="shared" si="3"/>
        <v>277139</v>
      </c>
      <c r="M23" s="74">
        <f t="shared" si="3"/>
        <v>238300</v>
      </c>
      <c r="N23" s="75">
        <f t="shared" si="3"/>
        <v>306344</v>
      </c>
    </row>
    <row r="24" spans="1:14" s="133" customFormat="1" ht="24" customHeight="1">
      <c r="A24" s="226">
        <v>17</v>
      </c>
      <c r="B24" s="134"/>
      <c r="C24" s="135">
        <v>1</v>
      </c>
      <c r="D24" s="1485" t="s">
        <v>857</v>
      </c>
      <c r="E24" s="136"/>
      <c r="F24" s="136"/>
      <c r="G24" s="136"/>
      <c r="H24" s="136"/>
      <c r="I24" s="136"/>
      <c r="J24" s="136"/>
      <c r="K24" s="136"/>
      <c r="L24" s="136"/>
      <c r="M24" s="137"/>
      <c r="N24" s="111"/>
    </row>
    <row r="25" spans="1:14" s="843" customFormat="1" ht="15">
      <c r="A25" s="226">
        <v>18</v>
      </c>
      <c r="B25" s="837"/>
      <c r="C25" s="838"/>
      <c r="D25" s="839" t="s">
        <v>403</v>
      </c>
      <c r="E25" s="840"/>
      <c r="F25" s="840">
        <v>1053</v>
      </c>
      <c r="G25" s="840"/>
      <c r="H25" s="840"/>
      <c r="I25" s="840"/>
      <c r="J25" s="840"/>
      <c r="K25" s="840"/>
      <c r="L25" s="840"/>
      <c r="M25" s="841"/>
      <c r="N25" s="842">
        <f t="shared" si="1"/>
        <v>1053</v>
      </c>
    </row>
    <row r="26" spans="1:14" ht="15">
      <c r="A26" s="226">
        <v>19</v>
      </c>
      <c r="B26" s="73"/>
      <c r="C26" s="76"/>
      <c r="D26" s="77" t="s">
        <v>957</v>
      </c>
      <c r="E26" s="136"/>
      <c r="F26" s="136">
        <v>1053</v>
      </c>
      <c r="G26" s="136"/>
      <c r="H26" s="136"/>
      <c r="I26" s="136"/>
      <c r="J26" s="136"/>
      <c r="K26" s="136"/>
      <c r="L26" s="136"/>
      <c r="M26" s="137"/>
      <c r="N26" s="306">
        <f t="shared" si="1"/>
        <v>1053</v>
      </c>
    </row>
    <row r="27" spans="1:14" s="131" customFormat="1" ht="15">
      <c r="A27" s="226">
        <v>20</v>
      </c>
      <c r="B27" s="132"/>
      <c r="C27" s="227"/>
      <c r="D27" s="140" t="s">
        <v>405</v>
      </c>
      <c r="E27" s="72"/>
      <c r="F27" s="72"/>
      <c r="G27" s="72"/>
      <c r="H27" s="72"/>
      <c r="I27" s="72"/>
      <c r="J27" s="72"/>
      <c r="K27" s="72"/>
      <c r="L27" s="72"/>
      <c r="M27" s="72"/>
      <c r="N27" s="307">
        <f t="shared" si="1"/>
        <v>0</v>
      </c>
    </row>
    <row r="28" spans="1:14" s="4" customFormat="1" ht="15">
      <c r="A28" s="226">
        <v>21</v>
      </c>
      <c r="B28" s="1488"/>
      <c r="C28" s="1489"/>
      <c r="D28" s="138" t="s">
        <v>1067</v>
      </c>
      <c r="E28" s="74">
        <f>SUM(E26:E27)</f>
        <v>0</v>
      </c>
      <c r="F28" s="74">
        <f>SUM(F26:F27)</f>
        <v>1053</v>
      </c>
      <c r="G28" s="74">
        <f aca="true" t="shared" si="4" ref="G28:M28">SUM(G26:G27)</f>
        <v>0</v>
      </c>
      <c r="H28" s="74">
        <f t="shared" si="4"/>
        <v>0</v>
      </c>
      <c r="I28" s="74">
        <f t="shared" si="4"/>
        <v>0</v>
      </c>
      <c r="J28" s="74">
        <f t="shared" si="4"/>
        <v>0</v>
      </c>
      <c r="K28" s="74">
        <f t="shared" si="4"/>
        <v>0</v>
      </c>
      <c r="L28" s="74">
        <f t="shared" si="4"/>
        <v>0</v>
      </c>
      <c r="M28" s="139">
        <f t="shared" si="4"/>
        <v>0</v>
      </c>
      <c r="N28" s="111">
        <f t="shared" si="1"/>
        <v>1053</v>
      </c>
    </row>
    <row r="29" spans="1:15" s="133" customFormat="1" ht="30" customHeight="1">
      <c r="A29" s="226">
        <v>22</v>
      </c>
      <c r="B29" s="134">
        <v>3</v>
      </c>
      <c r="C29" s="135"/>
      <c r="D29" s="1638" t="s">
        <v>407</v>
      </c>
      <c r="E29" s="1638"/>
      <c r="F29" s="1638"/>
      <c r="G29" s="1638"/>
      <c r="H29" s="136"/>
      <c r="I29" s="136"/>
      <c r="J29" s="136"/>
      <c r="K29" s="136"/>
      <c r="L29" s="136"/>
      <c r="M29" s="137"/>
      <c r="N29" s="111"/>
      <c r="O29" s="133">
        <f>(SUM(E30:L30))-N29</f>
        <v>327758</v>
      </c>
    </row>
    <row r="30" spans="1:14" s="843" customFormat="1" ht="15">
      <c r="A30" s="226">
        <v>23</v>
      </c>
      <c r="B30" s="837"/>
      <c r="C30" s="838"/>
      <c r="D30" s="839" t="s">
        <v>403</v>
      </c>
      <c r="E30" s="840">
        <v>32344</v>
      </c>
      <c r="F30" s="840"/>
      <c r="G30" s="840"/>
      <c r="H30" s="840"/>
      <c r="I30" s="840"/>
      <c r="J30" s="840"/>
      <c r="K30" s="840"/>
      <c r="L30" s="840">
        <v>295414</v>
      </c>
      <c r="M30" s="841">
        <v>254588</v>
      </c>
      <c r="N30" s="842">
        <f t="shared" si="1"/>
        <v>327758</v>
      </c>
    </row>
    <row r="31" spans="1:14" ht="15">
      <c r="A31" s="226">
        <v>24</v>
      </c>
      <c r="B31" s="73"/>
      <c r="C31" s="76"/>
      <c r="D31" s="77" t="s">
        <v>957</v>
      </c>
      <c r="E31" s="136">
        <v>32344</v>
      </c>
      <c r="F31" s="136"/>
      <c r="G31" s="136"/>
      <c r="H31" s="136"/>
      <c r="I31" s="136"/>
      <c r="J31" s="136"/>
      <c r="K31" s="136">
        <v>1950</v>
      </c>
      <c r="L31" s="136">
        <v>310361</v>
      </c>
      <c r="M31" s="137">
        <v>254588</v>
      </c>
      <c r="N31" s="306">
        <f t="shared" si="1"/>
        <v>344655</v>
      </c>
    </row>
    <row r="32" spans="1:14" s="131" customFormat="1" ht="15">
      <c r="A32" s="226">
        <v>25</v>
      </c>
      <c r="B32" s="132"/>
      <c r="C32" s="227"/>
      <c r="D32" s="140" t="s">
        <v>1074</v>
      </c>
      <c r="E32" s="72"/>
      <c r="F32" s="72"/>
      <c r="G32" s="72"/>
      <c r="H32" s="72"/>
      <c r="I32" s="72"/>
      <c r="J32" s="72"/>
      <c r="K32" s="72"/>
      <c r="L32" s="72">
        <v>71</v>
      </c>
      <c r="M32" s="72"/>
      <c r="N32" s="307">
        <f t="shared" si="1"/>
        <v>71</v>
      </c>
    </row>
    <row r="33" spans="1:14" s="4" customFormat="1" ht="15">
      <c r="A33" s="226">
        <v>26</v>
      </c>
      <c r="B33" s="1488"/>
      <c r="C33" s="1489"/>
      <c r="D33" s="138" t="s">
        <v>1067</v>
      </c>
      <c r="E33" s="74">
        <f aca="true" t="shared" si="5" ref="E33:N33">SUM(E31:E32)</f>
        <v>32344</v>
      </c>
      <c r="F33" s="74">
        <f t="shared" si="5"/>
        <v>0</v>
      </c>
      <c r="G33" s="74">
        <f t="shared" si="5"/>
        <v>0</v>
      </c>
      <c r="H33" s="74">
        <f t="shared" si="5"/>
        <v>0</v>
      </c>
      <c r="I33" s="74">
        <f t="shared" si="5"/>
        <v>0</v>
      </c>
      <c r="J33" s="74">
        <f t="shared" si="5"/>
        <v>0</v>
      </c>
      <c r="K33" s="74">
        <f t="shared" si="5"/>
        <v>1950</v>
      </c>
      <c r="L33" s="74">
        <f t="shared" si="5"/>
        <v>310432</v>
      </c>
      <c r="M33" s="74">
        <f t="shared" si="5"/>
        <v>254588</v>
      </c>
      <c r="N33" s="75">
        <f t="shared" si="5"/>
        <v>344726</v>
      </c>
    </row>
    <row r="34" spans="1:14" s="133" customFormat="1" ht="24" customHeight="1">
      <c r="A34" s="226">
        <v>27</v>
      </c>
      <c r="B34" s="134"/>
      <c r="C34" s="135">
        <v>1</v>
      </c>
      <c r="D34" s="1485" t="s">
        <v>857</v>
      </c>
      <c r="E34" s="136"/>
      <c r="F34" s="136"/>
      <c r="G34" s="136"/>
      <c r="H34" s="136"/>
      <c r="I34" s="136"/>
      <c r="J34" s="136"/>
      <c r="K34" s="136"/>
      <c r="L34" s="136"/>
      <c r="M34" s="137"/>
      <c r="N34" s="111"/>
    </row>
    <row r="35" spans="1:14" s="843" customFormat="1" ht="15">
      <c r="A35" s="226">
        <v>28</v>
      </c>
      <c r="B35" s="837"/>
      <c r="C35" s="838"/>
      <c r="D35" s="839" t="s">
        <v>403</v>
      </c>
      <c r="E35" s="840"/>
      <c r="F35" s="840">
        <v>2317</v>
      </c>
      <c r="G35" s="840"/>
      <c r="H35" s="840"/>
      <c r="I35" s="840"/>
      <c r="J35" s="840"/>
      <c r="K35" s="840"/>
      <c r="L35" s="840"/>
      <c r="M35" s="841"/>
      <c r="N35" s="842">
        <f t="shared" si="1"/>
        <v>2317</v>
      </c>
    </row>
    <row r="36" spans="1:14" ht="15">
      <c r="A36" s="226">
        <v>29</v>
      </c>
      <c r="B36" s="73"/>
      <c r="C36" s="76"/>
      <c r="D36" s="77" t="s">
        <v>957</v>
      </c>
      <c r="E36" s="136"/>
      <c r="F36" s="136">
        <v>2317</v>
      </c>
      <c r="G36" s="136"/>
      <c r="H36" s="136"/>
      <c r="I36" s="136"/>
      <c r="J36" s="136"/>
      <c r="K36" s="136"/>
      <c r="L36" s="136"/>
      <c r="M36" s="137"/>
      <c r="N36" s="306">
        <f t="shared" si="1"/>
        <v>2317</v>
      </c>
    </row>
    <row r="37" spans="1:14" s="131" customFormat="1" ht="15">
      <c r="A37" s="226">
        <v>30</v>
      </c>
      <c r="B37" s="132"/>
      <c r="C37" s="227"/>
      <c r="D37" s="140" t="s">
        <v>405</v>
      </c>
      <c r="E37" s="72"/>
      <c r="F37" s="72"/>
      <c r="G37" s="72"/>
      <c r="H37" s="72"/>
      <c r="I37" s="72"/>
      <c r="J37" s="72"/>
      <c r="K37" s="72"/>
      <c r="L37" s="72"/>
      <c r="M37" s="72"/>
      <c r="N37" s="307">
        <f t="shared" si="1"/>
        <v>0</v>
      </c>
    </row>
    <row r="38" spans="1:14" s="4" customFormat="1" ht="15">
      <c r="A38" s="226">
        <v>31</v>
      </c>
      <c r="B38" s="1488"/>
      <c r="C38" s="1489"/>
      <c r="D38" s="138" t="s">
        <v>1067</v>
      </c>
      <c r="E38" s="74">
        <f>SUM(E36:E37)</f>
        <v>0</v>
      </c>
      <c r="F38" s="74">
        <f>SUM(F36:F37)</f>
        <v>2317</v>
      </c>
      <c r="G38" s="74">
        <f aca="true" t="shared" si="6" ref="G38:M38">SUM(G36:G37)</f>
        <v>0</v>
      </c>
      <c r="H38" s="74">
        <f t="shared" si="6"/>
        <v>0</v>
      </c>
      <c r="I38" s="74">
        <f t="shared" si="6"/>
        <v>0</v>
      </c>
      <c r="J38" s="74">
        <f t="shared" si="6"/>
        <v>0</v>
      </c>
      <c r="K38" s="74">
        <f t="shared" si="6"/>
        <v>0</v>
      </c>
      <c r="L38" s="74">
        <f t="shared" si="6"/>
        <v>0</v>
      </c>
      <c r="M38" s="139">
        <f t="shared" si="6"/>
        <v>0</v>
      </c>
      <c r="N38" s="111">
        <f t="shared" si="1"/>
        <v>2317</v>
      </c>
    </row>
    <row r="39" spans="1:15" s="133" customFormat="1" ht="30" customHeight="1">
      <c r="A39" s="226">
        <v>32</v>
      </c>
      <c r="B39" s="134">
        <v>4</v>
      </c>
      <c r="C39" s="135"/>
      <c r="D39" s="1638" t="s">
        <v>408</v>
      </c>
      <c r="E39" s="1638"/>
      <c r="F39" s="1638"/>
      <c r="G39" s="1638"/>
      <c r="H39" s="136"/>
      <c r="I39" s="136"/>
      <c r="J39" s="136"/>
      <c r="K39" s="136"/>
      <c r="L39" s="136"/>
      <c r="M39" s="137"/>
      <c r="N39" s="111"/>
      <c r="O39" s="133">
        <f>(SUM(E40:L40))-N39</f>
        <v>240673</v>
      </c>
    </row>
    <row r="40" spans="1:14" s="843" customFormat="1" ht="15">
      <c r="A40" s="226">
        <v>33</v>
      </c>
      <c r="B40" s="837"/>
      <c r="C40" s="838"/>
      <c r="D40" s="839" t="s">
        <v>403</v>
      </c>
      <c r="E40" s="840">
        <v>25643</v>
      </c>
      <c r="F40" s="840"/>
      <c r="G40" s="840"/>
      <c r="H40" s="840"/>
      <c r="I40" s="840"/>
      <c r="J40" s="840"/>
      <c r="K40" s="840"/>
      <c r="L40" s="840">
        <v>215030</v>
      </c>
      <c r="M40" s="841">
        <v>210953</v>
      </c>
      <c r="N40" s="842">
        <f t="shared" si="1"/>
        <v>240673</v>
      </c>
    </row>
    <row r="41" spans="1:14" ht="15">
      <c r="A41" s="226">
        <v>34</v>
      </c>
      <c r="B41" s="73"/>
      <c r="C41" s="76"/>
      <c r="D41" s="77" t="s">
        <v>957</v>
      </c>
      <c r="E41" s="136">
        <v>25643</v>
      </c>
      <c r="F41" s="136"/>
      <c r="G41" s="136"/>
      <c r="H41" s="136"/>
      <c r="I41" s="136"/>
      <c r="J41" s="136"/>
      <c r="K41" s="136">
        <v>78</v>
      </c>
      <c r="L41" s="136">
        <v>220770</v>
      </c>
      <c r="M41" s="137">
        <v>210953</v>
      </c>
      <c r="N41" s="306">
        <f t="shared" si="1"/>
        <v>246491</v>
      </c>
    </row>
    <row r="42" spans="1:14" s="131" customFormat="1" ht="15">
      <c r="A42" s="226">
        <v>35</v>
      </c>
      <c r="B42" s="132"/>
      <c r="C42" s="227"/>
      <c r="D42" s="140" t="s">
        <v>1074</v>
      </c>
      <c r="E42" s="72"/>
      <c r="F42" s="72"/>
      <c r="G42" s="72"/>
      <c r="H42" s="72"/>
      <c r="I42" s="72"/>
      <c r="J42" s="72"/>
      <c r="K42" s="72"/>
      <c r="L42" s="72">
        <v>85</v>
      </c>
      <c r="M42" s="72"/>
      <c r="N42" s="307">
        <f t="shared" si="1"/>
        <v>85</v>
      </c>
    </row>
    <row r="43" spans="1:14" s="4" customFormat="1" ht="15">
      <c r="A43" s="226">
        <v>36</v>
      </c>
      <c r="B43" s="1488"/>
      <c r="C43" s="1489"/>
      <c r="D43" s="138" t="s">
        <v>1067</v>
      </c>
      <c r="E43" s="74">
        <f aca="true" t="shared" si="7" ref="E43:N43">SUM(E41:E42)</f>
        <v>25643</v>
      </c>
      <c r="F43" s="74">
        <f t="shared" si="7"/>
        <v>0</v>
      </c>
      <c r="G43" s="74">
        <f t="shared" si="7"/>
        <v>0</v>
      </c>
      <c r="H43" s="74">
        <f t="shared" si="7"/>
        <v>0</v>
      </c>
      <c r="I43" s="74">
        <f t="shared" si="7"/>
        <v>0</v>
      </c>
      <c r="J43" s="74">
        <f t="shared" si="7"/>
        <v>0</v>
      </c>
      <c r="K43" s="74">
        <f t="shared" si="7"/>
        <v>78</v>
      </c>
      <c r="L43" s="74">
        <f t="shared" si="7"/>
        <v>220855</v>
      </c>
      <c r="M43" s="74">
        <f t="shared" si="7"/>
        <v>210953</v>
      </c>
      <c r="N43" s="75">
        <f t="shared" si="7"/>
        <v>246576</v>
      </c>
    </row>
    <row r="44" spans="1:14" s="133" customFormat="1" ht="19.5" customHeight="1">
      <c r="A44" s="226">
        <v>37</v>
      </c>
      <c r="B44" s="134"/>
      <c r="C44" s="135">
        <v>1</v>
      </c>
      <c r="D44" s="1485" t="s">
        <v>857</v>
      </c>
      <c r="E44" s="136"/>
      <c r="F44" s="136"/>
      <c r="G44" s="136"/>
      <c r="H44" s="136"/>
      <c r="I44" s="136"/>
      <c r="J44" s="136"/>
      <c r="K44" s="136"/>
      <c r="L44" s="136"/>
      <c r="M44" s="137"/>
      <c r="N44" s="111"/>
    </row>
    <row r="45" spans="1:14" s="843" customFormat="1" ht="15">
      <c r="A45" s="226">
        <v>38</v>
      </c>
      <c r="B45" s="837"/>
      <c r="C45" s="838"/>
      <c r="D45" s="839" t="s">
        <v>403</v>
      </c>
      <c r="E45" s="840"/>
      <c r="F45" s="840">
        <v>1518</v>
      </c>
      <c r="G45" s="840"/>
      <c r="H45" s="840"/>
      <c r="I45" s="840"/>
      <c r="J45" s="840"/>
      <c r="K45" s="840"/>
      <c r="L45" s="840"/>
      <c r="M45" s="841"/>
      <c r="N45" s="842">
        <f t="shared" si="1"/>
        <v>1518</v>
      </c>
    </row>
    <row r="46" spans="1:14" ht="15">
      <c r="A46" s="226">
        <v>39</v>
      </c>
      <c r="B46" s="73"/>
      <c r="C46" s="76"/>
      <c r="D46" s="77" t="s">
        <v>957</v>
      </c>
      <c r="E46" s="136"/>
      <c r="F46" s="136">
        <v>1518</v>
      </c>
      <c r="G46" s="136"/>
      <c r="H46" s="136"/>
      <c r="I46" s="136"/>
      <c r="J46" s="136"/>
      <c r="K46" s="136"/>
      <c r="L46" s="136"/>
      <c r="M46" s="137"/>
      <c r="N46" s="306">
        <f t="shared" si="1"/>
        <v>1518</v>
      </c>
    </row>
    <row r="47" spans="1:14" s="131" customFormat="1" ht="15">
      <c r="A47" s="226">
        <v>40</v>
      </c>
      <c r="B47" s="132"/>
      <c r="C47" s="227"/>
      <c r="D47" s="140" t="s">
        <v>405</v>
      </c>
      <c r="E47" s="72"/>
      <c r="F47" s="72"/>
      <c r="G47" s="72"/>
      <c r="H47" s="72"/>
      <c r="I47" s="72"/>
      <c r="J47" s="72"/>
      <c r="K47" s="72"/>
      <c r="L47" s="72"/>
      <c r="M47" s="72"/>
      <c r="N47" s="307">
        <f t="shared" si="1"/>
        <v>0</v>
      </c>
    </row>
    <row r="48" spans="1:14" s="4" customFormat="1" ht="15">
      <c r="A48" s="226">
        <v>41</v>
      </c>
      <c r="B48" s="1488"/>
      <c r="C48" s="1489"/>
      <c r="D48" s="138" t="s">
        <v>1067</v>
      </c>
      <c r="E48" s="74">
        <f>SUM(E46:E47)</f>
        <v>0</v>
      </c>
      <c r="F48" s="74">
        <f>SUM(F46:F47)</f>
        <v>1518</v>
      </c>
      <c r="G48" s="74">
        <f aca="true" t="shared" si="8" ref="G48:L48">SUM(G46:G47)</f>
        <v>0</v>
      </c>
      <c r="H48" s="74">
        <f t="shared" si="8"/>
        <v>0</v>
      </c>
      <c r="I48" s="74">
        <f t="shared" si="8"/>
        <v>0</v>
      </c>
      <c r="J48" s="74">
        <f t="shared" si="8"/>
        <v>0</v>
      </c>
      <c r="K48" s="74">
        <f t="shared" si="8"/>
        <v>0</v>
      </c>
      <c r="L48" s="74">
        <f t="shared" si="8"/>
        <v>0</v>
      </c>
      <c r="M48" s="139">
        <f>SUM(M46:M47)</f>
        <v>0</v>
      </c>
      <c r="N48" s="111">
        <f t="shared" si="1"/>
        <v>1518</v>
      </c>
    </row>
    <row r="49" spans="1:15" s="133" customFormat="1" ht="30" customHeight="1">
      <c r="A49" s="226">
        <v>42</v>
      </c>
      <c r="B49" s="134">
        <v>5</v>
      </c>
      <c r="C49" s="135"/>
      <c r="D49" s="1638" t="s">
        <v>409</v>
      </c>
      <c r="E49" s="1638"/>
      <c r="F49" s="1638"/>
      <c r="G49" s="1638"/>
      <c r="H49" s="136"/>
      <c r="I49" s="136"/>
      <c r="J49" s="136"/>
      <c r="K49" s="136"/>
      <c r="L49" s="136"/>
      <c r="M49" s="137"/>
      <c r="N49" s="111"/>
      <c r="O49" s="133">
        <f>(SUM(E50:L50))-N49</f>
        <v>294881</v>
      </c>
    </row>
    <row r="50" spans="1:14" s="843" customFormat="1" ht="15">
      <c r="A50" s="226">
        <v>43</v>
      </c>
      <c r="B50" s="837"/>
      <c r="C50" s="838"/>
      <c r="D50" s="839" t="s">
        <v>403</v>
      </c>
      <c r="E50" s="840">
        <v>32339</v>
      </c>
      <c r="F50" s="840"/>
      <c r="G50" s="840"/>
      <c r="H50" s="840"/>
      <c r="I50" s="840"/>
      <c r="J50" s="840"/>
      <c r="K50" s="840"/>
      <c r="L50" s="840">
        <v>262542</v>
      </c>
      <c r="M50" s="841">
        <v>200721</v>
      </c>
      <c r="N50" s="842">
        <f t="shared" si="1"/>
        <v>294881</v>
      </c>
    </row>
    <row r="51" spans="1:14" ht="15">
      <c r="A51" s="226">
        <v>44</v>
      </c>
      <c r="B51" s="73"/>
      <c r="C51" s="76"/>
      <c r="D51" s="77" t="s">
        <v>957</v>
      </c>
      <c r="E51" s="136">
        <v>32339</v>
      </c>
      <c r="F51" s="136"/>
      <c r="G51" s="136"/>
      <c r="H51" s="136"/>
      <c r="I51" s="136"/>
      <c r="J51" s="136"/>
      <c r="K51" s="136">
        <v>3695</v>
      </c>
      <c r="L51" s="136">
        <v>281695</v>
      </c>
      <c r="M51" s="137">
        <v>200721</v>
      </c>
      <c r="N51" s="306">
        <f t="shared" si="1"/>
        <v>317729</v>
      </c>
    </row>
    <row r="52" spans="1:14" s="131" customFormat="1" ht="15">
      <c r="A52" s="226">
        <v>45</v>
      </c>
      <c r="B52" s="132"/>
      <c r="C52" s="227"/>
      <c r="D52" s="140" t="s">
        <v>1074</v>
      </c>
      <c r="E52" s="72"/>
      <c r="F52" s="72"/>
      <c r="G52" s="72"/>
      <c r="H52" s="72"/>
      <c r="I52" s="72"/>
      <c r="J52" s="72"/>
      <c r="K52" s="72"/>
      <c r="L52" s="72">
        <v>111</v>
      </c>
      <c r="M52" s="72"/>
      <c r="N52" s="307">
        <f t="shared" si="1"/>
        <v>111</v>
      </c>
    </row>
    <row r="53" spans="1:14" s="4" customFormat="1" ht="15">
      <c r="A53" s="226">
        <v>46</v>
      </c>
      <c r="B53" s="1488"/>
      <c r="C53" s="1489"/>
      <c r="D53" s="138" t="s">
        <v>1067</v>
      </c>
      <c r="E53" s="74">
        <f aca="true" t="shared" si="9" ref="E53:N53">SUM(E51:E52)</f>
        <v>32339</v>
      </c>
      <c r="F53" s="74">
        <f t="shared" si="9"/>
        <v>0</v>
      </c>
      <c r="G53" s="74">
        <f t="shared" si="9"/>
        <v>0</v>
      </c>
      <c r="H53" s="74">
        <f t="shared" si="9"/>
        <v>0</v>
      </c>
      <c r="I53" s="74">
        <f t="shared" si="9"/>
        <v>0</v>
      </c>
      <c r="J53" s="74">
        <f t="shared" si="9"/>
        <v>0</v>
      </c>
      <c r="K53" s="74">
        <f t="shared" si="9"/>
        <v>3695</v>
      </c>
      <c r="L53" s="74">
        <f t="shared" si="9"/>
        <v>281806</v>
      </c>
      <c r="M53" s="74">
        <f t="shared" si="9"/>
        <v>200721</v>
      </c>
      <c r="N53" s="75">
        <f t="shared" si="9"/>
        <v>317840</v>
      </c>
    </row>
    <row r="54" spans="1:14" s="133" customFormat="1" ht="19.5" customHeight="1">
      <c r="A54" s="226">
        <v>47</v>
      </c>
      <c r="B54" s="134"/>
      <c r="C54" s="135">
        <v>1</v>
      </c>
      <c r="D54" s="1485" t="s">
        <v>857</v>
      </c>
      <c r="E54" s="136"/>
      <c r="F54" s="136"/>
      <c r="G54" s="136"/>
      <c r="H54" s="136"/>
      <c r="I54" s="136"/>
      <c r="J54" s="136"/>
      <c r="K54" s="136"/>
      <c r="L54" s="136"/>
      <c r="M54" s="137"/>
      <c r="N54" s="111"/>
    </row>
    <row r="55" spans="1:14" s="843" customFormat="1" ht="15">
      <c r="A55" s="226">
        <v>48</v>
      </c>
      <c r="B55" s="837"/>
      <c r="C55" s="838"/>
      <c r="D55" s="839" t="s">
        <v>403</v>
      </c>
      <c r="E55" s="840"/>
      <c r="F55" s="840">
        <v>887</v>
      </c>
      <c r="G55" s="840"/>
      <c r="H55" s="840"/>
      <c r="I55" s="840"/>
      <c r="J55" s="840"/>
      <c r="K55" s="840"/>
      <c r="L55" s="840"/>
      <c r="M55" s="841"/>
      <c r="N55" s="842">
        <f t="shared" si="1"/>
        <v>887</v>
      </c>
    </row>
    <row r="56" spans="1:14" ht="15">
      <c r="A56" s="226">
        <v>49</v>
      </c>
      <c r="B56" s="73"/>
      <c r="C56" s="76"/>
      <c r="D56" s="77" t="s">
        <v>957</v>
      </c>
      <c r="E56" s="136"/>
      <c r="F56" s="136">
        <v>887</v>
      </c>
      <c r="G56" s="136"/>
      <c r="H56" s="136"/>
      <c r="I56" s="136"/>
      <c r="J56" s="136"/>
      <c r="K56" s="136"/>
      <c r="L56" s="136"/>
      <c r="M56" s="137"/>
      <c r="N56" s="306">
        <f t="shared" si="1"/>
        <v>887</v>
      </c>
    </row>
    <row r="57" spans="1:14" s="131" customFormat="1" ht="15">
      <c r="A57" s="226">
        <v>50</v>
      </c>
      <c r="B57" s="132"/>
      <c r="C57" s="227"/>
      <c r="D57" s="140" t="s">
        <v>405</v>
      </c>
      <c r="E57" s="72"/>
      <c r="F57" s="72"/>
      <c r="G57" s="72"/>
      <c r="H57" s="72"/>
      <c r="I57" s="72"/>
      <c r="J57" s="72"/>
      <c r="K57" s="72"/>
      <c r="L57" s="72"/>
      <c r="M57" s="72"/>
      <c r="N57" s="307">
        <f t="shared" si="1"/>
        <v>0</v>
      </c>
    </row>
    <row r="58" spans="1:14" s="4" customFormat="1" ht="15">
      <c r="A58" s="226">
        <v>51</v>
      </c>
      <c r="B58" s="1488"/>
      <c r="C58" s="1489"/>
      <c r="D58" s="138" t="s">
        <v>1067</v>
      </c>
      <c r="E58" s="74">
        <f>SUM(E56:E57)</f>
        <v>0</v>
      </c>
      <c r="F58" s="74">
        <f>SUM(F56:F57)</f>
        <v>887</v>
      </c>
      <c r="G58" s="74">
        <f aca="true" t="shared" si="10" ref="G58:M58">SUM(G56:G57)</f>
        <v>0</v>
      </c>
      <c r="H58" s="74">
        <f t="shared" si="10"/>
        <v>0</v>
      </c>
      <c r="I58" s="74">
        <f t="shared" si="10"/>
        <v>0</v>
      </c>
      <c r="J58" s="74">
        <f t="shared" si="10"/>
        <v>0</v>
      </c>
      <c r="K58" s="74">
        <f t="shared" si="10"/>
        <v>0</v>
      </c>
      <c r="L58" s="74">
        <f t="shared" si="10"/>
        <v>0</v>
      </c>
      <c r="M58" s="139">
        <f t="shared" si="10"/>
        <v>0</v>
      </c>
      <c r="N58" s="111">
        <f t="shared" si="1"/>
        <v>887</v>
      </c>
    </row>
    <row r="59" spans="1:15" s="133" customFormat="1" ht="30" customHeight="1">
      <c r="A59" s="226">
        <v>52</v>
      </c>
      <c r="B59" s="134">
        <v>6</v>
      </c>
      <c r="C59" s="135"/>
      <c r="D59" s="1638" t="s">
        <v>410</v>
      </c>
      <c r="E59" s="1638"/>
      <c r="F59" s="1638"/>
      <c r="G59" s="1638"/>
      <c r="H59" s="136"/>
      <c r="I59" s="136"/>
      <c r="J59" s="136"/>
      <c r="K59" s="136"/>
      <c r="L59" s="136"/>
      <c r="M59" s="137"/>
      <c r="N59" s="111"/>
      <c r="O59" s="133">
        <f>(SUM(E60:L60))-N59</f>
        <v>111846</v>
      </c>
    </row>
    <row r="60" spans="1:14" s="843" customFormat="1" ht="15">
      <c r="A60" s="226">
        <v>53</v>
      </c>
      <c r="B60" s="837"/>
      <c r="C60" s="838"/>
      <c r="D60" s="839" t="s">
        <v>403</v>
      </c>
      <c r="E60" s="840">
        <v>11827</v>
      </c>
      <c r="F60" s="840"/>
      <c r="G60" s="840"/>
      <c r="H60" s="840"/>
      <c r="I60" s="840"/>
      <c r="J60" s="840"/>
      <c r="K60" s="840"/>
      <c r="L60" s="840">
        <v>100019</v>
      </c>
      <c r="M60" s="841">
        <v>84740</v>
      </c>
      <c r="N60" s="842">
        <f t="shared" si="1"/>
        <v>111846</v>
      </c>
    </row>
    <row r="61" spans="1:14" ht="15">
      <c r="A61" s="226">
        <v>54</v>
      </c>
      <c r="B61" s="73"/>
      <c r="C61" s="76"/>
      <c r="D61" s="77" t="s">
        <v>957</v>
      </c>
      <c r="E61" s="136">
        <v>11827</v>
      </c>
      <c r="F61" s="136"/>
      <c r="G61" s="136"/>
      <c r="H61" s="136"/>
      <c r="I61" s="136"/>
      <c r="J61" s="136"/>
      <c r="K61" s="136">
        <v>1647</v>
      </c>
      <c r="L61" s="136">
        <v>107266</v>
      </c>
      <c r="M61" s="137">
        <v>84740</v>
      </c>
      <c r="N61" s="306">
        <f t="shared" si="1"/>
        <v>120740</v>
      </c>
    </row>
    <row r="62" spans="1:14" s="131" customFormat="1" ht="15">
      <c r="A62" s="226">
        <v>55</v>
      </c>
      <c r="B62" s="132"/>
      <c r="C62" s="227"/>
      <c r="D62" s="140" t="s">
        <v>1074</v>
      </c>
      <c r="E62" s="72"/>
      <c r="F62" s="72"/>
      <c r="G62" s="72"/>
      <c r="H62" s="72"/>
      <c r="I62" s="72"/>
      <c r="J62" s="72"/>
      <c r="K62" s="72"/>
      <c r="L62" s="72">
        <v>19</v>
      </c>
      <c r="M62" s="72"/>
      <c r="N62" s="307">
        <f t="shared" si="1"/>
        <v>19</v>
      </c>
    </row>
    <row r="63" spans="1:14" s="4" customFormat="1" ht="15">
      <c r="A63" s="226">
        <v>56</v>
      </c>
      <c r="B63" s="1488"/>
      <c r="C63" s="1489"/>
      <c r="D63" s="138" t="s">
        <v>1067</v>
      </c>
      <c r="E63" s="74">
        <f aca="true" t="shared" si="11" ref="E63:N63">SUM(E61:E62)</f>
        <v>11827</v>
      </c>
      <c r="F63" s="74">
        <f t="shared" si="11"/>
        <v>0</v>
      </c>
      <c r="G63" s="74">
        <f t="shared" si="11"/>
        <v>0</v>
      </c>
      <c r="H63" s="74">
        <f t="shared" si="11"/>
        <v>0</v>
      </c>
      <c r="I63" s="74">
        <f t="shared" si="11"/>
        <v>0</v>
      </c>
      <c r="J63" s="74">
        <f t="shared" si="11"/>
        <v>0</v>
      </c>
      <c r="K63" s="74">
        <f t="shared" si="11"/>
        <v>1647</v>
      </c>
      <c r="L63" s="74">
        <f t="shared" si="11"/>
        <v>107285</v>
      </c>
      <c r="M63" s="139">
        <f t="shared" si="11"/>
        <v>84740</v>
      </c>
      <c r="N63" s="75">
        <f t="shared" si="11"/>
        <v>120759</v>
      </c>
    </row>
    <row r="64" spans="1:14" s="133" customFormat="1" ht="19.5" customHeight="1">
      <c r="A64" s="226">
        <v>57</v>
      </c>
      <c r="B64" s="134"/>
      <c r="C64" s="135">
        <v>1</v>
      </c>
      <c r="D64" s="1485" t="s">
        <v>857</v>
      </c>
      <c r="E64" s="136"/>
      <c r="F64" s="136"/>
      <c r="G64" s="136"/>
      <c r="H64" s="136"/>
      <c r="I64" s="136"/>
      <c r="J64" s="136"/>
      <c r="K64" s="136"/>
      <c r="L64" s="136"/>
      <c r="M64" s="137"/>
      <c r="N64" s="111"/>
    </row>
    <row r="65" spans="1:14" s="843" customFormat="1" ht="15">
      <c r="A65" s="226">
        <v>58</v>
      </c>
      <c r="B65" s="837"/>
      <c r="C65" s="838"/>
      <c r="D65" s="839" t="s">
        <v>403</v>
      </c>
      <c r="E65" s="840"/>
      <c r="F65" s="840">
        <v>410</v>
      </c>
      <c r="G65" s="840"/>
      <c r="H65" s="840"/>
      <c r="I65" s="840"/>
      <c r="J65" s="840"/>
      <c r="K65" s="840"/>
      <c r="L65" s="840"/>
      <c r="M65" s="841"/>
      <c r="N65" s="842">
        <f t="shared" si="1"/>
        <v>410</v>
      </c>
    </row>
    <row r="66" spans="1:14" ht="15">
      <c r="A66" s="226">
        <v>59</v>
      </c>
      <c r="B66" s="73"/>
      <c r="C66" s="76"/>
      <c r="D66" s="77" t="s">
        <v>957</v>
      </c>
      <c r="E66" s="136"/>
      <c r="F66" s="136">
        <v>1448</v>
      </c>
      <c r="G66" s="136"/>
      <c r="H66" s="136"/>
      <c r="I66" s="136"/>
      <c r="J66" s="136"/>
      <c r="K66" s="136"/>
      <c r="L66" s="136"/>
      <c r="M66" s="137"/>
      <c r="N66" s="306">
        <f t="shared" si="1"/>
        <v>1448</v>
      </c>
    </row>
    <row r="67" spans="1:14" s="131" customFormat="1" ht="15">
      <c r="A67" s="226">
        <v>60</v>
      </c>
      <c r="B67" s="132"/>
      <c r="C67" s="227"/>
      <c r="D67" s="140" t="s">
        <v>405</v>
      </c>
      <c r="E67" s="72"/>
      <c r="F67" s="72"/>
      <c r="G67" s="72"/>
      <c r="H67" s="72"/>
      <c r="I67" s="72"/>
      <c r="J67" s="72"/>
      <c r="K67" s="72"/>
      <c r="L67" s="72"/>
      <c r="M67" s="72"/>
      <c r="N67" s="307">
        <f t="shared" si="1"/>
        <v>0</v>
      </c>
    </row>
    <row r="68" spans="1:14" s="323" customFormat="1" ht="30" customHeight="1">
      <c r="A68" s="1154">
        <v>61</v>
      </c>
      <c r="B68" s="318"/>
      <c r="C68" s="319"/>
      <c r="D68" s="320" t="s">
        <v>1067</v>
      </c>
      <c r="E68" s="321">
        <f aca="true" t="shared" si="12" ref="E68:N68">SUM(E66:E67)</f>
        <v>0</v>
      </c>
      <c r="F68" s="321">
        <f t="shared" si="12"/>
        <v>1448</v>
      </c>
      <c r="G68" s="321">
        <f t="shared" si="12"/>
        <v>0</v>
      </c>
      <c r="H68" s="321">
        <f t="shared" si="12"/>
        <v>0</v>
      </c>
      <c r="I68" s="321">
        <f t="shared" si="12"/>
        <v>0</v>
      </c>
      <c r="J68" s="321">
        <f t="shared" si="12"/>
        <v>0</v>
      </c>
      <c r="K68" s="321">
        <f t="shared" si="12"/>
        <v>0</v>
      </c>
      <c r="L68" s="321">
        <f t="shared" si="12"/>
        <v>0</v>
      </c>
      <c r="M68" s="322">
        <f t="shared" si="12"/>
        <v>0</v>
      </c>
      <c r="N68" s="110">
        <f t="shared" si="12"/>
        <v>1448</v>
      </c>
    </row>
    <row r="69" spans="1:15" s="131" customFormat="1" ht="15">
      <c r="A69" s="226">
        <v>62</v>
      </c>
      <c r="B69" s="132"/>
      <c r="C69" s="308"/>
      <c r="D69" s="308" t="s">
        <v>819</v>
      </c>
      <c r="E69" s="308"/>
      <c r="F69" s="308"/>
      <c r="G69" s="308"/>
      <c r="H69" s="308"/>
      <c r="I69" s="308"/>
      <c r="J69" s="308"/>
      <c r="K69" s="308"/>
      <c r="L69" s="308"/>
      <c r="M69" s="308"/>
      <c r="N69" s="698">
        <f t="shared" si="1"/>
        <v>0</v>
      </c>
      <c r="O69" s="79">
        <f>(SUM(E70:L70))-N69</f>
        <v>1440666</v>
      </c>
    </row>
    <row r="70" spans="1:15" s="848" customFormat="1" ht="15">
      <c r="A70" s="226">
        <v>63</v>
      </c>
      <c r="B70" s="844"/>
      <c r="C70" s="845"/>
      <c r="D70" s="839" t="s">
        <v>403</v>
      </c>
      <c r="E70" s="846">
        <f aca="true" t="shared" si="13" ref="E70:M70">SUM(E65,E60,E55,E50,E45,E40,E35,E30,E25,E20,E15,E9)</f>
        <v>146468</v>
      </c>
      <c r="F70" s="846">
        <f t="shared" si="13"/>
        <v>6977</v>
      </c>
      <c r="G70" s="846">
        <f t="shared" si="13"/>
        <v>0</v>
      </c>
      <c r="H70" s="846">
        <f t="shared" si="13"/>
        <v>0</v>
      </c>
      <c r="I70" s="846">
        <f t="shared" si="13"/>
        <v>0</v>
      </c>
      <c r="J70" s="846">
        <f t="shared" si="13"/>
        <v>0</v>
      </c>
      <c r="K70" s="846">
        <f t="shared" si="13"/>
        <v>0</v>
      </c>
      <c r="L70" s="846">
        <f t="shared" si="13"/>
        <v>1287221</v>
      </c>
      <c r="M70" s="845">
        <f t="shared" si="13"/>
        <v>1115434</v>
      </c>
      <c r="N70" s="847">
        <f t="shared" si="1"/>
        <v>1440666</v>
      </c>
      <c r="O70" s="843"/>
    </row>
    <row r="71" spans="1:15" s="131" customFormat="1" ht="15">
      <c r="A71" s="226">
        <v>64</v>
      </c>
      <c r="B71" s="132"/>
      <c r="C71" s="72"/>
      <c r="D71" s="77" t="s">
        <v>957</v>
      </c>
      <c r="E71" s="71">
        <f aca="true" t="shared" si="14" ref="E71:M71">SUM(E66,E61,E56,E51,E46,E41,E36,E31,E26,E21,E16,E10)</f>
        <v>146468</v>
      </c>
      <c r="F71" s="71">
        <f t="shared" si="14"/>
        <v>8015</v>
      </c>
      <c r="G71" s="71">
        <f t="shared" si="14"/>
        <v>0</v>
      </c>
      <c r="H71" s="71">
        <f t="shared" si="14"/>
        <v>0</v>
      </c>
      <c r="I71" s="71">
        <f t="shared" si="14"/>
        <v>0</v>
      </c>
      <c r="J71" s="71">
        <f t="shared" si="14"/>
        <v>0</v>
      </c>
      <c r="K71" s="71">
        <f t="shared" si="14"/>
        <v>9931</v>
      </c>
      <c r="L71" s="71">
        <f t="shared" si="14"/>
        <v>1352112</v>
      </c>
      <c r="M71" s="72">
        <f t="shared" si="14"/>
        <v>1115434</v>
      </c>
      <c r="N71" s="78">
        <f t="shared" si="1"/>
        <v>1516526</v>
      </c>
      <c r="O71" s="79"/>
    </row>
    <row r="72" spans="1:15" s="131" customFormat="1" ht="15">
      <c r="A72" s="226">
        <v>65</v>
      </c>
      <c r="B72" s="132"/>
      <c r="C72" s="72"/>
      <c r="D72" s="724" t="s">
        <v>1200</v>
      </c>
      <c r="E72" s="72">
        <f>SUM(E11:E11,E17,E22:E22,E27,E32:E32,E37,E42:E42,E47,E52:E52,E57,E62:E62,E67)+E12</f>
        <v>700</v>
      </c>
      <c r="F72" s="72">
        <f aca="true" t="shared" si="15" ref="F72:M72">SUM(F11:F11,F17,F22:F22,F27,F32:F32,F37,F42:F42,F47,F52:F52,F57,F62:F62,F67)+F12</f>
        <v>0</v>
      </c>
      <c r="G72" s="72">
        <f t="shared" si="15"/>
        <v>0</v>
      </c>
      <c r="H72" s="72">
        <f t="shared" si="15"/>
        <v>0</v>
      </c>
      <c r="I72" s="72">
        <f t="shared" si="15"/>
        <v>0</v>
      </c>
      <c r="J72" s="72">
        <f t="shared" si="15"/>
        <v>0</v>
      </c>
      <c r="K72" s="72">
        <f t="shared" si="15"/>
        <v>0</v>
      </c>
      <c r="L72" s="72">
        <f t="shared" si="15"/>
        <v>550</v>
      </c>
      <c r="M72" s="72">
        <f t="shared" si="15"/>
        <v>0</v>
      </c>
      <c r="N72" s="112">
        <f>SUM(E72:L72)</f>
        <v>1250</v>
      </c>
      <c r="O72" s="79"/>
    </row>
    <row r="73" spans="1:15" s="131" customFormat="1" ht="15">
      <c r="A73" s="226">
        <v>66</v>
      </c>
      <c r="B73" s="132"/>
      <c r="C73" s="309"/>
      <c r="D73" s="310" t="s">
        <v>1067</v>
      </c>
      <c r="E73" s="311">
        <f>SUM(E71:E72)</f>
        <v>147168</v>
      </c>
      <c r="F73" s="311">
        <f aca="true" t="shared" si="16" ref="F73:M73">SUM(F71:F72)</f>
        <v>8015</v>
      </c>
      <c r="G73" s="311">
        <f t="shared" si="16"/>
        <v>0</v>
      </c>
      <c r="H73" s="311">
        <f t="shared" si="16"/>
        <v>0</v>
      </c>
      <c r="I73" s="311">
        <f t="shared" si="16"/>
        <v>0</v>
      </c>
      <c r="J73" s="311">
        <f t="shared" si="16"/>
        <v>0</v>
      </c>
      <c r="K73" s="311">
        <f t="shared" si="16"/>
        <v>9931</v>
      </c>
      <c r="L73" s="311">
        <f t="shared" si="16"/>
        <v>1352662</v>
      </c>
      <c r="M73" s="315">
        <f t="shared" si="16"/>
        <v>1115434</v>
      </c>
      <c r="N73" s="317">
        <f t="shared" si="1"/>
        <v>1517776</v>
      </c>
      <c r="O73" s="79"/>
    </row>
    <row r="74" spans="1:15" s="133" customFormat="1" ht="21.75" customHeight="1">
      <c r="A74" s="226">
        <v>67</v>
      </c>
      <c r="B74" s="134">
        <v>7</v>
      </c>
      <c r="C74" s="135"/>
      <c r="D74" s="1638" t="s">
        <v>834</v>
      </c>
      <c r="E74" s="1638">
        <v>9002</v>
      </c>
      <c r="F74" s="1638">
        <v>143683</v>
      </c>
      <c r="G74" s="1638"/>
      <c r="H74" s="136"/>
      <c r="I74" s="136"/>
      <c r="J74" s="136"/>
      <c r="K74" s="136"/>
      <c r="L74" s="136"/>
      <c r="M74" s="137"/>
      <c r="N74" s="111"/>
      <c r="O74" s="133">
        <f>(SUM(E74:L74))-N74</f>
        <v>152685</v>
      </c>
    </row>
    <row r="75" spans="1:14" s="843" customFormat="1" ht="15">
      <c r="A75" s="226">
        <v>68</v>
      </c>
      <c r="B75" s="837"/>
      <c r="C75" s="838"/>
      <c r="D75" s="839" t="s">
        <v>403</v>
      </c>
      <c r="E75" s="840">
        <v>9002</v>
      </c>
      <c r="F75" s="840">
        <v>143683</v>
      </c>
      <c r="G75" s="840"/>
      <c r="H75" s="840"/>
      <c r="I75" s="840"/>
      <c r="J75" s="840"/>
      <c r="K75" s="840"/>
      <c r="L75" s="840">
        <v>42618</v>
      </c>
      <c r="M75" s="841"/>
      <c r="N75" s="842">
        <f>SUM(E75:L75)</f>
        <v>195303</v>
      </c>
    </row>
    <row r="76" spans="1:14" ht="15">
      <c r="A76" s="226">
        <v>69</v>
      </c>
      <c r="B76" s="73"/>
      <c r="C76" s="76"/>
      <c r="D76" s="77" t="s">
        <v>957</v>
      </c>
      <c r="E76" s="136">
        <v>9002</v>
      </c>
      <c r="F76" s="136">
        <v>143683</v>
      </c>
      <c r="G76" s="136"/>
      <c r="H76" s="136"/>
      <c r="I76" s="136"/>
      <c r="J76" s="136"/>
      <c r="K76" s="136">
        <v>8102</v>
      </c>
      <c r="L76" s="136">
        <v>71358</v>
      </c>
      <c r="M76" s="137"/>
      <c r="N76" s="306">
        <f>SUM(E76:L76)</f>
        <v>232145</v>
      </c>
    </row>
    <row r="77" spans="1:14" s="131" customFormat="1" ht="15">
      <c r="A77" s="226">
        <v>70</v>
      </c>
      <c r="B77" s="132"/>
      <c r="C77" s="227"/>
      <c r="D77" s="140" t="s">
        <v>1074</v>
      </c>
      <c r="E77" s="72"/>
      <c r="F77" s="72"/>
      <c r="G77" s="72"/>
      <c r="H77" s="72"/>
      <c r="I77" s="72"/>
      <c r="J77" s="72"/>
      <c r="K77" s="72"/>
      <c r="L77" s="72">
        <v>548</v>
      </c>
      <c r="M77" s="72"/>
      <c r="N77" s="307">
        <f aca="true" t="shared" si="17" ref="N77:N84">SUM(E77:L77)</f>
        <v>548</v>
      </c>
    </row>
    <row r="78" spans="1:14" s="131" customFormat="1" ht="15">
      <c r="A78" s="226">
        <v>71</v>
      </c>
      <c r="B78" s="132"/>
      <c r="C78" s="227"/>
      <c r="D78" s="140" t="s">
        <v>1164</v>
      </c>
      <c r="E78" s="72"/>
      <c r="F78" s="72"/>
      <c r="G78" s="72"/>
      <c r="H78" s="72"/>
      <c r="I78" s="72"/>
      <c r="J78" s="72"/>
      <c r="K78" s="72"/>
      <c r="L78" s="72">
        <v>-836</v>
      </c>
      <c r="M78" s="72"/>
      <c r="N78" s="307">
        <f t="shared" si="17"/>
        <v>-836</v>
      </c>
    </row>
    <row r="79" spans="1:14" s="4" customFormat="1" ht="15">
      <c r="A79" s="226">
        <v>72</v>
      </c>
      <c r="B79" s="1488"/>
      <c r="C79" s="1489"/>
      <c r="D79" s="138" t="s">
        <v>1067</v>
      </c>
      <c r="E79" s="74">
        <f aca="true" t="shared" si="18" ref="E79:M79">SUM(E76:E78)</f>
        <v>9002</v>
      </c>
      <c r="F79" s="74">
        <f t="shared" si="18"/>
        <v>143683</v>
      </c>
      <c r="G79" s="74">
        <f t="shared" si="18"/>
        <v>0</v>
      </c>
      <c r="H79" s="74">
        <f t="shared" si="18"/>
        <v>0</v>
      </c>
      <c r="I79" s="74">
        <f t="shared" si="18"/>
        <v>0</v>
      </c>
      <c r="J79" s="74">
        <f t="shared" si="18"/>
        <v>0</v>
      </c>
      <c r="K79" s="74">
        <f t="shared" si="18"/>
        <v>8102</v>
      </c>
      <c r="L79" s="74">
        <f t="shared" si="18"/>
        <v>71070</v>
      </c>
      <c r="M79" s="139">
        <f t="shared" si="18"/>
        <v>0</v>
      </c>
      <c r="N79" s="75">
        <f>SUM(E79:L79)</f>
        <v>231857</v>
      </c>
    </row>
    <row r="80" spans="1:15" s="133" customFormat="1" ht="21.75" customHeight="1">
      <c r="A80" s="226">
        <v>73</v>
      </c>
      <c r="B80" s="134">
        <v>8</v>
      </c>
      <c r="C80" s="135"/>
      <c r="D80" s="1638" t="s">
        <v>836</v>
      </c>
      <c r="E80" s="1638">
        <v>62730</v>
      </c>
      <c r="F80" s="1638"/>
      <c r="G80" s="1638"/>
      <c r="H80" s="136"/>
      <c r="I80" s="136"/>
      <c r="J80" s="136"/>
      <c r="K80" s="136"/>
      <c r="L80" s="136"/>
      <c r="M80" s="137"/>
      <c r="N80" s="111"/>
      <c r="O80" s="133">
        <f>(SUM(E80:L80))-N80</f>
        <v>62730</v>
      </c>
    </row>
    <row r="81" spans="1:14" s="843" customFormat="1" ht="15">
      <c r="A81" s="226">
        <v>74</v>
      </c>
      <c r="B81" s="837"/>
      <c r="C81" s="838"/>
      <c r="D81" s="839" t="s">
        <v>403</v>
      </c>
      <c r="E81" s="840">
        <v>62730</v>
      </c>
      <c r="F81" s="840"/>
      <c r="G81" s="840"/>
      <c r="H81" s="840"/>
      <c r="I81" s="840"/>
      <c r="J81" s="840"/>
      <c r="K81" s="840"/>
      <c r="L81" s="840">
        <v>344137</v>
      </c>
      <c r="M81" s="841">
        <v>229231</v>
      </c>
      <c r="N81" s="842">
        <f t="shared" si="17"/>
        <v>406867</v>
      </c>
    </row>
    <row r="82" spans="1:14" ht="15">
      <c r="A82" s="226">
        <v>75</v>
      </c>
      <c r="B82" s="73"/>
      <c r="C82" s="76"/>
      <c r="D82" s="77" t="s">
        <v>957</v>
      </c>
      <c r="E82" s="136">
        <v>62730</v>
      </c>
      <c r="F82" s="136">
        <v>6472</v>
      </c>
      <c r="G82" s="136"/>
      <c r="H82" s="136"/>
      <c r="I82" s="136"/>
      <c r="J82" s="136"/>
      <c r="K82" s="136">
        <v>2124</v>
      </c>
      <c r="L82" s="136">
        <v>387371</v>
      </c>
      <c r="M82" s="137">
        <v>229231</v>
      </c>
      <c r="N82" s="306">
        <f t="shared" si="17"/>
        <v>458697</v>
      </c>
    </row>
    <row r="83" spans="1:14" s="131" customFormat="1" ht="15">
      <c r="A83" s="226">
        <v>76</v>
      </c>
      <c r="B83" s="132"/>
      <c r="C83" s="227"/>
      <c r="D83" s="140" t="s">
        <v>1074</v>
      </c>
      <c r="E83" s="72"/>
      <c r="F83" s="72"/>
      <c r="G83" s="72"/>
      <c r="H83" s="72"/>
      <c r="I83" s="72"/>
      <c r="J83" s="72"/>
      <c r="K83" s="72"/>
      <c r="L83" s="72">
        <v>1092</v>
      </c>
      <c r="M83" s="72"/>
      <c r="N83" s="307">
        <f t="shared" si="17"/>
        <v>1092</v>
      </c>
    </row>
    <row r="84" spans="1:14" s="131" customFormat="1" ht="15">
      <c r="A84" s="226">
        <v>77</v>
      </c>
      <c r="B84" s="132"/>
      <c r="C84" s="227"/>
      <c r="D84" s="140" t="s">
        <v>1129</v>
      </c>
      <c r="E84" s="72">
        <v>3270</v>
      </c>
      <c r="F84" s="72"/>
      <c r="G84" s="72"/>
      <c r="H84" s="72"/>
      <c r="I84" s="72"/>
      <c r="J84" s="72"/>
      <c r="K84" s="72"/>
      <c r="L84" s="72"/>
      <c r="M84" s="72"/>
      <c r="N84" s="307">
        <f t="shared" si="17"/>
        <v>3270</v>
      </c>
    </row>
    <row r="85" spans="1:14" s="4" customFormat="1" ht="15">
      <c r="A85" s="226">
        <v>78</v>
      </c>
      <c r="B85" s="1488"/>
      <c r="C85" s="1489"/>
      <c r="D85" s="138" t="s">
        <v>1067</v>
      </c>
      <c r="E85" s="74">
        <f aca="true" t="shared" si="19" ref="E85:N85">SUM(E82:E84)</f>
        <v>66000</v>
      </c>
      <c r="F85" s="74">
        <f t="shared" si="19"/>
        <v>6472</v>
      </c>
      <c r="G85" s="74">
        <f t="shared" si="19"/>
        <v>0</v>
      </c>
      <c r="H85" s="74">
        <f t="shared" si="19"/>
        <v>0</v>
      </c>
      <c r="I85" s="74">
        <f t="shared" si="19"/>
        <v>0</v>
      </c>
      <c r="J85" s="74">
        <f t="shared" si="19"/>
        <v>0</v>
      </c>
      <c r="K85" s="74">
        <f t="shared" si="19"/>
        <v>2124</v>
      </c>
      <c r="L85" s="74">
        <f t="shared" si="19"/>
        <v>388463</v>
      </c>
      <c r="M85" s="74">
        <f t="shared" si="19"/>
        <v>229231</v>
      </c>
      <c r="N85" s="75">
        <f t="shared" si="19"/>
        <v>463059</v>
      </c>
    </row>
    <row r="86" spans="1:14" s="133" customFormat="1" ht="15">
      <c r="A86" s="226">
        <v>79</v>
      </c>
      <c r="B86" s="134"/>
      <c r="C86" s="135">
        <v>1</v>
      </c>
      <c r="D86" s="1485" t="s">
        <v>857</v>
      </c>
      <c r="E86" s="136"/>
      <c r="F86" s="136"/>
      <c r="G86" s="136"/>
      <c r="H86" s="136"/>
      <c r="I86" s="136"/>
      <c r="J86" s="136"/>
      <c r="K86" s="136"/>
      <c r="L86" s="136"/>
      <c r="M86" s="137"/>
      <c r="N86" s="111"/>
    </row>
    <row r="87" spans="1:14" s="843" customFormat="1" ht="15">
      <c r="A87" s="226">
        <v>80</v>
      </c>
      <c r="B87" s="837"/>
      <c r="C87" s="838"/>
      <c r="D87" s="839" t="s">
        <v>403</v>
      </c>
      <c r="E87" s="840"/>
      <c r="F87" s="840">
        <v>1937</v>
      </c>
      <c r="G87" s="840"/>
      <c r="H87" s="840"/>
      <c r="I87" s="840"/>
      <c r="J87" s="840"/>
      <c r="K87" s="840"/>
      <c r="L87" s="840"/>
      <c r="M87" s="841"/>
      <c r="N87" s="842">
        <f aca="true" t="shared" si="20" ref="N87:N179">SUM(E87:L87)</f>
        <v>1937</v>
      </c>
    </row>
    <row r="88" spans="1:14" ht="15">
      <c r="A88" s="226">
        <v>81</v>
      </c>
      <c r="B88" s="73"/>
      <c r="C88" s="76"/>
      <c r="D88" s="77" t="s">
        <v>957</v>
      </c>
      <c r="E88" s="136"/>
      <c r="F88" s="136">
        <v>1452</v>
      </c>
      <c r="G88" s="136"/>
      <c r="H88" s="136"/>
      <c r="I88" s="136"/>
      <c r="J88" s="136"/>
      <c r="K88" s="136"/>
      <c r="L88" s="136"/>
      <c r="M88" s="137"/>
      <c r="N88" s="306">
        <f t="shared" si="20"/>
        <v>1452</v>
      </c>
    </row>
    <row r="89" spans="1:14" s="131" customFormat="1" ht="15">
      <c r="A89" s="226">
        <v>82</v>
      </c>
      <c r="B89" s="132"/>
      <c r="C89" s="227"/>
      <c r="D89" s="140" t="s">
        <v>405</v>
      </c>
      <c r="E89" s="72"/>
      <c r="F89" s="72"/>
      <c r="G89" s="72"/>
      <c r="H89" s="72"/>
      <c r="I89" s="72"/>
      <c r="J89" s="72"/>
      <c r="K89" s="72"/>
      <c r="L89" s="72"/>
      <c r="M89" s="72"/>
      <c r="N89" s="307">
        <f t="shared" si="20"/>
        <v>0</v>
      </c>
    </row>
    <row r="90" spans="1:14" s="4" customFormat="1" ht="15">
      <c r="A90" s="226">
        <v>83</v>
      </c>
      <c r="B90" s="1488"/>
      <c r="C90" s="1489"/>
      <c r="D90" s="138" t="s">
        <v>1067</v>
      </c>
      <c r="E90" s="74">
        <f>SUM(E88:E89)</f>
        <v>0</v>
      </c>
      <c r="F90" s="74">
        <f>SUM(F88:F89)</f>
        <v>1452</v>
      </c>
      <c r="G90" s="74">
        <f aca="true" t="shared" si="21" ref="G90:M90">SUM(G88:G89)</f>
        <v>0</v>
      </c>
      <c r="H90" s="74">
        <f t="shared" si="21"/>
        <v>0</v>
      </c>
      <c r="I90" s="74">
        <f t="shared" si="21"/>
        <v>0</v>
      </c>
      <c r="J90" s="74">
        <f t="shared" si="21"/>
        <v>0</v>
      </c>
      <c r="K90" s="74">
        <f t="shared" si="21"/>
        <v>0</v>
      </c>
      <c r="L90" s="74">
        <f t="shared" si="21"/>
        <v>0</v>
      </c>
      <c r="M90" s="139">
        <f t="shared" si="21"/>
        <v>0</v>
      </c>
      <c r="N90" s="111">
        <f t="shared" si="20"/>
        <v>1452</v>
      </c>
    </row>
    <row r="91" spans="1:15" s="133" customFormat="1" ht="21.75" customHeight="1">
      <c r="A91" s="226">
        <v>84</v>
      </c>
      <c r="B91" s="134">
        <v>9</v>
      </c>
      <c r="C91" s="135"/>
      <c r="D91" s="1637" t="s">
        <v>854</v>
      </c>
      <c r="E91" s="1637"/>
      <c r="F91" s="1637"/>
      <c r="G91" s="1637"/>
      <c r="H91" s="136"/>
      <c r="I91" s="136"/>
      <c r="J91" s="136"/>
      <c r="K91" s="136"/>
      <c r="L91" s="136"/>
      <c r="M91" s="137"/>
      <c r="N91" s="111"/>
      <c r="O91" s="133">
        <f>(SUM(E92:L92))-N91</f>
        <v>51889</v>
      </c>
    </row>
    <row r="92" spans="1:14" s="843" customFormat="1" ht="15">
      <c r="A92" s="226">
        <v>85</v>
      </c>
      <c r="B92" s="837"/>
      <c r="C92" s="838"/>
      <c r="D92" s="839" t="s">
        <v>403</v>
      </c>
      <c r="E92" s="840">
        <v>9804</v>
      </c>
      <c r="F92" s="840"/>
      <c r="G92" s="840"/>
      <c r="H92" s="840"/>
      <c r="I92" s="840"/>
      <c r="J92" s="840"/>
      <c r="K92" s="840"/>
      <c r="L92" s="840">
        <v>42085</v>
      </c>
      <c r="M92" s="841">
        <v>19800</v>
      </c>
      <c r="N92" s="842">
        <f t="shared" si="20"/>
        <v>51889</v>
      </c>
    </row>
    <row r="93" spans="1:14" ht="15">
      <c r="A93" s="226">
        <v>86</v>
      </c>
      <c r="B93" s="73"/>
      <c r="C93" s="76"/>
      <c r="D93" s="77" t="s">
        <v>957</v>
      </c>
      <c r="E93" s="136">
        <v>9804</v>
      </c>
      <c r="F93" s="136">
        <v>76</v>
      </c>
      <c r="G93" s="136"/>
      <c r="H93" s="136"/>
      <c r="I93" s="136"/>
      <c r="J93" s="136"/>
      <c r="K93" s="136">
        <v>5831</v>
      </c>
      <c r="L93" s="136">
        <v>50547</v>
      </c>
      <c r="M93" s="137">
        <v>19800</v>
      </c>
      <c r="N93" s="306">
        <f t="shared" si="20"/>
        <v>66258</v>
      </c>
    </row>
    <row r="94" spans="1:14" s="131" customFormat="1" ht="15">
      <c r="A94" s="226">
        <v>87</v>
      </c>
      <c r="B94" s="132"/>
      <c r="C94" s="227"/>
      <c r="D94" s="140" t="s">
        <v>1074</v>
      </c>
      <c r="E94" s="72"/>
      <c r="F94" s="72"/>
      <c r="G94" s="72"/>
      <c r="H94" s="72"/>
      <c r="I94" s="72"/>
      <c r="J94" s="72"/>
      <c r="K94" s="72"/>
      <c r="L94" s="72">
        <v>91</v>
      </c>
      <c r="M94" s="72"/>
      <c r="N94" s="307">
        <f t="shared" si="20"/>
        <v>91</v>
      </c>
    </row>
    <row r="95" spans="1:14" s="323" customFormat="1" ht="15">
      <c r="A95" s="226">
        <v>88</v>
      </c>
      <c r="B95" s="318"/>
      <c r="C95" s="319"/>
      <c r="D95" s="320" t="s">
        <v>1067</v>
      </c>
      <c r="E95" s="321">
        <f aca="true" t="shared" si="22" ref="E95:N95">SUM(E93:E94)</f>
        <v>9804</v>
      </c>
      <c r="F95" s="321">
        <f t="shared" si="22"/>
        <v>76</v>
      </c>
      <c r="G95" s="321">
        <f t="shared" si="22"/>
        <v>0</v>
      </c>
      <c r="H95" s="321">
        <f t="shared" si="22"/>
        <v>0</v>
      </c>
      <c r="I95" s="321">
        <f t="shared" si="22"/>
        <v>0</v>
      </c>
      <c r="J95" s="321">
        <f t="shared" si="22"/>
        <v>0</v>
      </c>
      <c r="K95" s="321">
        <f t="shared" si="22"/>
        <v>5831</v>
      </c>
      <c r="L95" s="321">
        <f t="shared" si="22"/>
        <v>50638</v>
      </c>
      <c r="M95" s="321">
        <f t="shared" si="22"/>
        <v>19800</v>
      </c>
      <c r="N95" s="110">
        <f t="shared" si="22"/>
        <v>66349</v>
      </c>
    </row>
    <row r="96" spans="1:14" s="133" customFormat="1" ht="15">
      <c r="A96" s="226">
        <v>89</v>
      </c>
      <c r="B96" s="134"/>
      <c r="C96" s="135">
        <v>1</v>
      </c>
      <c r="D96" s="1485" t="s">
        <v>857</v>
      </c>
      <c r="E96" s="136"/>
      <c r="F96" s="136"/>
      <c r="G96" s="136"/>
      <c r="H96" s="136"/>
      <c r="I96" s="136"/>
      <c r="J96" s="136"/>
      <c r="K96" s="136"/>
      <c r="L96" s="136"/>
      <c r="M96" s="137"/>
      <c r="N96" s="111"/>
    </row>
    <row r="97" spans="1:14" ht="15">
      <c r="A97" s="226">
        <v>90</v>
      </c>
      <c r="B97" s="73"/>
      <c r="C97" s="76"/>
      <c r="D97" s="77" t="s">
        <v>957</v>
      </c>
      <c r="E97" s="136"/>
      <c r="F97" s="136">
        <v>475</v>
      </c>
      <c r="G97" s="136"/>
      <c r="H97" s="136"/>
      <c r="I97" s="136"/>
      <c r="J97" s="136"/>
      <c r="K97" s="136"/>
      <c r="L97" s="136"/>
      <c r="M97" s="137"/>
      <c r="N97" s="306">
        <f>SUM(E97:M97)</f>
        <v>475</v>
      </c>
    </row>
    <row r="98" spans="1:14" s="131" customFormat="1" ht="15">
      <c r="A98" s="226">
        <v>91</v>
      </c>
      <c r="B98" s="132"/>
      <c r="C98" s="227"/>
      <c r="D98" s="140" t="s">
        <v>74</v>
      </c>
      <c r="E98" s="72"/>
      <c r="F98" s="72"/>
      <c r="G98" s="72"/>
      <c r="H98" s="72"/>
      <c r="I98" s="72"/>
      <c r="J98" s="72"/>
      <c r="K98" s="72"/>
      <c r="L98" s="72"/>
      <c r="M98" s="72"/>
      <c r="N98" s="307">
        <f>SUM(E98:M98)</f>
        <v>0</v>
      </c>
    </row>
    <row r="99" spans="1:14" s="323" customFormat="1" ht="21.75" customHeight="1">
      <c r="A99" s="1154">
        <v>92</v>
      </c>
      <c r="B99" s="318"/>
      <c r="C99" s="319"/>
      <c r="D99" s="320" t="s">
        <v>1067</v>
      </c>
      <c r="E99" s="321">
        <f>SUM(E97:E98)</f>
        <v>0</v>
      </c>
      <c r="F99" s="321">
        <f>SUM(F97:F98)</f>
        <v>475</v>
      </c>
      <c r="G99" s="321">
        <f aca="true" t="shared" si="23" ref="G99:M99">SUM(G97:G98)</f>
        <v>0</v>
      </c>
      <c r="H99" s="321">
        <f t="shared" si="23"/>
        <v>0</v>
      </c>
      <c r="I99" s="321">
        <f t="shared" si="23"/>
        <v>0</v>
      </c>
      <c r="J99" s="321">
        <f t="shared" si="23"/>
        <v>0</v>
      </c>
      <c r="K99" s="321">
        <f t="shared" si="23"/>
        <v>0</v>
      </c>
      <c r="L99" s="321">
        <f t="shared" si="23"/>
        <v>0</v>
      </c>
      <c r="M99" s="322">
        <f t="shared" si="23"/>
        <v>0</v>
      </c>
      <c r="N99" s="110">
        <f>SUM(E99:L99)</f>
        <v>475</v>
      </c>
    </row>
    <row r="100" spans="1:15" s="131" customFormat="1" ht="15">
      <c r="A100" s="226">
        <v>93</v>
      </c>
      <c r="B100" s="132"/>
      <c r="C100" s="308"/>
      <c r="D100" s="308" t="s">
        <v>837</v>
      </c>
      <c r="E100" s="308"/>
      <c r="F100" s="308"/>
      <c r="G100" s="308"/>
      <c r="H100" s="308"/>
      <c r="I100" s="308"/>
      <c r="J100" s="308"/>
      <c r="K100" s="308"/>
      <c r="L100" s="308"/>
      <c r="M100" s="308"/>
      <c r="N100" s="316"/>
      <c r="O100" s="79">
        <f>(SUM(E101:L101))-N100</f>
        <v>655996</v>
      </c>
    </row>
    <row r="101" spans="1:15" s="848" customFormat="1" ht="15">
      <c r="A101" s="226">
        <v>94</v>
      </c>
      <c r="B101" s="844"/>
      <c r="C101" s="845"/>
      <c r="D101" s="839" t="s">
        <v>403</v>
      </c>
      <c r="E101" s="846">
        <f aca="true" t="shared" si="24" ref="E101:M101">SUM(E92,E87,E81,E75)</f>
        <v>81536</v>
      </c>
      <c r="F101" s="846">
        <f t="shared" si="24"/>
        <v>145620</v>
      </c>
      <c r="G101" s="846">
        <f t="shared" si="24"/>
        <v>0</v>
      </c>
      <c r="H101" s="846">
        <f t="shared" si="24"/>
        <v>0</v>
      </c>
      <c r="I101" s="846">
        <f t="shared" si="24"/>
        <v>0</v>
      </c>
      <c r="J101" s="846">
        <f t="shared" si="24"/>
        <v>0</v>
      </c>
      <c r="K101" s="846">
        <f t="shared" si="24"/>
        <v>0</v>
      </c>
      <c r="L101" s="846">
        <f t="shared" si="24"/>
        <v>428840</v>
      </c>
      <c r="M101" s="845">
        <f t="shared" si="24"/>
        <v>249031</v>
      </c>
      <c r="N101" s="847">
        <f t="shared" si="20"/>
        <v>655996</v>
      </c>
      <c r="O101" s="843"/>
    </row>
    <row r="102" spans="1:15" s="131" customFormat="1" ht="15">
      <c r="A102" s="226">
        <v>95</v>
      </c>
      <c r="B102" s="132"/>
      <c r="C102" s="72"/>
      <c r="D102" s="77" t="s">
        <v>957</v>
      </c>
      <c r="E102" s="71">
        <f aca="true" t="shared" si="25" ref="E102:M102">SUM(E93,E88,E82,E76)+E97</f>
        <v>81536</v>
      </c>
      <c r="F102" s="71">
        <f t="shared" si="25"/>
        <v>152158</v>
      </c>
      <c r="G102" s="71">
        <f t="shared" si="25"/>
        <v>0</v>
      </c>
      <c r="H102" s="71">
        <f t="shared" si="25"/>
        <v>0</v>
      </c>
      <c r="I102" s="71">
        <f t="shared" si="25"/>
        <v>0</v>
      </c>
      <c r="J102" s="71">
        <f t="shared" si="25"/>
        <v>0</v>
      </c>
      <c r="K102" s="71">
        <f t="shared" si="25"/>
        <v>16057</v>
      </c>
      <c r="L102" s="71">
        <f t="shared" si="25"/>
        <v>509276</v>
      </c>
      <c r="M102" s="72">
        <f t="shared" si="25"/>
        <v>249031</v>
      </c>
      <c r="N102" s="78">
        <f t="shared" si="20"/>
        <v>759027</v>
      </c>
      <c r="O102" s="79"/>
    </row>
    <row r="103" spans="1:15" s="131" customFormat="1" ht="15">
      <c r="A103" s="226">
        <v>96</v>
      </c>
      <c r="B103" s="132"/>
      <c r="C103" s="72"/>
      <c r="D103" s="1507" t="s">
        <v>1201</v>
      </c>
      <c r="E103" s="72">
        <f>SUM(E94:E94,E89,E83:E83,E77:E77)+E84+E98+E78</f>
        <v>3270</v>
      </c>
      <c r="F103" s="72">
        <f aca="true" t="shared" si="26" ref="F103:M103">SUM(F94:F94,F89,F83:F83,F77:F77)+F84+F98+F78</f>
        <v>0</v>
      </c>
      <c r="G103" s="72">
        <f t="shared" si="26"/>
        <v>0</v>
      </c>
      <c r="H103" s="72">
        <f t="shared" si="26"/>
        <v>0</v>
      </c>
      <c r="I103" s="72">
        <f t="shared" si="26"/>
        <v>0</v>
      </c>
      <c r="J103" s="72">
        <f t="shared" si="26"/>
        <v>0</v>
      </c>
      <c r="K103" s="72">
        <f t="shared" si="26"/>
        <v>0</v>
      </c>
      <c r="L103" s="72">
        <f t="shared" si="26"/>
        <v>895</v>
      </c>
      <c r="M103" s="72">
        <f t="shared" si="26"/>
        <v>0</v>
      </c>
      <c r="N103" s="112">
        <f>SUM(E103:L103)</f>
        <v>4165</v>
      </c>
      <c r="O103" s="79"/>
    </row>
    <row r="104" spans="1:15" s="131" customFormat="1" ht="15">
      <c r="A104" s="226">
        <v>97</v>
      </c>
      <c r="B104" s="132"/>
      <c r="C104" s="309"/>
      <c r="D104" s="310" t="s">
        <v>1067</v>
      </c>
      <c r="E104" s="311">
        <f>SUM(E102:E103)</f>
        <v>84806</v>
      </c>
      <c r="F104" s="311">
        <f aca="true" t="shared" si="27" ref="F104:M104">SUM(F102:F103)</f>
        <v>152158</v>
      </c>
      <c r="G104" s="311">
        <f t="shared" si="27"/>
        <v>0</v>
      </c>
      <c r="H104" s="311">
        <f t="shared" si="27"/>
        <v>0</v>
      </c>
      <c r="I104" s="311">
        <f t="shared" si="27"/>
        <v>0</v>
      </c>
      <c r="J104" s="311">
        <f t="shared" si="27"/>
        <v>0</v>
      </c>
      <c r="K104" s="311">
        <f t="shared" si="27"/>
        <v>16057</v>
      </c>
      <c r="L104" s="311">
        <f t="shared" si="27"/>
        <v>510171</v>
      </c>
      <c r="M104" s="315">
        <f t="shared" si="27"/>
        <v>249031</v>
      </c>
      <c r="N104" s="317">
        <f t="shared" si="20"/>
        <v>763192</v>
      </c>
      <c r="O104" s="79"/>
    </row>
    <row r="105" spans="1:15" s="133" customFormat="1" ht="25.5" customHeight="1">
      <c r="A105" s="226">
        <v>98</v>
      </c>
      <c r="B105" s="134">
        <v>10</v>
      </c>
      <c r="C105" s="135"/>
      <c r="D105" s="130" t="s">
        <v>346</v>
      </c>
      <c r="E105" s="136"/>
      <c r="F105" s="136"/>
      <c r="G105" s="136"/>
      <c r="H105" s="136"/>
      <c r="I105" s="136"/>
      <c r="J105" s="136"/>
      <c r="K105" s="136"/>
      <c r="L105" s="136"/>
      <c r="M105" s="137"/>
      <c r="N105" s="111"/>
      <c r="O105" s="133">
        <f>(SUM(E106:L106))-N105</f>
        <v>162519</v>
      </c>
    </row>
    <row r="106" spans="1:14" s="843" customFormat="1" ht="15">
      <c r="A106" s="226">
        <v>99</v>
      </c>
      <c r="B106" s="837"/>
      <c r="C106" s="838"/>
      <c r="D106" s="839" t="s">
        <v>403</v>
      </c>
      <c r="E106" s="840">
        <v>36750</v>
      </c>
      <c r="F106" s="840"/>
      <c r="G106" s="840"/>
      <c r="H106" s="840"/>
      <c r="I106" s="840"/>
      <c r="J106" s="840"/>
      <c r="K106" s="840"/>
      <c r="L106" s="840">
        <v>125769</v>
      </c>
      <c r="M106" s="841"/>
      <c r="N106" s="842">
        <f t="shared" si="20"/>
        <v>162519</v>
      </c>
    </row>
    <row r="107" spans="1:14" ht="15">
      <c r="A107" s="226">
        <v>100</v>
      </c>
      <c r="B107" s="73"/>
      <c r="C107" s="76"/>
      <c r="D107" s="77" t="s">
        <v>957</v>
      </c>
      <c r="E107" s="136">
        <v>36750</v>
      </c>
      <c r="F107" s="136"/>
      <c r="G107" s="136"/>
      <c r="H107" s="136"/>
      <c r="I107" s="136"/>
      <c r="J107" s="136"/>
      <c r="K107" s="136">
        <v>51866</v>
      </c>
      <c r="L107" s="136">
        <v>140399</v>
      </c>
      <c r="M107" s="137"/>
      <c r="N107" s="306">
        <f t="shared" si="20"/>
        <v>229015</v>
      </c>
    </row>
    <row r="108" spans="1:14" s="131" customFormat="1" ht="15">
      <c r="A108" s="226">
        <v>101</v>
      </c>
      <c r="B108" s="132"/>
      <c r="C108" s="227"/>
      <c r="D108" s="140" t="s">
        <v>1074</v>
      </c>
      <c r="E108" s="72"/>
      <c r="F108" s="72"/>
      <c r="G108" s="72"/>
      <c r="H108" s="72"/>
      <c r="I108" s="72"/>
      <c r="J108" s="72"/>
      <c r="K108" s="72"/>
      <c r="L108" s="72">
        <v>139</v>
      </c>
      <c r="M108" s="72"/>
      <c r="N108" s="307">
        <f t="shared" si="20"/>
        <v>139</v>
      </c>
    </row>
    <row r="109" spans="1:14" s="131" customFormat="1" ht="15">
      <c r="A109" s="226">
        <v>102</v>
      </c>
      <c r="B109" s="132"/>
      <c r="C109" s="227"/>
      <c r="D109" s="140" t="s">
        <v>1075</v>
      </c>
      <c r="E109" s="72"/>
      <c r="F109" s="72"/>
      <c r="G109" s="72"/>
      <c r="H109" s="72"/>
      <c r="I109" s="72"/>
      <c r="J109" s="72"/>
      <c r="K109" s="72"/>
      <c r="L109" s="72">
        <v>1326</v>
      </c>
      <c r="M109" s="72"/>
      <c r="N109" s="307">
        <f t="shared" si="20"/>
        <v>1326</v>
      </c>
    </row>
    <row r="110" spans="1:14" s="131" customFormat="1" ht="15">
      <c r="A110" s="226">
        <v>103</v>
      </c>
      <c r="B110" s="132"/>
      <c r="C110" s="227"/>
      <c r="D110" s="140" t="s">
        <v>1194</v>
      </c>
      <c r="E110" s="72"/>
      <c r="F110" s="72"/>
      <c r="G110" s="72"/>
      <c r="H110" s="72"/>
      <c r="I110" s="72"/>
      <c r="J110" s="72"/>
      <c r="K110" s="72"/>
      <c r="L110" s="72">
        <v>280</v>
      </c>
      <c r="M110" s="72"/>
      <c r="N110" s="307">
        <f t="shared" si="20"/>
        <v>280</v>
      </c>
    </row>
    <row r="111" spans="1:14" s="131" customFormat="1" ht="15">
      <c r="A111" s="226">
        <v>104</v>
      </c>
      <c r="B111" s="132"/>
      <c r="C111" s="227"/>
      <c r="D111" s="140" t="s">
        <v>1143</v>
      </c>
      <c r="E111" s="72"/>
      <c r="F111" s="72"/>
      <c r="G111" s="72"/>
      <c r="H111" s="72"/>
      <c r="I111" s="72"/>
      <c r="J111" s="72"/>
      <c r="K111" s="72"/>
      <c r="L111" s="72">
        <v>-8800</v>
      </c>
      <c r="M111" s="72"/>
      <c r="N111" s="307">
        <f t="shared" si="20"/>
        <v>-8800</v>
      </c>
    </row>
    <row r="112" spans="1:14" s="4" customFormat="1" ht="15">
      <c r="A112" s="226">
        <v>105</v>
      </c>
      <c r="B112" s="1488"/>
      <c r="C112" s="1489"/>
      <c r="D112" s="138" t="s">
        <v>1067</v>
      </c>
      <c r="E112" s="74">
        <f aca="true" t="shared" si="28" ref="E112:N112">SUM(E107:E111)</f>
        <v>36750</v>
      </c>
      <c r="F112" s="74">
        <f t="shared" si="28"/>
        <v>0</v>
      </c>
      <c r="G112" s="74">
        <f t="shared" si="28"/>
        <v>0</v>
      </c>
      <c r="H112" s="74">
        <f t="shared" si="28"/>
        <v>0</v>
      </c>
      <c r="I112" s="74">
        <f t="shared" si="28"/>
        <v>0</v>
      </c>
      <c r="J112" s="74">
        <f t="shared" si="28"/>
        <v>0</v>
      </c>
      <c r="K112" s="74">
        <f t="shared" si="28"/>
        <v>51866</v>
      </c>
      <c r="L112" s="74">
        <f t="shared" si="28"/>
        <v>133344</v>
      </c>
      <c r="M112" s="74">
        <f t="shared" si="28"/>
        <v>0</v>
      </c>
      <c r="N112" s="75">
        <f t="shared" si="28"/>
        <v>221960</v>
      </c>
    </row>
    <row r="113" spans="1:14" s="133" customFormat="1" ht="24" customHeight="1">
      <c r="A113" s="226">
        <v>106</v>
      </c>
      <c r="B113" s="134"/>
      <c r="C113" s="135">
        <v>1</v>
      </c>
      <c r="D113" s="1637" t="s">
        <v>786</v>
      </c>
      <c r="E113" s="1637"/>
      <c r="F113" s="1637"/>
      <c r="G113" s="1637"/>
      <c r="H113" s="1637"/>
      <c r="I113" s="136"/>
      <c r="J113" s="136"/>
      <c r="K113" s="136"/>
      <c r="L113" s="136"/>
      <c r="M113" s="137"/>
      <c r="N113" s="111"/>
    </row>
    <row r="114" spans="1:14" s="843" customFormat="1" ht="15">
      <c r="A114" s="226">
        <v>107</v>
      </c>
      <c r="B114" s="837"/>
      <c r="C114" s="838"/>
      <c r="D114" s="839" t="s">
        <v>403</v>
      </c>
      <c r="E114" s="840"/>
      <c r="F114" s="840">
        <v>17664</v>
      </c>
      <c r="G114" s="840"/>
      <c r="H114" s="840"/>
      <c r="I114" s="840"/>
      <c r="J114" s="840"/>
      <c r="K114" s="840"/>
      <c r="L114" s="840"/>
      <c r="M114" s="841"/>
      <c r="N114" s="842">
        <f t="shared" si="20"/>
        <v>17664</v>
      </c>
    </row>
    <row r="115" spans="1:14" ht="15">
      <c r="A115" s="226">
        <v>108</v>
      </c>
      <c r="B115" s="73"/>
      <c r="C115" s="76"/>
      <c r="D115" s="77" t="s">
        <v>957</v>
      </c>
      <c r="E115" s="136"/>
      <c r="F115" s="136">
        <v>20164</v>
      </c>
      <c r="G115" s="136"/>
      <c r="H115" s="136"/>
      <c r="I115" s="136"/>
      <c r="J115" s="136"/>
      <c r="K115" s="136"/>
      <c r="L115" s="136"/>
      <c r="M115" s="137"/>
      <c r="N115" s="306">
        <f t="shared" si="20"/>
        <v>20164</v>
      </c>
    </row>
    <row r="116" spans="1:14" s="131" customFormat="1" ht="15">
      <c r="A116" s="226">
        <v>109</v>
      </c>
      <c r="B116" s="132"/>
      <c r="C116" s="227"/>
      <c r="D116" s="140" t="s">
        <v>405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307">
        <f t="shared" si="20"/>
        <v>0</v>
      </c>
    </row>
    <row r="117" spans="1:14" s="4" customFormat="1" ht="15">
      <c r="A117" s="226">
        <v>110</v>
      </c>
      <c r="B117" s="1488"/>
      <c r="C117" s="1489"/>
      <c r="D117" s="138" t="s">
        <v>1067</v>
      </c>
      <c r="E117" s="74">
        <f>SUM(E115:E116)</f>
        <v>0</v>
      </c>
      <c r="F117" s="74">
        <f>SUM(F115:F116)</f>
        <v>20164</v>
      </c>
      <c r="G117" s="74">
        <f aca="true" t="shared" si="29" ref="G117:M117">SUM(G115:G116)</f>
        <v>0</v>
      </c>
      <c r="H117" s="74">
        <f t="shared" si="29"/>
        <v>0</v>
      </c>
      <c r="I117" s="74">
        <f t="shared" si="29"/>
        <v>0</v>
      </c>
      <c r="J117" s="74">
        <f t="shared" si="29"/>
        <v>0</v>
      </c>
      <c r="K117" s="74">
        <f t="shared" si="29"/>
        <v>0</v>
      </c>
      <c r="L117" s="74">
        <f t="shared" si="29"/>
        <v>0</v>
      </c>
      <c r="M117" s="139">
        <f t="shared" si="29"/>
        <v>0</v>
      </c>
      <c r="N117" s="111">
        <f t="shared" si="20"/>
        <v>20164</v>
      </c>
    </row>
    <row r="118" spans="1:14" s="133" customFormat="1" ht="24" customHeight="1">
      <c r="A118" s="226">
        <v>111</v>
      </c>
      <c r="B118" s="134"/>
      <c r="C118" s="135">
        <v>2</v>
      </c>
      <c r="D118" s="1637" t="s">
        <v>462</v>
      </c>
      <c r="E118" s="1637"/>
      <c r="F118" s="1637"/>
      <c r="G118" s="1637"/>
      <c r="H118" s="1637"/>
      <c r="I118" s="136"/>
      <c r="J118" s="136"/>
      <c r="K118" s="136"/>
      <c r="L118" s="136"/>
      <c r="M118" s="137"/>
      <c r="N118" s="111"/>
    </row>
    <row r="119" spans="1:14" s="131" customFormat="1" ht="15">
      <c r="A119" s="226">
        <v>112</v>
      </c>
      <c r="B119" s="132"/>
      <c r="C119" s="227"/>
      <c r="D119" s="140" t="s">
        <v>74</v>
      </c>
      <c r="E119" s="72"/>
      <c r="F119" s="72">
        <v>4510</v>
      </c>
      <c r="G119" s="72"/>
      <c r="H119" s="72"/>
      <c r="I119" s="72"/>
      <c r="J119" s="72"/>
      <c r="K119" s="72"/>
      <c r="L119" s="72"/>
      <c r="M119" s="72"/>
      <c r="N119" s="307">
        <f>SUM(E119:M119)</f>
        <v>4510</v>
      </c>
    </row>
    <row r="120" spans="1:14" s="4" customFormat="1" ht="15">
      <c r="A120" s="226">
        <v>113</v>
      </c>
      <c r="B120" s="1488"/>
      <c r="C120" s="1489"/>
      <c r="D120" s="138" t="s">
        <v>1067</v>
      </c>
      <c r="E120" s="74"/>
      <c r="F120" s="74">
        <f>SUM(F119)</f>
        <v>4510</v>
      </c>
      <c r="G120" s="74">
        <f aca="true" t="shared" si="30" ref="G120:M120">SUM(G119)</f>
        <v>0</v>
      </c>
      <c r="H120" s="74">
        <f t="shared" si="30"/>
        <v>0</v>
      </c>
      <c r="I120" s="74">
        <f t="shared" si="30"/>
        <v>0</v>
      </c>
      <c r="J120" s="74">
        <f t="shared" si="30"/>
        <v>0</v>
      </c>
      <c r="K120" s="74">
        <f t="shared" si="30"/>
        <v>0</v>
      </c>
      <c r="L120" s="74">
        <f t="shared" si="30"/>
        <v>0</v>
      </c>
      <c r="M120" s="139">
        <f t="shared" si="30"/>
        <v>0</v>
      </c>
      <c r="N120" s="111">
        <f>SUM(N119)</f>
        <v>4510</v>
      </c>
    </row>
    <row r="121" spans="1:15" s="133" customFormat="1" ht="25.5" customHeight="1">
      <c r="A121" s="226">
        <v>114</v>
      </c>
      <c r="B121" s="134">
        <v>11</v>
      </c>
      <c r="C121" s="135"/>
      <c r="D121" s="130" t="s">
        <v>182</v>
      </c>
      <c r="E121" s="136"/>
      <c r="F121" s="136"/>
      <c r="G121" s="136"/>
      <c r="H121" s="136"/>
      <c r="I121" s="136"/>
      <c r="J121" s="136"/>
      <c r="K121" s="136"/>
      <c r="L121" s="136"/>
      <c r="M121" s="137"/>
      <c r="N121" s="111"/>
      <c r="O121" s="133">
        <f>(SUM(E122:L122))-N121</f>
        <v>75506</v>
      </c>
    </row>
    <row r="122" spans="1:14" s="843" customFormat="1" ht="15">
      <c r="A122" s="226">
        <v>115</v>
      </c>
      <c r="B122" s="837"/>
      <c r="C122" s="838"/>
      <c r="D122" s="839" t="s">
        <v>403</v>
      </c>
      <c r="E122" s="840">
        <v>9790</v>
      </c>
      <c r="F122" s="840">
        <v>1500</v>
      </c>
      <c r="G122" s="840"/>
      <c r="H122" s="840"/>
      <c r="I122" s="840"/>
      <c r="J122" s="840"/>
      <c r="K122" s="840"/>
      <c r="L122" s="840">
        <v>64216</v>
      </c>
      <c r="M122" s="841"/>
      <c r="N122" s="842">
        <f t="shared" si="20"/>
        <v>75506</v>
      </c>
    </row>
    <row r="123" spans="1:14" ht="15">
      <c r="A123" s="226">
        <v>116</v>
      </c>
      <c r="B123" s="73"/>
      <c r="C123" s="76"/>
      <c r="D123" s="77" t="s">
        <v>957</v>
      </c>
      <c r="E123" s="136">
        <v>10301</v>
      </c>
      <c r="F123" s="136">
        <v>4840</v>
      </c>
      <c r="G123" s="136">
        <v>308</v>
      </c>
      <c r="H123" s="136"/>
      <c r="I123" s="136"/>
      <c r="J123" s="136"/>
      <c r="K123" s="136">
        <v>386</v>
      </c>
      <c r="L123" s="136">
        <v>72273</v>
      </c>
      <c r="M123" s="137"/>
      <c r="N123" s="306">
        <f t="shared" si="20"/>
        <v>88108</v>
      </c>
    </row>
    <row r="124" spans="1:14" s="131" customFormat="1" ht="15">
      <c r="A124" s="226">
        <v>117</v>
      </c>
      <c r="B124" s="132"/>
      <c r="C124" s="227"/>
      <c r="D124" s="140" t="s">
        <v>1074</v>
      </c>
      <c r="E124" s="72"/>
      <c r="F124" s="72"/>
      <c r="G124" s="72"/>
      <c r="H124" s="72"/>
      <c r="I124" s="72"/>
      <c r="J124" s="72"/>
      <c r="K124" s="72"/>
      <c r="L124" s="72">
        <v>130</v>
      </c>
      <c r="M124" s="72"/>
      <c r="N124" s="307">
        <f t="shared" si="20"/>
        <v>130</v>
      </c>
    </row>
    <row r="125" spans="1:14" s="131" customFormat="1" ht="15">
      <c r="A125" s="226">
        <v>118</v>
      </c>
      <c r="B125" s="132"/>
      <c r="C125" s="227"/>
      <c r="D125" s="140" t="s">
        <v>1086</v>
      </c>
      <c r="E125" s="72"/>
      <c r="F125" s="72"/>
      <c r="G125" s="72"/>
      <c r="H125" s="72"/>
      <c r="I125" s="72"/>
      <c r="J125" s="72"/>
      <c r="K125" s="72"/>
      <c r="L125" s="72">
        <v>617</v>
      </c>
      <c r="M125" s="72"/>
      <c r="N125" s="307">
        <f t="shared" si="20"/>
        <v>617</v>
      </c>
    </row>
    <row r="126" spans="1:14" s="4" customFormat="1" ht="15">
      <c r="A126" s="226">
        <v>119</v>
      </c>
      <c r="B126" s="1488"/>
      <c r="C126" s="1489"/>
      <c r="D126" s="138" t="s">
        <v>1067</v>
      </c>
      <c r="E126" s="74">
        <f aca="true" t="shared" si="31" ref="E126:N126">SUM(E123:E125)</f>
        <v>10301</v>
      </c>
      <c r="F126" s="74">
        <f t="shared" si="31"/>
        <v>4840</v>
      </c>
      <c r="G126" s="74">
        <f t="shared" si="31"/>
        <v>308</v>
      </c>
      <c r="H126" s="74">
        <f t="shared" si="31"/>
        <v>0</v>
      </c>
      <c r="I126" s="74">
        <f t="shared" si="31"/>
        <v>0</v>
      </c>
      <c r="J126" s="74">
        <f t="shared" si="31"/>
        <v>0</v>
      </c>
      <c r="K126" s="74">
        <f t="shared" si="31"/>
        <v>386</v>
      </c>
      <c r="L126" s="74">
        <f t="shared" si="31"/>
        <v>73020</v>
      </c>
      <c r="M126" s="139">
        <f t="shared" si="31"/>
        <v>0</v>
      </c>
      <c r="N126" s="75">
        <f t="shared" si="31"/>
        <v>88855</v>
      </c>
    </row>
    <row r="127" spans="1:14" s="133" customFormat="1" ht="24" customHeight="1">
      <c r="A127" s="226">
        <v>120</v>
      </c>
      <c r="B127" s="134"/>
      <c r="C127" s="135">
        <v>1</v>
      </c>
      <c r="D127" s="1637" t="s">
        <v>786</v>
      </c>
      <c r="E127" s="1637"/>
      <c r="F127" s="1637"/>
      <c r="G127" s="1637"/>
      <c r="H127" s="1637"/>
      <c r="I127" s="136"/>
      <c r="J127" s="136"/>
      <c r="K127" s="136"/>
      <c r="L127" s="136"/>
      <c r="M127" s="137"/>
      <c r="N127" s="111"/>
    </row>
    <row r="128" spans="1:14" s="843" customFormat="1" ht="15">
      <c r="A128" s="226">
        <v>121</v>
      </c>
      <c r="B128" s="837"/>
      <c r="C128" s="838"/>
      <c r="D128" s="839" t="s">
        <v>403</v>
      </c>
      <c r="E128" s="840"/>
      <c r="F128" s="840">
        <v>9667</v>
      </c>
      <c r="G128" s="840"/>
      <c r="H128" s="840"/>
      <c r="I128" s="840"/>
      <c r="J128" s="840"/>
      <c r="K128" s="840"/>
      <c r="L128" s="840"/>
      <c r="M128" s="841"/>
      <c r="N128" s="842">
        <f t="shared" si="20"/>
        <v>9667</v>
      </c>
    </row>
    <row r="129" spans="1:14" ht="15">
      <c r="A129" s="226">
        <v>122</v>
      </c>
      <c r="B129" s="73"/>
      <c r="C129" s="76"/>
      <c r="D129" s="77" t="s">
        <v>957</v>
      </c>
      <c r="E129" s="136"/>
      <c r="F129" s="136">
        <v>9667</v>
      </c>
      <c r="G129" s="136"/>
      <c r="H129" s="136"/>
      <c r="I129" s="136"/>
      <c r="J129" s="136"/>
      <c r="K129" s="136"/>
      <c r="L129" s="136"/>
      <c r="M129" s="137"/>
      <c r="N129" s="306">
        <f t="shared" si="20"/>
        <v>9667</v>
      </c>
    </row>
    <row r="130" spans="1:14" s="131" customFormat="1" ht="15">
      <c r="A130" s="226">
        <v>123</v>
      </c>
      <c r="B130" s="132"/>
      <c r="C130" s="227"/>
      <c r="D130" s="140" t="s">
        <v>405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307">
        <f t="shared" si="20"/>
        <v>0</v>
      </c>
    </row>
    <row r="131" spans="1:14" s="323" customFormat="1" ht="15">
      <c r="A131" s="226">
        <v>124</v>
      </c>
      <c r="B131" s="318"/>
      <c r="C131" s="319"/>
      <c r="D131" s="320" t="s">
        <v>1067</v>
      </c>
      <c r="E131" s="321">
        <f>SUM(E129:E130)</f>
        <v>0</v>
      </c>
      <c r="F131" s="321">
        <f>SUM(F129:F130)</f>
        <v>9667</v>
      </c>
      <c r="G131" s="321">
        <f aca="true" t="shared" si="32" ref="G131:M131">SUM(G129:G130)</f>
        <v>0</v>
      </c>
      <c r="H131" s="321">
        <f t="shared" si="32"/>
        <v>0</v>
      </c>
      <c r="I131" s="321">
        <f t="shared" si="32"/>
        <v>0</v>
      </c>
      <c r="J131" s="321">
        <f t="shared" si="32"/>
        <v>0</v>
      </c>
      <c r="K131" s="321">
        <f t="shared" si="32"/>
        <v>0</v>
      </c>
      <c r="L131" s="321">
        <f t="shared" si="32"/>
        <v>0</v>
      </c>
      <c r="M131" s="322">
        <f t="shared" si="32"/>
        <v>0</v>
      </c>
      <c r="N131" s="110">
        <f t="shared" si="20"/>
        <v>9667</v>
      </c>
    </row>
    <row r="132" spans="1:15" s="133" customFormat="1" ht="25.5" customHeight="1">
      <c r="A132" s="226">
        <v>125</v>
      </c>
      <c r="B132" s="134">
        <v>12</v>
      </c>
      <c r="C132" s="135"/>
      <c r="D132" s="130" t="s">
        <v>852</v>
      </c>
      <c r="E132" s="136"/>
      <c r="F132" s="136"/>
      <c r="G132" s="136"/>
      <c r="H132" s="136"/>
      <c r="I132" s="136"/>
      <c r="J132" s="136"/>
      <c r="K132" s="136"/>
      <c r="L132" s="136"/>
      <c r="M132" s="137"/>
      <c r="N132" s="111"/>
      <c r="O132" s="133">
        <f>(SUM(E133:L133))-N132</f>
        <v>356202</v>
      </c>
    </row>
    <row r="133" spans="1:14" s="843" customFormat="1" ht="15">
      <c r="A133" s="226">
        <v>126</v>
      </c>
      <c r="B133" s="837"/>
      <c r="C133" s="838"/>
      <c r="D133" s="839" t="s">
        <v>403</v>
      </c>
      <c r="E133" s="840">
        <v>20200</v>
      </c>
      <c r="F133" s="840"/>
      <c r="G133" s="840"/>
      <c r="H133" s="840"/>
      <c r="I133" s="840"/>
      <c r="J133" s="840"/>
      <c r="K133" s="840"/>
      <c r="L133" s="840">
        <v>336002</v>
      </c>
      <c r="M133" s="841">
        <v>298838</v>
      </c>
      <c r="N133" s="842">
        <f t="shared" si="20"/>
        <v>356202</v>
      </c>
    </row>
    <row r="134" spans="1:14" ht="15">
      <c r="A134" s="226">
        <v>127</v>
      </c>
      <c r="B134" s="73"/>
      <c r="C134" s="76"/>
      <c r="D134" s="77" t="s">
        <v>957</v>
      </c>
      <c r="E134" s="136">
        <v>38950</v>
      </c>
      <c r="F134" s="136">
        <v>3545</v>
      </c>
      <c r="G134" s="136">
        <v>7067</v>
      </c>
      <c r="H134" s="136"/>
      <c r="I134" s="136"/>
      <c r="J134" s="136"/>
      <c r="K134" s="136">
        <v>7660</v>
      </c>
      <c r="L134" s="136">
        <v>341629</v>
      </c>
      <c r="M134" s="137">
        <v>298838</v>
      </c>
      <c r="N134" s="306">
        <f t="shared" si="20"/>
        <v>398851</v>
      </c>
    </row>
    <row r="135" spans="1:14" s="131" customFormat="1" ht="15">
      <c r="A135" s="226">
        <v>128</v>
      </c>
      <c r="B135" s="132"/>
      <c r="C135" s="227"/>
      <c r="D135" s="140" t="s">
        <v>1074</v>
      </c>
      <c r="E135" s="72"/>
      <c r="F135" s="72"/>
      <c r="G135" s="72"/>
      <c r="H135" s="72"/>
      <c r="I135" s="72"/>
      <c r="J135" s="72"/>
      <c r="K135" s="72"/>
      <c r="L135" s="72">
        <v>377</v>
      </c>
      <c r="M135" s="72"/>
      <c r="N135" s="307">
        <f t="shared" si="20"/>
        <v>377</v>
      </c>
    </row>
    <row r="136" spans="1:14" s="131" customFormat="1" ht="15">
      <c r="A136" s="226">
        <v>129</v>
      </c>
      <c r="B136" s="132"/>
      <c r="C136" s="227"/>
      <c r="D136" s="140" t="s">
        <v>1133</v>
      </c>
      <c r="E136" s="72"/>
      <c r="F136" s="72"/>
      <c r="G136" s="72"/>
      <c r="H136" s="72"/>
      <c r="I136" s="72"/>
      <c r="J136" s="72"/>
      <c r="K136" s="72"/>
      <c r="L136" s="72">
        <v>954</v>
      </c>
      <c r="M136" s="72"/>
      <c r="N136" s="307">
        <f t="shared" si="20"/>
        <v>954</v>
      </c>
    </row>
    <row r="137" spans="1:14" s="131" customFormat="1" ht="15">
      <c r="A137" s="226">
        <v>130</v>
      </c>
      <c r="B137" s="132"/>
      <c r="C137" s="227"/>
      <c r="D137" s="140" t="s">
        <v>1139</v>
      </c>
      <c r="E137" s="72"/>
      <c r="F137" s="72"/>
      <c r="G137" s="72">
        <v>999</v>
      </c>
      <c r="H137" s="72"/>
      <c r="I137" s="72"/>
      <c r="J137" s="72"/>
      <c r="K137" s="72"/>
      <c r="L137" s="72"/>
      <c r="M137" s="72"/>
      <c r="N137" s="307">
        <f t="shared" si="20"/>
        <v>999</v>
      </c>
    </row>
    <row r="138" spans="1:14" s="131" customFormat="1" ht="15">
      <c r="A138" s="226">
        <v>131</v>
      </c>
      <c r="B138" s="132"/>
      <c r="C138" s="227"/>
      <c r="D138" s="140" t="s">
        <v>1107</v>
      </c>
      <c r="E138" s="72">
        <v>921</v>
      </c>
      <c r="F138" s="72"/>
      <c r="G138" s="72"/>
      <c r="H138" s="72"/>
      <c r="I138" s="72"/>
      <c r="J138" s="72"/>
      <c r="K138" s="72"/>
      <c r="L138" s="72"/>
      <c r="M138" s="72"/>
      <c r="N138" s="307">
        <f t="shared" si="20"/>
        <v>921</v>
      </c>
    </row>
    <row r="139" spans="1:14" s="4" customFormat="1" ht="15">
      <c r="A139" s="226">
        <v>132</v>
      </c>
      <c r="B139" s="1488"/>
      <c r="C139" s="1489"/>
      <c r="D139" s="138" t="s">
        <v>1067</v>
      </c>
      <c r="E139" s="74">
        <f aca="true" t="shared" si="33" ref="E139:N139">SUM(E134:E138)</f>
        <v>39871</v>
      </c>
      <c r="F139" s="74">
        <f t="shared" si="33"/>
        <v>3545</v>
      </c>
      <c r="G139" s="74">
        <f t="shared" si="33"/>
        <v>8066</v>
      </c>
      <c r="H139" s="74">
        <f t="shared" si="33"/>
        <v>0</v>
      </c>
      <c r="I139" s="74">
        <f t="shared" si="33"/>
        <v>0</v>
      </c>
      <c r="J139" s="74">
        <f t="shared" si="33"/>
        <v>0</v>
      </c>
      <c r="K139" s="74">
        <f t="shared" si="33"/>
        <v>7660</v>
      </c>
      <c r="L139" s="74">
        <f t="shared" si="33"/>
        <v>342960</v>
      </c>
      <c r="M139" s="139">
        <f t="shared" si="33"/>
        <v>298838</v>
      </c>
      <c r="N139" s="75">
        <f t="shared" si="33"/>
        <v>402102</v>
      </c>
    </row>
    <row r="140" spans="1:14" s="133" customFormat="1" ht="24" customHeight="1">
      <c r="A140" s="226">
        <v>133</v>
      </c>
      <c r="B140" s="134"/>
      <c r="C140" s="135">
        <v>1</v>
      </c>
      <c r="D140" s="1637" t="s">
        <v>160</v>
      </c>
      <c r="E140" s="1637"/>
      <c r="F140" s="1637"/>
      <c r="G140" s="1637"/>
      <c r="H140" s="1637"/>
      <c r="I140" s="136"/>
      <c r="J140" s="136"/>
      <c r="K140" s="136"/>
      <c r="L140" s="136"/>
      <c r="M140" s="137"/>
      <c r="N140" s="111"/>
    </row>
    <row r="141" spans="1:14" s="843" customFormat="1" ht="15">
      <c r="A141" s="226">
        <v>134</v>
      </c>
      <c r="B141" s="837"/>
      <c r="C141" s="838"/>
      <c r="D141" s="839" t="s">
        <v>403</v>
      </c>
      <c r="E141" s="840"/>
      <c r="F141" s="840">
        <v>2683</v>
      </c>
      <c r="G141" s="840"/>
      <c r="H141" s="840"/>
      <c r="I141" s="840"/>
      <c r="J141" s="840"/>
      <c r="K141" s="840"/>
      <c r="L141" s="840"/>
      <c r="M141" s="841"/>
      <c r="N141" s="842">
        <f t="shared" si="20"/>
        <v>2683</v>
      </c>
    </row>
    <row r="142" spans="1:14" ht="15">
      <c r="A142" s="226">
        <v>135</v>
      </c>
      <c r="B142" s="73"/>
      <c r="C142" s="76"/>
      <c r="D142" s="77" t="s">
        <v>957</v>
      </c>
      <c r="E142" s="136"/>
      <c r="F142" s="136">
        <v>4250</v>
      </c>
      <c r="G142" s="136"/>
      <c r="H142" s="136"/>
      <c r="I142" s="136"/>
      <c r="J142" s="136"/>
      <c r="K142" s="136">
        <v>1015</v>
      </c>
      <c r="L142" s="136"/>
      <c r="M142" s="137"/>
      <c r="N142" s="306">
        <f t="shared" si="20"/>
        <v>5265</v>
      </c>
    </row>
    <row r="143" spans="1:14" s="131" customFormat="1" ht="15">
      <c r="A143" s="226">
        <v>136</v>
      </c>
      <c r="B143" s="132"/>
      <c r="C143" s="227"/>
      <c r="D143" s="140" t="s">
        <v>405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307">
        <f t="shared" si="20"/>
        <v>0</v>
      </c>
    </row>
    <row r="144" spans="1:14" s="4" customFormat="1" ht="15">
      <c r="A144" s="226">
        <v>137</v>
      </c>
      <c r="B144" s="1488"/>
      <c r="C144" s="1489"/>
      <c r="D144" s="138" t="s">
        <v>1067</v>
      </c>
      <c r="E144" s="74">
        <f>SUM(E142:E143)</f>
        <v>0</v>
      </c>
      <c r="F144" s="74">
        <f>SUM(F142:F143)</f>
        <v>4250</v>
      </c>
      <c r="G144" s="74">
        <f aca="true" t="shared" si="34" ref="G144:M144">SUM(G142:G143)</f>
        <v>0</v>
      </c>
      <c r="H144" s="74">
        <f t="shared" si="34"/>
        <v>0</v>
      </c>
      <c r="I144" s="74">
        <f t="shared" si="34"/>
        <v>0</v>
      </c>
      <c r="J144" s="74">
        <f t="shared" si="34"/>
        <v>0</v>
      </c>
      <c r="K144" s="74">
        <f t="shared" si="34"/>
        <v>1015</v>
      </c>
      <c r="L144" s="74">
        <f t="shared" si="34"/>
        <v>0</v>
      </c>
      <c r="M144" s="139">
        <f t="shared" si="34"/>
        <v>0</v>
      </c>
      <c r="N144" s="111">
        <f t="shared" si="20"/>
        <v>5265</v>
      </c>
    </row>
    <row r="145" spans="1:14" s="133" customFormat="1" ht="24" customHeight="1">
      <c r="A145" s="226">
        <v>138</v>
      </c>
      <c r="B145" s="134"/>
      <c r="C145" s="135">
        <v>2</v>
      </c>
      <c r="D145" s="1637" t="s">
        <v>857</v>
      </c>
      <c r="E145" s="1637"/>
      <c r="F145" s="1637"/>
      <c r="G145" s="1637"/>
      <c r="H145" s="1637"/>
      <c r="I145" s="136"/>
      <c r="J145" s="136"/>
      <c r="K145" s="136"/>
      <c r="L145" s="136"/>
      <c r="M145" s="137"/>
      <c r="N145" s="111"/>
    </row>
    <row r="146" spans="1:14" s="843" customFormat="1" ht="15">
      <c r="A146" s="226">
        <v>139</v>
      </c>
      <c r="B146" s="837"/>
      <c r="C146" s="838"/>
      <c r="D146" s="839" t="s">
        <v>403</v>
      </c>
      <c r="E146" s="840"/>
      <c r="F146" s="840">
        <v>4054</v>
      </c>
      <c r="G146" s="840"/>
      <c r="H146" s="840"/>
      <c r="I146" s="840"/>
      <c r="J146" s="840"/>
      <c r="K146" s="840"/>
      <c r="L146" s="840"/>
      <c r="M146" s="841"/>
      <c r="N146" s="842">
        <f t="shared" si="20"/>
        <v>4054</v>
      </c>
    </row>
    <row r="147" spans="1:14" ht="15">
      <c r="A147" s="226">
        <v>140</v>
      </c>
      <c r="B147" s="73"/>
      <c r="C147" s="76"/>
      <c r="D147" s="77" t="s">
        <v>957</v>
      </c>
      <c r="E147" s="136"/>
      <c r="F147" s="136">
        <v>7570</v>
      </c>
      <c r="G147" s="136"/>
      <c r="H147" s="136"/>
      <c r="I147" s="136"/>
      <c r="J147" s="136"/>
      <c r="K147" s="136"/>
      <c r="L147" s="136"/>
      <c r="M147" s="137"/>
      <c r="N147" s="306">
        <f t="shared" si="20"/>
        <v>7570</v>
      </c>
    </row>
    <row r="148" spans="1:14" s="131" customFormat="1" ht="15">
      <c r="A148" s="226">
        <v>141</v>
      </c>
      <c r="B148" s="132"/>
      <c r="C148" s="227"/>
      <c r="D148" s="140" t="s">
        <v>405</v>
      </c>
      <c r="E148" s="72"/>
      <c r="F148" s="72">
        <v>527</v>
      </c>
      <c r="G148" s="72"/>
      <c r="H148" s="72"/>
      <c r="I148" s="72"/>
      <c r="J148" s="72"/>
      <c r="K148" s="72"/>
      <c r="L148" s="72"/>
      <c r="M148" s="72"/>
      <c r="N148" s="307">
        <f t="shared" si="20"/>
        <v>527</v>
      </c>
    </row>
    <row r="149" spans="1:14" s="4" customFormat="1" ht="15">
      <c r="A149" s="226">
        <v>142</v>
      </c>
      <c r="B149" s="1488"/>
      <c r="C149" s="1489"/>
      <c r="D149" s="138" t="s">
        <v>1067</v>
      </c>
      <c r="E149" s="74">
        <f>SUM(E147:E148)</f>
        <v>0</v>
      </c>
      <c r="F149" s="74">
        <f>SUM(F147:F148)</f>
        <v>8097</v>
      </c>
      <c r="G149" s="74">
        <f aca="true" t="shared" si="35" ref="G149:M149">SUM(G147:G148)</f>
        <v>0</v>
      </c>
      <c r="H149" s="74">
        <f t="shared" si="35"/>
        <v>0</v>
      </c>
      <c r="I149" s="74">
        <f t="shared" si="35"/>
        <v>0</v>
      </c>
      <c r="J149" s="74">
        <f t="shared" si="35"/>
        <v>0</v>
      </c>
      <c r="K149" s="74">
        <f t="shared" si="35"/>
        <v>0</v>
      </c>
      <c r="L149" s="74">
        <f t="shared" si="35"/>
        <v>0</v>
      </c>
      <c r="M149" s="139">
        <f t="shared" si="35"/>
        <v>0</v>
      </c>
      <c r="N149" s="111">
        <f t="shared" si="20"/>
        <v>8097</v>
      </c>
    </row>
    <row r="150" spans="1:15" s="133" customFormat="1" ht="24" customHeight="1">
      <c r="A150" s="226">
        <v>143</v>
      </c>
      <c r="B150" s="134">
        <v>13</v>
      </c>
      <c r="C150" s="135"/>
      <c r="D150" s="130" t="s">
        <v>853</v>
      </c>
      <c r="E150" s="136"/>
      <c r="F150" s="136"/>
      <c r="G150" s="136"/>
      <c r="H150" s="136"/>
      <c r="I150" s="136"/>
      <c r="J150" s="136"/>
      <c r="K150" s="136"/>
      <c r="L150" s="136"/>
      <c r="M150" s="137"/>
      <c r="N150" s="75"/>
      <c r="O150" s="133">
        <f>(SUM(E151:L151))-N150</f>
        <v>237697</v>
      </c>
    </row>
    <row r="151" spans="1:14" s="843" customFormat="1" ht="15">
      <c r="A151" s="226">
        <v>144</v>
      </c>
      <c r="B151" s="837"/>
      <c r="C151" s="838"/>
      <c r="D151" s="839" t="s">
        <v>403</v>
      </c>
      <c r="E151" s="840">
        <v>99300</v>
      </c>
      <c r="F151" s="840">
        <v>12850</v>
      </c>
      <c r="G151" s="840"/>
      <c r="H151" s="840"/>
      <c r="I151" s="840"/>
      <c r="J151" s="840"/>
      <c r="K151" s="840"/>
      <c r="L151" s="840">
        <v>125547</v>
      </c>
      <c r="M151" s="841">
        <v>111500</v>
      </c>
      <c r="N151" s="842">
        <f t="shared" si="20"/>
        <v>237697</v>
      </c>
    </row>
    <row r="152" spans="1:14" ht="15">
      <c r="A152" s="226">
        <v>145</v>
      </c>
      <c r="B152" s="73"/>
      <c r="C152" s="76"/>
      <c r="D152" s="77" t="s">
        <v>957</v>
      </c>
      <c r="E152" s="136">
        <v>160475</v>
      </c>
      <c r="F152" s="136">
        <v>13612</v>
      </c>
      <c r="G152" s="136"/>
      <c r="H152" s="136"/>
      <c r="I152" s="136"/>
      <c r="J152" s="136"/>
      <c r="K152" s="136">
        <v>34548</v>
      </c>
      <c r="L152" s="136">
        <v>132021</v>
      </c>
      <c r="M152" s="137">
        <v>111500</v>
      </c>
      <c r="N152" s="306">
        <f t="shared" si="20"/>
        <v>340656</v>
      </c>
    </row>
    <row r="153" spans="1:14" s="131" customFormat="1" ht="15">
      <c r="A153" s="226">
        <v>146</v>
      </c>
      <c r="B153" s="132"/>
      <c r="C153" s="227"/>
      <c r="D153" s="140" t="s">
        <v>1074</v>
      </c>
      <c r="E153" s="72"/>
      <c r="F153" s="72"/>
      <c r="G153" s="72"/>
      <c r="H153" s="72"/>
      <c r="I153" s="72"/>
      <c r="J153" s="72"/>
      <c r="K153" s="72"/>
      <c r="L153" s="72">
        <v>261</v>
      </c>
      <c r="M153" s="72"/>
      <c r="N153" s="307">
        <f t="shared" si="20"/>
        <v>261</v>
      </c>
    </row>
    <row r="154" spans="1:14" s="131" customFormat="1" ht="15">
      <c r="A154" s="226">
        <v>147</v>
      </c>
      <c r="B154" s="132"/>
      <c r="C154" s="227"/>
      <c r="D154" s="140" t="s">
        <v>1142</v>
      </c>
      <c r="E154" s="72">
        <v>35000</v>
      </c>
      <c r="F154" s="72"/>
      <c r="G154" s="72"/>
      <c r="H154" s="72"/>
      <c r="I154" s="72"/>
      <c r="J154" s="72"/>
      <c r="K154" s="72"/>
      <c r="L154" s="72"/>
      <c r="M154" s="72"/>
      <c r="N154" s="307">
        <f t="shared" si="20"/>
        <v>35000</v>
      </c>
    </row>
    <row r="155" spans="1:14" s="4" customFormat="1" ht="15">
      <c r="A155" s="226">
        <v>148</v>
      </c>
      <c r="B155" s="1488"/>
      <c r="C155" s="1489"/>
      <c r="D155" s="138" t="s">
        <v>1067</v>
      </c>
      <c r="E155" s="74">
        <f aca="true" t="shared" si="36" ref="E155:N155">SUM(E152:E154)</f>
        <v>195475</v>
      </c>
      <c r="F155" s="74">
        <f t="shared" si="36"/>
        <v>13612</v>
      </c>
      <c r="G155" s="74">
        <f t="shared" si="36"/>
        <v>0</v>
      </c>
      <c r="H155" s="74">
        <f t="shared" si="36"/>
        <v>0</v>
      </c>
      <c r="I155" s="74">
        <f t="shared" si="36"/>
        <v>0</v>
      </c>
      <c r="J155" s="74">
        <f t="shared" si="36"/>
        <v>0</v>
      </c>
      <c r="K155" s="74">
        <f t="shared" si="36"/>
        <v>34548</v>
      </c>
      <c r="L155" s="74">
        <f t="shared" si="36"/>
        <v>132282</v>
      </c>
      <c r="M155" s="139">
        <f t="shared" si="36"/>
        <v>111500</v>
      </c>
      <c r="N155" s="75">
        <f t="shared" si="36"/>
        <v>375917</v>
      </c>
    </row>
    <row r="156" spans="1:14" s="133" customFormat="1" ht="15">
      <c r="A156" s="226">
        <v>149</v>
      </c>
      <c r="B156" s="134"/>
      <c r="C156" s="135">
        <v>1</v>
      </c>
      <c r="D156" s="1637" t="s">
        <v>161</v>
      </c>
      <c r="E156" s="1637"/>
      <c r="F156" s="1637"/>
      <c r="G156" s="1637"/>
      <c r="H156" s="1637"/>
      <c r="I156" s="136"/>
      <c r="J156" s="136"/>
      <c r="K156" s="136"/>
      <c r="L156" s="136"/>
      <c r="M156" s="137"/>
      <c r="N156" s="111"/>
    </row>
    <row r="157" spans="1:14" s="843" customFormat="1" ht="15">
      <c r="A157" s="226">
        <v>150</v>
      </c>
      <c r="B157" s="837"/>
      <c r="C157" s="838"/>
      <c r="D157" s="839" t="s">
        <v>403</v>
      </c>
      <c r="E157" s="840"/>
      <c r="F157" s="840">
        <v>10500</v>
      </c>
      <c r="G157" s="840"/>
      <c r="H157" s="840"/>
      <c r="I157" s="840"/>
      <c r="J157" s="840"/>
      <c r="K157" s="840"/>
      <c r="L157" s="840"/>
      <c r="M157" s="841"/>
      <c r="N157" s="842">
        <f t="shared" si="20"/>
        <v>10500</v>
      </c>
    </row>
    <row r="158" spans="1:14" ht="15">
      <c r="A158" s="226">
        <v>151</v>
      </c>
      <c r="B158" s="73"/>
      <c r="C158" s="76"/>
      <c r="D158" s="77" t="s">
        <v>957</v>
      </c>
      <c r="E158" s="136"/>
      <c r="F158" s="136">
        <v>12132</v>
      </c>
      <c r="G158" s="136"/>
      <c r="H158" s="136"/>
      <c r="I158" s="136"/>
      <c r="J158" s="136"/>
      <c r="K158" s="136">
        <v>1438</v>
      </c>
      <c r="L158" s="136"/>
      <c r="M158" s="137"/>
      <c r="N158" s="306">
        <f t="shared" si="20"/>
        <v>13570</v>
      </c>
    </row>
    <row r="159" spans="1:14" s="131" customFormat="1" ht="15">
      <c r="A159" s="226">
        <v>152</v>
      </c>
      <c r="B159" s="132"/>
      <c r="C159" s="227"/>
      <c r="D159" s="140" t="s">
        <v>405</v>
      </c>
      <c r="E159" s="72"/>
      <c r="F159" s="72"/>
      <c r="G159" s="72"/>
      <c r="H159" s="72"/>
      <c r="I159" s="72"/>
      <c r="J159" s="72"/>
      <c r="K159" s="72"/>
      <c r="L159" s="72"/>
      <c r="M159" s="72"/>
      <c r="N159" s="307">
        <f t="shared" si="20"/>
        <v>0</v>
      </c>
    </row>
    <row r="160" spans="1:14" s="4" customFormat="1" ht="15">
      <c r="A160" s="226">
        <v>153</v>
      </c>
      <c r="B160" s="1488"/>
      <c r="C160" s="1489"/>
      <c r="D160" s="138" t="s">
        <v>1067</v>
      </c>
      <c r="E160" s="74">
        <f>SUM(E158:E159)</f>
        <v>0</v>
      </c>
      <c r="F160" s="74">
        <f>SUM(F158:F159)</f>
        <v>12132</v>
      </c>
      <c r="G160" s="74">
        <f aca="true" t="shared" si="37" ref="G160:M160">SUM(G158:G159)</f>
        <v>0</v>
      </c>
      <c r="H160" s="74">
        <f t="shared" si="37"/>
        <v>0</v>
      </c>
      <c r="I160" s="74">
        <f t="shared" si="37"/>
        <v>0</v>
      </c>
      <c r="J160" s="74">
        <f t="shared" si="37"/>
        <v>0</v>
      </c>
      <c r="K160" s="74">
        <f t="shared" si="37"/>
        <v>1438</v>
      </c>
      <c r="L160" s="74">
        <f t="shared" si="37"/>
        <v>0</v>
      </c>
      <c r="M160" s="139">
        <f t="shared" si="37"/>
        <v>0</v>
      </c>
      <c r="N160" s="111">
        <f t="shared" si="20"/>
        <v>13570</v>
      </c>
    </row>
    <row r="161" spans="1:14" s="133" customFormat="1" ht="15">
      <c r="A161" s="226">
        <v>154</v>
      </c>
      <c r="B161" s="134"/>
      <c r="C161" s="135">
        <v>2</v>
      </c>
      <c r="D161" s="1637" t="s">
        <v>857</v>
      </c>
      <c r="E161" s="1637"/>
      <c r="F161" s="1637"/>
      <c r="G161" s="1637"/>
      <c r="H161" s="1637"/>
      <c r="I161" s="136"/>
      <c r="J161" s="136"/>
      <c r="K161" s="136"/>
      <c r="L161" s="136"/>
      <c r="M161" s="137"/>
      <c r="N161" s="111"/>
    </row>
    <row r="162" spans="1:14" s="843" customFormat="1" ht="15">
      <c r="A162" s="226">
        <v>155</v>
      </c>
      <c r="B162" s="837"/>
      <c r="C162" s="838"/>
      <c r="D162" s="839" t="s">
        <v>403</v>
      </c>
      <c r="E162" s="840"/>
      <c r="F162" s="840">
        <v>23403</v>
      </c>
      <c r="G162" s="840"/>
      <c r="H162" s="840"/>
      <c r="I162" s="840"/>
      <c r="J162" s="840"/>
      <c r="K162" s="840"/>
      <c r="L162" s="840"/>
      <c r="M162" s="841"/>
      <c r="N162" s="842">
        <f t="shared" si="20"/>
        <v>23403</v>
      </c>
    </row>
    <row r="163" spans="1:14" ht="15">
      <c r="A163" s="226">
        <v>156</v>
      </c>
      <c r="B163" s="73"/>
      <c r="C163" s="76"/>
      <c r="D163" s="77" t="s">
        <v>957</v>
      </c>
      <c r="E163" s="136"/>
      <c r="F163" s="136">
        <v>24603</v>
      </c>
      <c r="G163" s="136"/>
      <c r="H163" s="136"/>
      <c r="I163" s="136"/>
      <c r="J163" s="136"/>
      <c r="K163" s="136"/>
      <c r="L163" s="136"/>
      <c r="M163" s="137"/>
      <c r="N163" s="306">
        <f t="shared" si="20"/>
        <v>24603</v>
      </c>
    </row>
    <row r="164" spans="1:14" s="131" customFormat="1" ht="15">
      <c r="A164" s="226">
        <v>157</v>
      </c>
      <c r="B164" s="132"/>
      <c r="C164" s="227"/>
      <c r="D164" s="140" t="s">
        <v>405</v>
      </c>
      <c r="E164" s="72"/>
      <c r="F164" s="72">
        <v>7000</v>
      </c>
      <c r="G164" s="72"/>
      <c r="H164" s="72"/>
      <c r="I164" s="72"/>
      <c r="J164" s="72"/>
      <c r="K164" s="72"/>
      <c r="L164" s="72"/>
      <c r="M164" s="72"/>
      <c r="N164" s="307">
        <f t="shared" si="20"/>
        <v>7000</v>
      </c>
    </row>
    <row r="165" spans="1:14" s="4" customFormat="1" ht="15">
      <c r="A165" s="226">
        <v>158</v>
      </c>
      <c r="B165" s="1488"/>
      <c r="C165" s="1489"/>
      <c r="D165" s="138" t="s">
        <v>1067</v>
      </c>
      <c r="E165" s="74">
        <f>SUM(E163:E164)</f>
        <v>0</v>
      </c>
      <c r="F165" s="74">
        <f>SUM(F163:F164)</f>
        <v>31603</v>
      </c>
      <c r="G165" s="74">
        <f aca="true" t="shared" si="38" ref="G165:M165">SUM(G163:G164)</f>
        <v>0</v>
      </c>
      <c r="H165" s="74">
        <f t="shared" si="38"/>
        <v>0</v>
      </c>
      <c r="I165" s="74">
        <f t="shared" si="38"/>
        <v>0</v>
      </c>
      <c r="J165" s="74">
        <f t="shared" si="38"/>
        <v>0</v>
      </c>
      <c r="K165" s="74">
        <f t="shared" si="38"/>
        <v>0</v>
      </c>
      <c r="L165" s="74">
        <f t="shared" si="38"/>
        <v>0</v>
      </c>
      <c r="M165" s="139">
        <f t="shared" si="38"/>
        <v>0</v>
      </c>
      <c r="N165" s="111">
        <f t="shared" si="20"/>
        <v>31603</v>
      </c>
    </row>
    <row r="166" spans="1:15" s="133" customFormat="1" ht="24" customHeight="1">
      <c r="A166" s="226">
        <v>159</v>
      </c>
      <c r="B166" s="134">
        <v>14</v>
      </c>
      <c r="C166" s="135"/>
      <c r="D166" s="1637" t="s">
        <v>183</v>
      </c>
      <c r="E166" s="1637"/>
      <c r="F166" s="1637"/>
      <c r="G166" s="136"/>
      <c r="H166" s="136"/>
      <c r="I166" s="136"/>
      <c r="J166" s="136"/>
      <c r="K166" s="136"/>
      <c r="L166" s="136"/>
      <c r="M166" s="137"/>
      <c r="N166" s="75"/>
      <c r="O166" s="133">
        <f>(SUM(E167:L167))-N166</f>
        <v>80499</v>
      </c>
    </row>
    <row r="167" spans="1:14" s="843" customFormat="1" ht="15">
      <c r="A167" s="226">
        <v>160</v>
      </c>
      <c r="B167" s="837"/>
      <c r="C167" s="838"/>
      <c r="D167" s="839" t="s">
        <v>403</v>
      </c>
      <c r="E167" s="840">
        <v>24551</v>
      </c>
      <c r="F167" s="840"/>
      <c r="G167" s="840"/>
      <c r="H167" s="840"/>
      <c r="I167" s="840"/>
      <c r="J167" s="840"/>
      <c r="K167" s="840"/>
      <c r="L167" s="840">
        <v>55948</v>
      </c>
      <c r="M167" s="841">
        <v>43505</v>
      </c>
      <c r="N167" s="842">
        <f t="shared" si="20"/>
        <v>80499</v>
      </c>
    </row>
    <row r="168" spans="1:14" ht="15">
      <c r="A168" s="226">
        <v>161</v>
      </c>
      <c r="B168" s="73"/>
      <c r="C168" s="76"/>
      <c r="D168" s="77" t="s">
        <v>957</v>
      </c>
      <c r="E168" s="136">
        <v>24551</v>
      </c>
      <c r="F168" s="136"/>
      <c r="G168" s="136"/>
      <c r="H168" s="136"/>
      <c r="I168" s="136"/>
      <c r="J168" s="136"/>
      <c r="K168" s="136">
        <v>6419</v>
      </c>
      <c r="L168" s="136">
        <v>58342</v>
      </c>
      <c r="M168" s="137">
        <v>43505</v>
      </c>
      <c r="N168" s="306">
        <f t="shared" si="20"/>
        <v>89312</v>
      </c>
    </row>
    <row r="169" spans="1:14" s="131" customFormat="1" ht="15">
      <c r="A169" s="226">
        <v>162</v>
      </c>
      <c r="B169" s="132"/>
      <c r="C169" s="227"/>
      <c r="D169" s="140" t="s">
        <v>1074</v>
      </c>
      <c r="E169" s="72"/>
      <c r="F169" s="72"/>
      <c r="G169" s="72"/>
      <c r="H169" s="72"/>
      <c r="I169" s="72"/>
      <c r="J169" s="72"/>
      <c r="K169" s="72"/>
      <c r="L169" s="72">
        <v>72</v>
      </c>
      <c r="M169" s="72"/>
      <c r="N169" s="307">
        <f t="shared" si="20"/>
        <v>72</v>
      </c>
    </row>
    <row r="170" spans="1:14" s="131" customFormat="1" ht="15">
      <c r="A170" s="226">
        <v>163</v>
      </c>
      <c r="B170" s="132"/>
      <c r="C170" s="227"/>
      <c r="D170" s="140" t="s">
        <v>1083</v>
      </c>
      <c r="E170" s="72"/>
      <c r="F170" s="72"/>
      <c r="G170" s="72"/>
      <c r="H170" s="72"/>
      <c r="I170" s="72"/>
      <c r="J170" s="72"/>
      <c r="K170" s="72"/>
      <c r="L170" s="72">
        <v>-79</v>
      </c>
      <c r="M170" s="72"/>
      <c r="N170" s="307">
        <f t="shared" si="20"/>
        <v>-79</v>
      </c>
    </row>
    <row r="171" spans="1:14" s="131" customFormat="1" ht="15">
      <c r="A171" s="226">
        <v>164</v>
      </c>
      <c r="B171" s="132"/>
      <c r="C171" s="227"/>
      <c r="D171" s="140" t="s">
        <v>1087</v>
      </c>
      <c r="E171" s="72"/>
      <c r="F171" s="72"/>
      <c r="G171" s="72"/>
      <c r="H171" s="72"/>
      <c r="I171" s="72"/>
      <c r="J171" s="72"/>
      <c r="K171" s="72"/>
      <c r="L171" s="72">
        <v>9500</v>
      </c>
      <c r="M171" s="72"/>
      <c r="N171" s="307">
        <f t="shared" si="20"/>
        <v>9500</v>
      </c>
    </row>
    <row r="172" spans="1:14" s="131" customFormat="1" ht="15">
      <c r="A172" s="226">
        <v>165</v>
      </c>
      <c r="B172" s="132"/>
      <c r="C172" s="227"/>
      <c r="D172" s="140" t="s">
        <v>1298</v>
      </c>
      <c r="E172" s="72"/>
      <c r="F172" s="72">
        <v>4750</v>
      </c>
      <c r="G172" s="72"/>
      <c r="H172" s="72"/>
      <c r="I172" s="72"/>
      <c r="J172" s="72"/>
      <c r="K172" s="72"/>
      <c r="L172" s="72"/>
      <c r="M172" s="72"/>
      <c r="N172" s="307">
        <f t="shared" si="20"/>
        <v>4750</v>
      </c>
    </row>
    <row r="173" spans="1:14" s="4" customFormat="1" ht="15">
      <c r="A173" s="226">
        <v>166</v>
      </c>
      <c r="B173" s="1488"/>
      <c r="C173" s="1489"/>
      <c r="D173" s="138" t="s">
        <v>1067</v>
      </c>
      <c r="E173" s="74">
        <f>SUM(E168:E172)</f>
        <v>24551</v>
      </c>
      <c r="F173" s="74">
        <f aca="true" t="shared" si="39" ref="F173:N173">SUM(F168:F172)</f>
        <v>4750</v>
      </c>
      <c r="G173" s="74">
        <f t="shared" si="39"/>
        <v>0</v>
      </c>
      <c r="H173" s="74">
        <f t="shared" si="39"/>
        <v>0</v>
      </c>
      <c r="I173" s="74">
        <f t="shared" si="39"/>
        <v>0</v>
      </c>
      <c r="J173" s="74">
        <f t="shared" si="39"/>
        <v>0</v>
      </c>
      <c r="K173" s="74">
        <f t="shared" si="39"/>
        <v>6419</v>
      </c>
      <c r="L173" s="74">
        <f t="shared" si="39"/>
        <v>67835</v>
      </c>
      <c r="M173" s="74">
        <f t="shared" si="39"/>
        <v>43505</v>
      </c>
      <c r="N173" s="75">
        <f t="shared" si="39"/>
        <v>103555</v>
      </c>
    </row>
    <row r="174" spans="1:14" s="133" customFormat="1" ht="21.75" customHeight="1">
      <c r="A174" s="226">
        <v>167</v>
      </c>
      <c r="B174" s="134"/>
      <c r="C174" s="135">
        <v>1</v>
      </c>
      <c r="D174" s="1637" t="s">
        <v>462</v>
      </c>
      <c r="E174" s="1637"/>
      <c r="F174" s="1637"/>
      <c r="G174" s="1637"/>
      <c r="H174" s="1637"/>
      <c r="I174" s="136"/>
      <c r="J174" s="136"/>
      <c r="K174" s="136"/>
      <c r="L174" s="136"/>
      <c r="M174" s="137"/>
      <c r="N174" s="111"/>
    </row>
    <row r="175" spans="1:15" s="131" customFormat="1" ht="15">
      <c r="A175" s="226">
        <v>168</v>
      </c>
      <c r="B175" s="132"/>
      <c r="C175" s="227"/>
      <c r="D175" s="140" t="s">
        <v>405</v>
      </c>
      <c r="E175" s="72"/>
      <c r="F175" s="72">
        <v>2050</v>
      </c>
      <c r="G175" s="72"/>
      <c r="H175" s="72"/>
      <c r="I175" s="72"/>
      <c r="J175" s="72"/>
      <c r="K175" s="72"/>
      <c r="L175" s="72"/>
      <c r="M175" s="72"/>
      <c r="N175" s="307">
        <f>SUM(E175:M175)</f>
        <v>2050</v>
      </c>
      <c r="O175" s="131">
        <f>SUM(F175:N175)</f>
        <v>4100</v>
      </c>
    </row>
    <row r="176" spans="1:14" s="4" customFormat="1" ht="15">
      <c r="A176" s="226">
        <v>169</v>
      </c>
      <c r="B176" s="1488"/>
      <c r="C176" s="1489"/>
      <c r="D176" s="138" t="s">
        <v>1067</v>
      </c>
      <c r="E176" s="74"/>
      <c r="F176" s="74">
        <f>SUM(F175)</f>
        <v>2050</v>
      </c>
      <c r="G176" s="74"/>
      <c r="H176" s="74"/>
      <c r="I176" s="74"/>
      <c r="J176" s="74"/>
      <c r="K176" s="74"/>
      <c r="L176" s="74"/>
      <c r="M176" s="74"/>
      <c r="N176" s="75">
        <f>SUM(E176:M176)</f>
        <v>2050</v>
      </c>
    </row>
    <row r="177" spans="1:14" s="133" customFormat="1" ht="21.75" customHeight="1">
      <c r="A177" s="226">
        <v>170</v>
      </c>
      <c r="B177" s="134"/>
      <c r="C177" s="135">
        <v>2</v>
      </c>
      <c r="D177" s="1637" t="s">
        <v>857</v>
      </c>
      <c r="E177" s="1637"/>
      <c r="F177" s="1637"/>
      <c r="G177" s="1637"/>
      <c r="H177" s="1637"/>
      <c r="I177" s="136"/>
      <c r="J177" s="136"/>
      <c r="K177" s="136"/>
      <c r="L177" s="136"/>
      <c r="M177" s="137"/>
      <c r="N177" s="111"/>
    </row>
    <row r="178" spans="1:14" s="843" customFormat="1" ht="15">
      <c r="A178" s="226">
        <v>171</v>
      </c>
      <c r="B178" s="837"/>
      <c r="C178" s="838"/>
      <c r="D178" s="839" t="s">
        <v>403</v>
      </c>
      <c r="E178" s="840"/>
      <c r="F178" s="840">
        <v>1350</v>
      </c>
      <c r="G178" s="840"/>
      <c r="H178" s="840"/>
      <c r="I178" s="840"/>
      <c r="J178" s="840"/>
      <c r="K178" s="840"/>
      <c r="L178" s="840"/>
      <c r="M178" s="841"/>
      <c r="N178" s="842">
        <f t="shared" si="20"/>
        <v>1350</v>
      </c>
    </row>
    <row r="179" spans="1:14" ht="15">
      <c r="A179" s="226">
        <v>172</v>
      </c>
      <c r="B179" s="73"/>
      <c r="C179" s="76"/>
      <c r="D179" s="77" t="s">
        <v>957</v>
      </c>
      <c r="E179" s="136"/>
      <c r="F179" s="136">
        <v>1350</v>
      </c>
      <c r="G179" s="136"/>
      <c r="H179" s="136"/>
      <c r="I179" s="136"/>
      <c r="J179" s="136"/>
      <c r="K179" s="136"/>
      <c r="L179" s="136"/>
      <c r="M179" s="137"/>
      <c r="N179" s="306">
        <f t="shared" si="20"/>
        <v>1350</v>
      </c>
    </row>
    <row r="180" spans="1:14" s="131" customFormat="1" ht="15">
      <c r="A180" s="226">
        <v>173</v>
      </c>
      <c r="B180" s="132"/>
      <c r="C180" s="227"/>
      <c r="D180" s="140" t="s">
        <v>405</v>
      </c>
      <c r="E180" s="72"/>
      <c r="F180" s="72">
        <v>1150</v>
      </c>
      <c r="G180" s="72"/>
      <c r="H180" s="72"/>
      <c r="I180" s="72"/>
      <c r="J180" s="72"/>
      <c r="K180" s="72"/>
      <c r="L180" s="72"/>
      <c r="M180" s="72"/>
      <c r="N180" s="307">
        <f aca="true" t="shared" si="40" ref="N180:N243">SUM(E180:L180)</f>
        <v>1150</v>
      </c>
    </row>
    <row r="181" spans="1:14" s="4" customFormat="1" ht="15">
      <c r="A181" s="226">
        <v>174</v>
      </c>
      <c r="B181" s="1488"/>
      <c r="C181" s="1489"/>
      <c r="D181" s="138" t="s">
        <v>1067</v>
      </c>
      <c r="E181" s="74">
        <f>SUM(E179:E180)</f>
        <v>0</v>
      </c>
      <c r="F181" s="74">
        <f>SUM(F179:F180)</f>
        <v>2500</v>
      </c>
      <c r="G181" s="74">
        <f aca="true" t="shared" si="41" ref="G181:M181">SUM(G179:G180)</f>
        <v>0</v>
      </c>
      <c r="H181" s="74">
        <f t="shared" si="41"/>
        <v>0</v>
      </c>
      <c r="I181" s="74">
        <f t="shared" si="41"/>
        <v>0</v>
      </c>
      <c r="J181" s="74">
        <f t="shared" si="41"/>
        <v>0</v>
      </c>
      <c r="K181" s="74">
        <f t="shared" si="41"/>
        <v>0</v>
      </c>
      <c r="L181" s="74">
        <f t="shared" si="41"/>
        <v>0</v>
      </c>
      <c r="M181" s="139">
        <f t="shared" si="41"/>
        <v>0</v>
      </c>
      <c r="N181" s="111">
        <f t="shared" si="40"/>
        <v>2500</v>
      </c>
    </row>
    <row r="182" spans="1:15" s="133" customFormat="1" ht="30" customHeight="1">
      <c r="A182" s="226">
        <v>175</v>
      </c>
      <c r="B182" s="134">
        <v>15</v>
      </c>
      <c r="C182" s="135"/>
      <c r="D182" s="130" t="s">
        <v>364</v>
      </c>
      <c r="E182" s="136"/>
      <c r="F182" s="136"/>
      <c r="G182" s="136"/>
      <c r="H182" s="136"/>
      <c r="I182" s="136"/>
      <c r="J182" s="136"/>
      <c r="K182" s="136"/>
      <c r="L182" s="136"/>
      <c r="M182" s="137"/>
      <c r="N182" s="75"/>
      <c r="O182" s="133">
        <f>(SUM(E183:L183))-N182</f>
        <v>697889</v>
      </c>
    </row>
    <row r="183" spans="1:14" s="843" customFormat="1" ht="15">
      <c r="A183" s="226">
        <v>176</v>
      </c>
      <c r="B183" s="837"/>
      <c r="C183" s="838"/>
      <c r="D183" s="839" t="s">
        <v>403</v>
      </c>
      <c r="E183" s="840">
        <v>231000</v>
      </c>
      <c r="F183" s="840">
        <v>12000</v>
      </c>
      <c r="G183" s="840">
        <v>80000</v>
      </c>
      <c r="H183" s="840"/>
      <c r="I183" s="840"/>
      <c r="J183" s="840"/>
      <c r="K183" s="840"/>
      <c r="L183" s="840">
        <v>374889</v>
      </c>
      <c r="M183" s="841">
        <v>248695</v>
      </c>
      <c r="N183" s="842">
        <f t="shared" si="40"/>
        <v>697889</v>
      </c>
    </row>
    <row r="184" spans="1:14" ht="15">
      <c r="A184" s="226">
        <v>177</v>
      </c>
      <c r="B184" s="73"/>
      <c r="C184" s="76"/>
      <c r="D184" s="77" t="s">
        <v>957</v>
      </c>
      <c r="E184" s="136">
        <v>215068</v>
      </c>
      <c r="F184" s="136">
        <v>12274</v>
      </c>
      <c r="G184" s="136">
        <v>88185</v>
      </c>
      <c r="H184" s="136"/>
      <c r="I184" s="136"/>
      <c r="J184" s="136"/>
      <c r="K184" s="136">
        <v>11033</v>
      </c>
      <c r="L184" s="136">
        <v>451860</v>
      </c>
      <c r="M184" s="137">
        <v>248695</v>
      </c>
      <c r="N184" s="306">
        <f t="shared" si="40"/>
        <v>778420</v>
      </c>
    </row>
    <row r="185" spans="1:14" s="131" customFormat="1" ht="15">
      <c r="A185" s="226">
        <v>178</v>
      </c>
      <c r="B185" s="132"/>
      <c r="C185" s="227"/>
      <c r="D185" s="140" t="s">
        <v>1074</v>
      </c>
      <c r="E185" s="72"/>
      <c r="F185" s="72"/>
      <c r="G185" s="72"/>
      <c r="H185" s="72"/>
      <c r="I185" s="72"/>
      <c r="J185" s="72"/>
      <c r="K185" s="72"/>
      <c r="L185" s="72">
        <v>321</v>
      </c>
      <c r="M185" s="72"/>
      <c r="N185" s="307">
        <f t="shared" si="40"/>
        <v>321</v>
      </c>
    </row>
    <row r="186" spans="1:14" s="131" customFormat="1" ht="15">
      <c r="A186" s="226">
        <v>179</v>
      </c>
      <c r="B186" s="132"/>
      <c r="C186" s="227"/>
      <c r="D186" s="140" t="s">
        <v>1179</v>
      </c>
      <c r="E186" s="72"/>
      <c r="F186" s="72"/>
      <c r="G186" s="72"/>
      <c r="H186" s="72"/>
      <c r="I186" s="72"/>
      <c r="J186" s="72"/>
      <c r="K186" s="72"/>
      <c r="L186" s="72">
        <v>3576</v>
      </c>
      <c r="M186" s="72"/>
      <c r="N186" s="307">
        <f t="shared" si="40"/>
        <v>3576</v>
      </c>
    </row>
    <row r="187" spans="1:14" s="4" customFormat="1" ht="15">
      <c r="A187" s="226">
        <v>180</v>
      </c>
      <c r="B187" s="1488"/>
      <c r="C187" s="1489"/>
      <c r="D187" s="138" t="s">
        <v>1067</v>
      </c>
      <c r="E187" s="74">
        <f aca="true" t="shared" si="42" ref="E187:N187">SUM(E184:E186)</f>
        <v>215068</v>
      </c>
      <c r="F187" s="74">
        <f t="shared" si="42"/>
        <v>12274</v>
      </c>
      <c r="G187" s="74">
        <f t="shared" si="42"/>
        <v>88185</v>
      </c>
      <c r="H187" s="74">
        <f t="shared" si="42"/>
        <v>0</v>
      </c>
      <c r="I187" s="74">
        <f t="shared" si="42"/>
        <v>0</v>
      </c>
      <c r="J187" s="74">
        <f t="shared" si="42"/>
        <v>0</v>
      </c>
      <c r="K187" s="74">
        <f t="shared" si="42"/>
        <v>11033</v>
      </c>
      <c r="L187" s="74">
        <f t="shared" si="42"/>
        <v>455757</v>
      </c>
      <c r="M187" s="139">
        <f t="shared" si="42"/>
        <v>248695</v>
      </c>
      <c r="N187" s="75">
        <f t="shared" si="42"/>
        <v>782317</v>
      </c>
    </row>
    <row r="188" spans="1:14" s="133" customFormat="1" ht="21.75" customHeight="1">
      <c r="A188" s="226">
        <v>181</v>
      </c>
      <c r="B188" s="134"/>
      <c r="C188" s="135">
        <v>1</v>
      </c>
      <c r="D188" s="1637" t="s">
        <v>857</v>
      </c>
      <c r="E188" s="1637"/>
      <c r="F188" s="1637"/>
      <c r="G188" s="1637"/>
      <c r="H188" s="1637"/>
      <c r="I188" s="136"/>
      <c r="J188" s="136"/>
      <c r="K188" s="136"/>
      <c r="L188" s="136"/>
      <c r="M188" s="137"/>
      <c r="N188" s="111"/>
    </row>
    <row r="189" spans="1:14" s="843" customFormat="1" ht="15">
      <c r="A189" s="226">
        <v>182</v>
      </c>
      <c r="B189" s="837"/>
      <c r="C189" s="838"/>
      <c r="D189" s="839" t="s">
        <v>403</v>
      </c>
      <c r="E189" s="840"/>
      <c r="F189" s="840">
        <v>1251</v>
      </c>
      <c r="G189" s="840"/>
      <c r="H189" s="840"/>
      <c r="I189" s="840"/>
      <c r="J189" s="840"/>
      <c r="K189" s="840"/>
      <c r="L189" s="840"/>
      <c r="M189" s="841"/>
      <c r="N189" s="842">
        <f t="shared" si="40"/>
        <v>1251</v>
      </c>
    </row>
    <row r="190" spans="1:14" ht="15">
      <c r="A190" s="226">
        <v>183</v>
      </c>
      <c r="B190" s="73"/>
      <c r="C190" s="76"/>
      <c r="D190" s="77" t="s">
        <v>957</v>
      </c>
      <c r="E190" s="136"/>
      <c r="F190" s="136">
        <v>2260</v>
      </c>
      <c r="G190" s="136"/>
      <c r="H190" s="136"/>
      <c r="I190" s="136"/>
      <c r="J190" s="136"/>
      <c r="K190" s="136"/>
      <c r="L190" s="136"/>
      <c r="M190" s="137"/>
      <c r="N190" s="306">
        <f t="shared" si="40"/>
        <v>2260</v>
      </c>
    </row>
    <row r="191" spans="1:14" s="131" customFormat="1" ht="15">
      <c r="A191" s="226">
        <v>184</v>
      </c>
      <c r="B191" s="132"/>
      <c r="C191" s="227"/>
      <c r="D191" s="140" t="s">
        <v>405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307">
        <f t="shared" si="40"/>
        <v>0</v>
      </c>
    </row>
    <row r="192" spans="1:14" s="323" customFormat="1" ht="30" customHeight="1">
      <c r="A192" s="1154">
        <v>185</v>
      </c>
      <c r="B192" s="318"/>
      <c r="C192" s="319"/>
      <c r="D192" s="320" t="s">
        <v>1067</v>
      </c>
      <c r="E192" s="321">
        <f>SUM(E190:E191)</f>
        <v>0</v>
      </c>
      <c r="F192" s="321">
        <f>SUM(F190:F191)</f>
        <v>2260</v>
      </c>
      <c r="G192" s="321">
        <f aca="true" t="shared" si="43" ref="G192:M192">SUM(G190:G191)</f>
        <v>0</v>
      </c>
      <c r="H192" s="321">
        <f t="shared" si="43"/>
        <v>0</v>
      </c>
      <c r="I192" s="321">
        <f t="shared" si="43"/>
        <v>0</v>
      </c>
      <c r="J192" s="321">
        <f t="shared" si="43"/>
        <v>0</v>
      </c>
      <c r="K192" s="321">
        <f t="shared" si="43"/>
        <v>0</v>
      </c>
      <c r="L192" s="321">
        <f t="shared" si="43"/>
        <v>0</v>
      </c>
      <c r="M192" s="322">
        <f t="shared" si="43"/>
        <v>0</v>
      </c>
      <c r="N192" s="110">
        <f t="shared" si="40"/>
        <v>2260</v>
      </c>
    </row>
    <row r="193" spans="1:15" s="131" customFormat="1" ht="19.5" customHeight="1">
      <c r="A193" s="1508">
        <v>186</v>
      </c>
      <c r="B193" s="132"/>
      <c r="C193" s="308"/>
      <c r="D193" s="308" t="s">
        <v>120</v>
      </c>
      <c r="E193" s="450"/>
      <c r="F193" s="450"/>
      <c r="G193" s="450"/>
      <c r="H193" s="450"/>
      <c r="I193" s="450"/>
      <c r="J193" s="450"/>
      <c r="K193" s="450"/>
      <c r="L193" s="450"/>
      <c r="M193" s="308"/>
      <c r="N193" s="316"/>
      <c r="O193" s="79">
        <f>(SUM(E194:L194))-N193</f>
        <v>1680884</v>
      </c>
    </row>
    <row r="194" spans="1:15" s="848" customFormat="1" ht="19.5" customHeight="1">
      <c r="A194" s="1508">
        <v>187</v>
      </c>
      <c r="B194" s="844"/>
      <c r="C194" s="845"/>
      <c r="D194" s="839" t="s">
        <v>403</v>
      </c>
      <c r="E194" s="846">
        <f aca="true" t="shared" si="44" ref="E194:M194">SUM(E189,E183,E178,E167,E162,E157,E151,E146,E141,E133,E128,E122,E114,E106)</f>
        <v>421591</v>
      </c>
      <c r="F194" s="846">
        <f t="shared" si="44"/>
        <v>96922</v>
      </c>
      <c r="G194" s="846">
        <f t="shared" si="44"/>
        <v>80000</v>
      </c>
      <c r="H194" s="846">
        <f t="shared" si="44"/>
        <v>0</v>
      </c>
      <c r="I194" s="846">
        <f t="shared" si="44"/>
        <v>0</v>
      </c>
      <c r="J194" s="846">
        <f t="shared" si="44"/>
        <v>0</v>
      </c>
      <c r="K194" s="846">
        <f t="shared" si="44"/>
        <v>0</v>
      </c>
      <c r="L194" s="846">
        <f t="shared" si="44"/>
        <v>1082371</v>
      </c>
      <c r="M194" s="845">
        <f t="shared" si="44"/>
        <v>702538</v>
      </c>
      <c r="N194" s="847">
        <f t="shared" si="40"/>
        <v>1680884</v>
      </c>
      <c r="O194" s="843"/>
    </row>
    <row r="195" spans="1:15" s="131" customFormat="1" ht="19.5" customHeight="1">
      <c r="A195" s="1508">
        <v>188</v>
      </c>
      <c r="B195" s="132"/>
      <c r="C195" s="72"/>
      <c r="D195" s="77" t="s">
        <v>957</v>
      </c>
      <c r="E195" s="71">
        <f aca="true" t="shared" si="45" ref="E195:M195">SUM(E190,E184,E179,E168,E163,E158,E152,E147,E142,E134,E129,E123,E115,E107)</f>
        <v>486095</v>
      </c>
      <c r="F195" s="71">
        <f t="shared" si="45"/>
        <v>116267</v>
      </c>
      <c r="G195" s="71">
        <f t="shared" si="45"/>
        <v>95560</v>
      </c>
      <c r="H195" s="71">
        <f t="shared" si="45"/>
        <v>0</v>
      </c>
      <c r="I195" s="71">
        <f t="shared" si="45"/>
        <v>0</v>
      </c>
      <c r="J195" s="71">
        <f t="shared" si="45"/>
        <v>0</v>
      </c>
      <c r="K195" s="71">
        <f t="shared" si="45"/>
        <v>114365</v>
      </c>
      <c r="L195" s="71">
        <f t="shared" si="45"/>
        <v>1196524</v>
      </c>
      <c r="M195" s="72">
        <f t="shared" si="45"/>
        <v>702538</v>
      </c>
      <c r="N195" s="78">
        <f>SUM(N190,N184,N179,N168,N163,N158,N152,N147,N142,N134,N129,N123,N115,N107)</f>
        <v>2008811</v>
      </c>
      <c r="O195" s="79"/>
    </row>
    <row r="196" spans="1:15" s="131" customFormat="1" ht="30">
      <c r="A196" s="1154">
        <v>189</v>
      </c>
      <c r="B196" s="132"/>
      <c r="C196" s="72"/>
      <c r="D196" s="724" t="s">
        <v>1202</v>
      </c>
      <c r="E196" s="72">
        <f>SUM(E191,E185:E185,E180,E169:E169,E164,E159,E153:E154,E148,E143,E135:E136,E130,E124:E124,E116,E108:E110)+E137+E125+E111+E186+E138+E170+E171+E172+E175+E119</f>
        <v>35921</v>
      </c>
      <c r="F196" s="72">
        <f aca="true" t="shared" si="46" ref="F196:M196">SUM(F191,F185:F185,F180,F169:F169,F164,F159,F153:F154,F148,F143,F135:F136,F130,F124:F124,F116,F108:F110)+F137+F125+F111+F186+F138+F170+F171+F172+F175+F119</f>
        <v>19987</v>
      </c>
      <c r="G196" s="72">
        <f t="shared" si="46"/>
        <v>999</v>
      </c>
      <c r="H196" s="72">
        <f t="shared" si="46"/>
        <v>0</v>
      </c>
      <c r="I196" s="72">
        <f t="shared" si="46"/>
        <v>0</v>
      </c>
      <c r="J196" s="72">
        <f t="shared" si="46"/>
        <v>0</v>
      </c>
      <c r="K196" s="72">
        <f t="shared" si="46"/>
        <v>0</v>
      </c>
      <c r="L196" s="72">
        <f t="shared" si="46"/>
        <v>8674</v>
      </c>
      <c r="M196" s="72">
        <f t="shared" si="46"/>
        <v>0</v>
      </c>
      <c r="N196" s="112">
        <f>SUM(E196:L196)</f>
        <v>65581</v>
      </c>
      <c r="O196" s="79"/>
    </row>
    <row r="197" spans="1:15" s="131" customFormat="1" ht="19.5" customHeight="1">
      <c r="A197" s="1508">
        <v>190</v>
      </c>
      <c r="B197" s="132"/>
      <c r="C197" s="309"/>
      <c r="D197" s="310" t="s">
        <v>1067</v>
      </c>
      <c r="E197" s="311">
        <f>SUM(E195:E196)</f>
        <v>522016</v>
      </c>
      <c r="F197" s="311">
        <f aca="true" t="shared" si="47" ref="F197:M197">SUM(F195:F196)</f>
        <v>136254</v>
      </c>
      <c r="G197" s="311">
        <f t="shared" si="47"/>
        <v>96559</v>
      </c>
      <c r="H197" s="311">
        <f t="shared" si="47"/>
        <v>0</v>
      </c>
      <c r="I197" s="311">
        <f t="shared" si="47"/>
        <v>0</v>
      </c>
      <c r="J197" s="311">
        <f t="shared" si="47"/>
        <v>0</v>
      </c>
      <c r="K197" s="311">
        <f t="shared" si="47"/>
        <v>114365</v>
      </c>
      <c r="L197" s="311">
        <f t="shared" si="47"/>
        <v>1205198</v>
      </c>
      <c r="M197" s="315">
        <f t="shared" si="47"/>
        <v>702538</v>
      </c>
      <c r="N197" s="317">
        <f t="shared" si="40"/>
        <v>2074392</v>
      </c>
      <c r="O197" s="79"/>
    </row>
    <row r="198" spans="1:15" s="326" customFormat="1" ht="21.75" customHeight="1">
      <c r="A198" s="226">
        <v>191</v>
      </c>
      <c r="B198" s="134">
        <v>16</v>
      </c>
      <c r="C198" s="135"/>
      <c r="D198" s="699" t="s">
        <v>851</v>
      </c>
      <c r="E198" s="137"/>
      <c r="F198" s="137"/>
      <c r="G198" s="137"/>
      <c r="H198" s="137"/>
      <c r="I198" s="137"/>
      <c r="J198" s="137"/>
      <c r="K198" s="137"/>
      <c r="L198" s="137"/>
      <c r="M198" s="137"/>
      <c r="N198" s="111"/>
      <c r="O198" s="326">
        <f>(SUM(E199:L199))-N198</f>
        <v>1021405</v>
      </c>
    </row>
    <row r="199" spans="1:14" s="843" customFormat="1" ht="15">
      <c r="A199" s="226">
        <v>192</v>
      </c>
      <c r="B199" s="837"/>
      <c r="C199" s="838"/>
      <c r="D199" s="839" t="s">
        <v>403</v>
      </c>
      <c r="E199" s="840">
        <v>250000</v>
      </c>
      <c r="F199" s="840"/>
      <c r="G199" s="840"/>
      <c r="H199" s="840"/>
      <c r="I199" s="840"/>
      <c r="J199" s="840"/>
      <c r="K199" s="840"/>
      <c r="L199" s="840">
        <v>771405</v>
      </c>
      <c r="M199" s="841">
        <v>184277</v>
      </c>
      <c r="N199" s="842">
        <f t="shared" si="40"/>
        <v>1021405</v>
      </c>
    </row>
    <row r="200" spans="1:14" ht="15">
      <c r="A200" s="226">
        <v>193</v>
      </c>
      <c r="B200" s="73"/>
      <c r="C200" s="76"/>
      <c r="D200" s="77" t="s">
        <v>957</v>
      </c>
      <c r="E200" s="136">
        <v>385000</v>
      </c>
      <c r="F200" s="136"/>
      <c r="G200" s="136"/>
      <c r="H200" s="136"/>
      <c r="I200" s="136"/>
      <c r="J200" s="136"/>
      <c r="K200" s="136">
        <v>2348</v>
      </c>
      <c r="L200" s="136">
        <v>791427</v>
      </c>
      <c r="M200" s="137">
        <v>184277</v>
      </c>
      <c r="N200" s="306">
        <f t="shared" si="40"/>
        <v>1178775</v>
      </c>
    </row>
    <row r="201" spans="1:14" s="131" customFormat="1" ht="15">
      <c r="A201" s="226">
        <v>194</v>
      </c>
      <c r="B201" s="132"/>
      <c r="C201" s="227"/>
      <c r="D201" s="140" t="s">
        <v>1074</v>
      </c>
      <c r="E201" s="72"/>
      <c r="F201" s="72"/>
      <c r="G201" s="72"/>
      <c r="H201" s="72"/>
      <c r="I201" s="72"/>
      <c r="J201" s="72"/>
      <c r="K201" s="72"/>
      <c r="L201" s="72">
        <v>683</v>
      </c>
      <c r="M201" s="72"/>
      <c r="N201" s="307">
        <f t="shared" si="40"/>
        <v>683</v>
      </c>
    </row>
    <row r="202" spans="1:14" s="131" customFormat="1" ht="15">
      <c r="A202" s="226">
        <v>195</v>
      </c>
      <c r="B202" s="132"/>
      <c r="C202" s="227"/>
      <c r="D202" s="140" t="s">
        <v>1087</v>
      </c>
      <c r="E202" s="72"/>
      <c r="F202" s="72"/>
      <c r="G202" s="72"/>
      <c r="H202" s="72"/>
      <c r="I202" s="72"/>
      <c r="J202" s="72"/>
      <c r="K202" s="72"/>
      <c r="L202" s="72">
        <v>-9500</v>
      </c>
      <c r="M202" s="72"/>
      <c r="N202" s="307">
        <f t="shared" si="40"/>
        <v>-9500</v>
      </c>
    </row>
    <row r="203" spans="1:14" s="323" customFormat="1" ht="25.5" customHeight="1" thickBot="1">
      <c r="A203" s="1154">
        <v>196</v>
      </c>
      <c r="B203" s="1364"/>
      <c r="C203" s="319"/>
      <c r="D203" s="320" t="s">
        <v>1067</v>
      </c>
      <c r="E203" s="321">
        <f aca="true" t="shared" si="48" ref="E203:N203">SUM(E200:E202)</f>
        <v>385000</v>
      </c>
      <c r="F203" s="321">
        <f t="shared" si="48"/>
        <v>0</v>
      </c>
      <c r="G203" s="321">
        <f t="shared" si="48"/>
        <v>0</v>
      </c>
      <c r="H203" s="321">
        <f t="shared" si="48"/>
        <v>0</v>
      </c>
      <c r="I203" s="321">
        <f t="shared" si="48"/>
        <v>0</v>
      </c>
      <c r="J203" s="321">
        <f t="shared" si="48"/>
        <v>0</v>
      </c>
      <c r="K203" s="321">
        <f t="shared" si="48"/>
        <v>2348</v>
      </c>
      <c r="L203" s="321">
        <f t="shared" si="48"/>
        <v>782610</v>
      </c>
      <c r="M203" s="321">
        <f t="shared" si="48"/>
        <v>184277</v>
      </c>
      <c r="N203" s="110">
        <f t="shared" si="48"/>
        <v>1169958</v>
      </c>
    </row>
    <row r="204" spans="1:15" s="133" customFormat="1" ht="15">
      <c r="A204" s="226">
        <v>197</v>
      </c>
      <c r="B204" s="873"/>
      <c r="C204" s="1648" t="s">
        <v>184</v>
      </c>
      <c r="D204" s="1648"/>
      <c r="E204" s="877"/>
      <c r="F204" s="877"/>
      <c r="G204" s="877"/>
      <c r="H204" s="877"/>
      <c r="I204" s="877"/>
      <c r="J204" s="877"/>
      <c r="K204" s="877"/>
      <c r="L204" s="877"/>
      <c r="M204" s="983"/>
      <c r="N204" s="878"/>
      <c r="O204" s="133">
        <f>(SUM(E205:L205))-N204</f>
        <v>4798951</v>
      </c>
    </row>
    <row r="205" spans="1:14" s="843" customFormat="1" ht="15">
      <c r="A205" s="226">
        <v>198</v>
      </c>
      <c r="B205" s="837"/>
      <c r="C205" s="849"/>
      <c r="D205" s="839" t="s">
        <v>403</v>
      </c>
      <c r="E205" s="846">
        <f aca="true" t="shared" si="49" ref="E205:M205">SUM(E70,E101,E194,E199)</f>
        <v>899595</v>
      </c>
      <c r="F205" s="846">
        <f t="shared" si="49"/>
        <v>249519</v>
      </c>
      <c r="G205" s="846">
        <f t="shared" si="49"/>
        <v>80000</v>
      </c>
      <c r="H205" s="846">
        <f t="shared" si="49"/>
        <v>0</v>
      </c>
      <c r="I205" s="846">
        <f t="shared" si="49"/>
        <v>0</v>
      </c>
      <c r="J205" s="846">
        <f t="shared" si="49"/>
        <v>0</v>
      </c>
      <c r="K205" s="846">
        <f t="shared" si="49"/>
        <v>0</v>
      </c>
      <c r="L205" s="846">
        <f t="shared" si="49"/>
        <v>3569837</v>
      </c>
      <c r="M205" s="845">
        <f t="shared" si="49"/>
        <v>2251280</v>
      </c>
      <c r="N205" s="847">
        <f t="shared" si="40"/>
        <v>4798951</v>
      </c>
    </row>
    <row r="206" spans="1:14" ht="15">
      <c r="A206" s="226">
        <v>199</v>
      </c>
      <c r="B206" s="73"/>
      <c r="C206" s="1487"/>
      <c r="D206" s="77" t="s">
        <v>957</v>
      </c>
      <c r="E206" s="71">
        <f aca="true" t="shared" si="50" ref="E206:N206">SUM(E200,E195,E102,E71)</f>
        <v>1099099</v>
      </c>
      <c r="F206" s="71">
        <f t="shared" si="50"/>
        <v>276440</v>
      </c>
      <c r="G206" s="71">
        <f t="shared" si="50"/>
        <v>95560</v>
      </c>
      <c r="H206" s="71">
        <f t="shared" si="50"/>
        <v>0</v>
      </c>
      <c r="I206" s="71">
        <f t="shared" si="50"/>
        <v>0</v>
      </c>
      <c r="J206" s="71">
        <f t="shared" si="50"/>
        <v>0</v>
      </c>
      <c r="K206" s="71">
        <f t="shared" si="50"/>
        <v>142701</v>
      </c>
      <c r="L206" s="71">
        <f t="shared" si="50"/>
        <v>3849339</v>
      </c>
      <c r="M206" s="72">
        <f t="shared" si="50"/>
        <v>2251280</v>
      </c>
      <c r="N206" s="78">
        <f t="shared" si="50"/>
        <v>5463139</v>
      </c>
    </row>
    <row r="207" spans="1:15" ht="30">
      <c r="A207" s="1154">
        <v>200</v>
      </c>
      <c r="B207" s="73"/>
      <c r="C207" s="1487"/>
      <c r="D207" s="724" t="s">
        <v>1202</v>
      </c>
      <c r="E207" s="72">
        <f>SUM(E201:E201,E196,E103,E72)+E202</f>
        <v>39891</v>
      </c>
      <c r="F207" s="72">
        <f aca="true" t="shared" si="51" ref="F207:M207">SUM(F201:F201,F196,F103,F72)+F202</f>
        <v>19987</v>
      </c>
      <c r="G207" s="72">
        <f t="shared" si="51"/>
        <v>999</v>
      </c>
      <c r="H207" s="72">
        <f t="shared" si="51"/>
        <v>0</v>
      </c>
      <c r="I207" s="72">
        <f t="shared" si="51"/>
        <v>0</v>
      </c>
      <c r="J207" s="72">
        <f t="shared" si="51"/>
        <v>0</v>
      </c>
      <c r="K207" s="72">
        <f t="shared" si="51"/>
        <v>0</v>
      </c>
      <c r="L207" s="72">
        <f t="shared" si="51"/>
        <v>1302</v>
      </c>
      <c r="M207" s="72">
        <f t="shared" si="51"/>
        <v>0</v>
      </c>
      <c r="N207" s="112">
        <f>SUM(E207:L207)</f>
        <v>62179</v>
      </c>
      <c r="O207" s="72" t="e">
        <f>SUM(O201:O201,O196,O103,O72)+#REF!+O202</f>
        <v>#REF!</v>
      </c>
    </row>
    <row r="208" spans="1:14" ht="15.75" thickBot="1">
      <c r="A208" s="226">
        <v>201</v>
      </c>
      <c r="B208" s="66"/>
      <c r="C208" s="1486"/>
      <c r="D208" s="313" t="s">
        <v>1067</v>
      </c>
      <c r="E208" s="3">
        <f>SUM(E206:E207)</f>
        <v>1138990</v>
      </c>
      <c r="F208" s="3">
        <f aca="true" t="shared" si="52" ref="F208:M208">SUM(F206:F207)</f>
        <v>296427</v>
      </c>
      <c r="G208" s="3">
        <f t="shared" si="52"/>
        <v>96559</v>
      </c>
      <c r="H208" s="3">
        <f t="shared" si="52"/>
        <v>0</v>
      </c>
      <c r="I208" s="3">
        <f t="shared" si="52"/>
        <v>0</v>
      </c>
      <c r="J208" s="3">
        <f t="shared" si="52"/>
        <v>0</v>
      </c>
      <c r="K208" s="3">
        <f t="shared" si="52"/>
        <v>142701</v>
      </c>
      <c r="L208" s="3">
        <f t="shared" si="52"/>
        <v>3850641</v>
      </c>
      <c r="M208" s="314">
        <f t="shared" si="52"/>
        <v>2251280</v>
      </c>
      <c r="N208" s="8">
        <f>SUM(E208:L208)</f>
        <v>5525318</v>
      </c>
    </row>
    <row r="209" spans="1:15" s="133" customFormat="1" ht="25.5" customHeight="1">
      <c r="A209" s="226">
        <v>202</v>
      </c>
      <c r="B209" s="134">
        <v>17</v>
      </c>
      <c r="C209" s="136"/>
      <c r="D209" s="1649" t="s">
        <v>855</v>
      </c>
      <c r="E209" s="1649"/>
      <c r="F209" s="1649"/>
      <c r="G209" s="136"/>
      <c r="H209" s="136"/>
      <c r="I209" s="136"/>
      <c r="J209" s="136"/>
      <c r="K209" s="136"/>
      <c r="L209" s="136"/>
      <c r="M209" s="137"/>
      <c r="N209" s="111"/>
      <c r="O209" s="133">
        <f>(SUM(E209:L209))-N209</f>
        <v>0</v>
      </c>
    </row>
    <row r="210" spans="1:14" s="843" customFormat="1" ht="15">
      <c r="A210" s="226">
        <v>203</v>
      </c>
      <c r="B210" s="837"/>
      <c r="C210" s="838"/>
      <c r="D210" s="839" t="s">
        <v>403</v>
      </c>
      <c r="E210" s="840"/>
      <c r="F210" s="840"/>
      <c r="G210" s="840"/>
      <c r="H210" s="840"/>
      <c r="I210" s="840"/>
      <c r="J210" s="840"/>
      <c r="K210" s="840"/>
      <c r="L210" s="840">
        <v>1319397</v>
      </c>
      <c r="M210" s="841"/>
      <c r="N210" s="842">
        <f t="shared" si="40"/>
        <v>1319397</v>
      </c>
    </row>
    <row r="211" spans="1:14" ht="15">
      <c r="A211" s="226">
        <v>204</v>
      </c>
      <c r="B211" s="73"/>
      <c r="C211" s="76"/>
      <c r="D211" s="77" t="s">
        <v>957</v>
      </c>
      <c r="E211" s="136">
        <v>2600</v>
      </c>
      <c r="F211" s="136"/>
      <c r="G211" s="136"/>
      <c r="H211" s="136"/>
      <c r="I211" s="136"/>
      <c r="J211" s="136"/>
      <c r="K211" s="136">
        <v>170702</v>
      </c>
      <c r="L211" s="136">
        <v>1261935</v>
      </c>
      <c r="M211" s="137"/>
      <c r="N211" s="306">
        <f t="shared" si="40"/>
        <v>1435237</v>
      </c>
    </row>
    <row r="212" spans="1:14" s="131" customFormat="1" ht="15">
      <c r="A212" s="226">
        <v>205</v>
      </c>
      <c r="B212" s="132"/>
      <c r="C212" s="227"/>
      <c r="D212" s="140" t="s">
        <v>1074</v>
      </c>
      <c r="E212" s="72"/>
      <c r="F212" s="72"/>
      <c r="G212" s="72"/>
      <c r="H212" s="72"/>
      <c r="I212" s="72"/>
      <c r="J212" s="72"/>
      <c r="K212" s="72"/>
      <c r="L212" s="72">
        <v>653</v>
      </c>
      <c r="M212" s="72"/>
      <c r="N212" s="307">
        <f t="shared" si="40"/>
        <v>653</v>
      </c>
    </row>
    <row r="213" spans="1:14" s="131" customFormat="1" ht="15">
      <c r="A213" s="226">
        <v>206</v>
      </c>
      <c r="B213" s="132"/>
      <c r="C213" s="227"/>
      <c r="D213" s="140" t="s">
        <v>1203</v>
      </c>
      <c r="E213" s="72"/>
      <c r="F213" s="72"/>
      <c r="G213" s="72"/>
      <c r="H213" s="72"/>
      <c r="I213" s="72"/>
      <c r="J213" s="72"/>
      <c r="K213" s="72"/>
      <c r="L213" s="72">
        <v>-1046</v>
      </c>
      <c r="M213" s="72"/>
      <c r="N213" s="307">
        <f t="shared" si="40"/>
        <v>-1046</v>
      </c>
    </row>
    <row r="214" spans="1:14" s="131" customFormat="1" ht="15">
      <c r="A214" s="226">
        <v>207</v>
      </c>
      <c r="B214" s="132"/>
      <c r="C214" s="227"/>
      <c r="D214" s="140" t="s">
        <v>1204</v>
      </c>
      <c r="E214" s="72"/>
      <c r="F214" s="72"/>
      <c r="G214" s="72"/>
      <c r="H214" s="72"/>
      <c r="I214" s="72"/>
      <c r="J214" s="72"/>
      <c r="K214" s="72"/>
      <c r="L214" s="72">
        <v>269</v>
      </c>
      <c r="M214" s="72"/>
      <c r="N214" s="307">
        <f t="shared" si="40"/>
        <v>269</v>
      </c>
    </row>
    <row r="215" spans="1:14" s="131" customFormat="1" ht="15">
      <c r="A215" s="226">
        <v>208</v>
      </c>
      <c r="B215" s="132"/>
      <c r="C215" s="227"/>
      <c r="D215" s="140" t="s">
        <v>1086</v>
      </c>
      <c r="E215" s="72">
        <v>611</v>
      </c>
      <c r="F215" s="72"/>
      <c r="G215" s="72"/>
      <c r="H215" s="72"/>
      <c r="I215" s="72"/>
      <c r="J215" s="72"/>
      <c r="K215" s="72"/>
      <c r="L215" s="72">
        <v>-611</v>
      </c>
      <c r="M215" s="72"/>
      <c r="N215" s="307">
        <f t="shared" si="40"/>
        <v>0</v>
      </c>
    </row>
    <row r="216" spans="1:14" s="4" customFormat="1" ht="15">
      <c r="A216" s="226">
        <v>209</v>
      </c>
      <c r="B216" s="1488"/>
      <c r="C216" s="1489"/>
      <c r="D216" s="138" t="s">
        <v>1067</v>
      </c>
      <c r="E216" s="74">
        <f>SUM(E211:E215)</f>
        <v>3211</v>
      </c>
      <c r="F216" s="74">
        <f aca="true" t="shared" si="53" ref="F216:N216">SUM(F211:F215)</f>
        <v>0</v>
      </c>
      <c r="G216" s="74">
        <f t="shared" si="53"/>
        <v>0</v>
      </c>
      <c r="H216" s="74">
        <f t="shared" si="53"/>
        <v>0</v>
      </c>
      <c r="I216" s="74">
        <f t="shared" si="53"/>
        <v>0</v>
      </c>
      <c r="J216" s="74">
        <f t="shared" si="53"/>
        <v>0</v>
      </c>
      <c r="K216" s="74">
        <f t="shared" si="53"/>
        <v>170702</v>
      </c>
      <c r="L216" s="74">
        <f t="shared" si="53"/>
        <v>1261200</v>
      </c>
      <c r="M216" s="74">
        <f t="shared" si="53"/>
        <v>0</v>
      </c>
      <c r="N216" s="75">
        <f t="shared" si="53"/>
        <v>1435113</v>
      </c>
    </row>
    <row r="217" spans="1:14" s="133" customFormat="1" ht="19.5" customHeight="1">
      <c r="A217" s="226">
        <v>210</v>
      </c>
      <c r="B217" s="134"/>
      <c r="C217" s="135"/>
      <c r="D217" s="1637" t="s">
        <v>239</v>
      </c>
      <c r="E217" s="1637"/>
      <c r="F217" s="1637"/>
      <c r="G217" s="1637"/>
      <c r="H217" s="1637"/>
      <c r="I217" s="1637"/>
      <c r="J217" s="1637"/>
      <c r="K217" s="1637"/>
      <c r="L217" s="1637"/>
      <c r="M217" s="1637"/>
      <c r="N217" s="1647"/>
    </row>
    <row r="218" spans="1:14" ht="15">
      <c r="A218" s="226">
        <v>211</v>
      </c>
      <c r="B218" s="73"/>
      <c r="C218" s="76"/>
      <c r="D218" s="77" t="s">
        <v>957</v>
      </c>
      <c r="E218" s="136"/>
      <c r="F218" s="136">
        <v>11250</v>
      </c>
      <c r="G218" s="136"/>
      <c r="H218" s="136"/>
      <c r="I218" s="136"/>
      <c r="J218" s="136"/>
      <c r="K218" s="136">
        <v>881</v>
      </c>
      <c r="L218" s="136"/>
      <c r="M218" s="137"/>
      <c r="N218" s="306">
        <f>SUM(E218:M218)</f>
        <v>12131</v>
      </c>
    </row>
    <row r="219" spans="1:14" s="131" customFormat="1" ht="15">
      <c r="A219" s="226">
        <v>212</v>
      </c>
      <c r="B219" s="132"/>
      <c r="C219" s="227"/>
      <c r="D219" s="140" t="s">
        <v>405</v>
      </c>
      <c r="E219" s="72"/>
      <c r="F219" s="72"/>
      <c r="G219" s="72"/>
      <c r="H219" s="72"/>
      <c r="I219" s="72"/>
      <c r="J219" s="72"/>
      <c r="K219" s="72"/>
      <c r="L219" s="72"/>
      <c r="M219" s="72"/>
      <c r="N219" s="307">
        <f>SUM(E219:M219)</f>
        <v>0</v>
      </c>
    </row>
    <row r="220" spans="1:14" s="323" customFormat="1" ht="15">
      <c r="A220" s="226">
        <v>213</v>
      </c>
      <c r="B220" s="318"/>
      <c r="C220" s="319"/>
      <c r="D220" s="138" t="s">
        <v>1067</v>
      </c>
      <c r="E220" s="321">
        <f>SUM(E218:E219)</f>
        <v>0</v>
      </c>
      <c r="F220" s="321">
        <f>SUM(F218:F219)</f>
        <v>11250</v>
      </c>
      <c r="G220" s="321">
        <f aca="true" t="shared" si="54" ref="G220:M220">SUM(G218:G219)</f>
        <v>0</v>
      </c>
      <c r="H220" s="321">
        <f t="shared" si="54"/>
        <v>0</v>
      </c>
      <c r="I220" s="321">
        <f t="shared" si="54"/>
        <v>0</v>
      </c>
      <c r="J220" s="321">
        <f t="shared" si="54"/>
        <v>0</v>
      </c>
      <c r="K220" s="321">
        <f t="shared" si="54"/>
        <v>881</v>
      </c>
      <c r="L220" s="321">
        <f t="shared" si="54"/>
        <v>0</v>
      </c>
      <c r="M220" s="322">
        <f t="shared" si="54"/>
        <v>0</v>
      </c>
      <c r="N220" s="111">
        <f>SUM(E220:M220)</f>
        <v>12131</v>
      </c>
    </row>
    <row r="221" spans="1:14" s="133" customFormat="1" ht="19.5" customHeight="1">
      <c r="A221" s="226">
        <v>214</v>
      </c>
      <c r="B221" s="134"/>
      <c r="C221" s="135"/>
      <c r="D221" s="1484" t="s">
        <v>924</v>
      </c>
      <c r="E221" s="136"/>
      <c r="F221" s="136"/>
      <c r="G221" s="136"/>
      <c r="H221" s="136"/>
      <c r="I221" s="136"/>
      <c r="J221" s="136"/>
      <c r="K221" s="136"/>
      <c r="L221" s="136"/>
      <c r="M221" s="137"/>
      <c r="N221" s="111"/>
    </row>
    <row r="222" spans="1:14" s="843" customFormat="1" ht="15">
      <c r="A222" s="226">
        <v>215</v>
      </c>
      <c r="B222" s="837"/>
      <c r="C222" s="838"/>
      <c r="D222" s="839" t="s">
        <v>403</v>
      </c>
      <c r="E222" s="840"/>
      <c r="F222" s="840">
        <v>9173</v>
      </c>
      <c r="G222" s="840"/>
      <c r="H222" s="840"/>
      <c r="I222" s="840"/>
      <c r="J222" s="840"/>
      <c r="K222" s="840"/>
      <c r="L222" s="840"/>
      <c r="M222" s="841"/>
      <c r="N222" s="842">
        <f t="shared" si="40"/>
        <v>9173</v>
      </c>
    </row>
    <row r="223" spans="1:14" ht="15">
      <c r="A223" s="226">
        <v>216</v>
      </c>
      <c r="B223" s="73"/>
      <c r="C223" s="76"/>
      <c r="D223" s="77" t="s">
        <v>957</v>
      </c>
      <c r="E223" s="136"/>
      <c r="F223" s="136">
        <v>11753</v>
      </c>
      <c r="G223" s="136"/>
      <c r="H223" s="136"/>
      <c r="I223" s="136"/>
      <c r="J223" s="136"/>
      <c r="K223" s="136"/>
      <c r="L223" s="136"/>
      <c r="M223" s="137"/>
      <c r="N223" s="306">
        <f t="shared" si="40"/>
        <v>11753</v>
      </c>
    </row>
    <row r="224" spans="1:14" s="131" customFormat="1" ht="15">
      <c r="A224" s="226">
        <v>217</v>
      </c>
      <c r="B224" s="132"/>
      <c r="C224" s="227"/>
      <c r="D224" s="140" t="s">
        <v>405</v>
      </c>
      <c r="E224" s="72"/>
      <c r="F224" s="72"/>
      <c r="G224" s="72"/>
      <c r="H224" s="72"/>
      <c r="I224" s="72"/>
      <c r="J224" s="72"/>
      <c r="K224" s="72"/>
      <c r="L224" s="72"/>
      <c r="M224" s="72"/>
      <c r="N224" s="307">
        <f t="shared" si="40"/>
        <v>0</v>
      </c>
    </row>
    <row r="225" spans="1:14" s="323" customFormat="1" ht="15">
      <c r="A225" s="226">
        <v>218</v>
      </c>
      <c r="B225" s="318"/>
      <c r="C225" s="319"/>
      <c r="D225" s="138" t="s">
        <v>1067</v>
      </c>
      <c r="E225" s="321">
        <f aca="true" t="shared" si="55" ref="E225:M225">SUM(E223:E224)</f>
        <v>0</v>
      </c>
      <c r="F225" s="321">
        <f t="shared" si="55"/>
        <v>11753</v>
      </c>
      <c r="G225" s="321">
        <f t="shared" si="55"/>
        <v>0</v>
      </c>
      <c r="H225" s="321">
        <f t="shared" si="55"/>
        <v>0</v>
      </c>
      <c r="I225" s="321">
        <f t="shared" si="55"/>
        <v>0</v>
      </c>
      <c r="J225" s="321">
        <f t="shared" si="55"/>
        <v>0</v>
      </c>
      <c r="K225" s="321">
        <f t="shared" si="55"/>
        <v>0</v>
      </c>
      <c r="L225" s="321">
        <f t="shared" si="55"/>
        <v>0</v>
      </c>
      <c r="M225" s="322">
        <f t="shared" si="55"/>
        <v>0</v>
      </c>
      <c r="N225" s="110">
        <f t="shared" si="40"/>
        <v>11753</v>
      </c>
    </row>
    <row r="226" spans="1:14" s="133" customFormat="1" ht="30">
      <c r="A226" s="1154">
        <v>219</v>
      </c>
      <c r="B226" s="134"/>
      <c r="C226" s="135"/>
      <c r="D226" s="1484" t="s">
        <v>953</v>
      </c>
      <c r="E226" s="136"/>
      <c r="F226" s="136"/>
      <c r="G226" s="136"/>
      <c r="H226" s="136"/>
      <c r="I226" s="136"/>
      <c r="J226" s="136"/>
      <c r="K226" s="136"/>
      <c r="L226" s="136"/>
      <c r="M226" s="137"/>
      <c r="N226" s="110"/>
    </row>
    <row r="227" spans="1:14" s="133" customFormat="1" ht="15">
      <c r="A227" s="226">
        <v>220</v>
      </c>
      <c r="B227" s="134"/>
      <c r="C227" s="135"/>
      <c r="D227" s="1484" t="s">
        <v>957</v>
      </c>
      <c r="E227" s="136"/>
      <c r="F227" s="136">
        <v>10933</v>
      </c>
      <c r="G227" s="136"/>
      <c r="H227" s="136"/>
      <c r="I227" s="136"/>
      <c r="J227" s="136"/>
      <c r="K227" s="136"/>
      <c r="L227" s="136"/>
      <c r="M227" s="137"/>
      <c r="N227" s="709">
        <f t="shared" si="40"/>
        <v>10933</v>
      </c>
    </row>
    <row r="228" spans="1:14" s="131" customFormat="1" ht="15">
      <c r="A228" s="226">
        <v>221</v>
      </c>
      <c r="B228" s="132"/>
      <c r="C228" s="227"/>
      <c r="D228" s="140" t="s">
        <v>405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19">
        <f t="shared" si="40"/>
        <v>0</v>
      </c>
    </row>
    <row r="229" spans="1:14" s="323" customFormat="1" ht="15">
      <c r="A229" s="226">
        <v>222</v>
      </c>
      <c r="B229" s="318"/>
      <c r="C229" s="319"/>
      <c r="D229" s="138" t="s">
        <v>1067</v>
      </c>
      <c r="E229" s="321">
        <f>SUM(E227:E228)</f>
        <v>0</v>
      </c>
      <c r="F229" s="321">
        <f>SUM(F227:F228)</f>
        <v>10933</v>
      </c>
      <c r="G229" s="321">
        <f aca="true" t="shared" si="56" ref="G229:M229">SUM(G227:G228)</f>
        <v>0</v>
      </c>
      <c r="H229" s="321">
        <f t="shared" si="56"/>
        <v>0</v>
      </c>
      <c r="I229" s="321">
        <f t="shared" si="56"/>
        <v>0</v>
      </c>
      <c r="J229" s="321">
        <f t="shared" si="56"/>
        <v>0</v>
      </c>
      <c r="K229" s="321">
        <f t="shared" si="56"/>
        <v>0</v>
      </c>
      <c r="L229" s="321">
        <f t="shared" si="56"/>
        <v>0</v>
      </c>
      <c r="M229" s="322">
        <f t="shared" si="56"/>
        <v>0</v>
      </c>
      <c r="N229" s="110">
        <f t="shared" si="40"/>
        <v>10933</v>
      </c>
    </row>
    <row r="230" spans="1:14" s="133" customFormat="1" ht="19.5" customHeight="1">
      <c r="A230" s="226">
        <v>223</v>
      </c>
      <c r="B230" s="134"/>
      <c r="C230" s="135"/>
      <c r="D230" s="1484" t="s">
        <v>12</v>
      </c>
      <c r="E230" s="136"/>
      <c r="F230" s="136"/>
      <c r="G230" s="136"/>
      <c r="H230" s="136"/>
      <c r="I230" s="136"/>
      <c r="J230" s="136"/>
      <c r="K230" s="136"/>
      <c r="L230" s="136"/>
      <c r="M230" s="137"/>
      <c r="N230" s="111"/>
    </row>
    <row r="231" spans="1:14" s="133" customFormat="1" ht="15">
      <c r="A231" s="226">
        <v>224</v>
      </c>
      <c r="B231" s="134"/>
      <c r="C231" s="135"/>
      <c r="D231" s="77" t="s">
        <v>957</v>
      </c>
      <c r="E231" s="136"/>
      <c r="F231" s="136">
        <v>10350</v>
      </c>
      <c r="G231" s="136"/>
      <c r="H231" s="136"/>
      <c r="I231" s="136"/>
      <c r="J231" s="136"/>
      <c r="K231" s="136"/>
      <c r="L231" s="136"/>
      <c r="M231" s="137"/>
      <c r="N231" s="306">
        <f>SUM(E231:L231)</f>
        <v>10350</v>
      </c>
    </row>
    <row r="232" spans="1:14" s="131" customFormat="1" ht="15">
      <c r="A232" s="226">
        <v>225</v>
      </c>
      <c r="B232" s="132"/>
      <c r="C232" s="227"/>
      <c r="D232" s="140" t="s">
        <v>405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307">
        <f>SUM(E232:L232)</f>
        <v>0</v>
      </c>
    </row>
    <row r="233" spans="1:14" s="323" customFormat="1" ht="30" customHeight="1">
      <c r="A233" s="1154">
        <v>226</v>
      </c>
      <c r="B233" s="318"/>
      <c r="C233" s="319"/>
      <c r="D233" s="320" t="s">
        <v>1067</v>
      </c>
      <c r="E233" s="321">
        <f>SUM(E231:E232)</f>
        <v>0</v>
      </c>
      <c r="F233" s="321">
        <f>SUM(F231:F232)</f>
        <v>10350</v>
      </c>
      <c r="G233" s="321">
        <f aca="true" t="shared" si="57" ref="G233:M233">SUM(G231:G232)</f>
        <v>0</v>
      </c>
      <c r="H233" s="321">
        <f t="shared" si="57"/>
        <v>0</v>
      </c>
      <c r="I233" s="321">
        <f t="shared" si="57"/>
        <v>0</v>
      </c>
      <c r="J233" s="321">
        <f t="shared" si="57"/>
        <v>0</v>
      </c>
      <c r="K233" s="321">
        <f t="shared" si="57"/>
        <v>0</v>
      </c>
      <c r="L233" s="321">
        <f t="shared" si="57"/>
        <v>0</v>
      </c>
      <c r="M233" s="322">
        <f t="shared" si="57"/>
        <v>0</v>
      </c>
      <c r="N233" s="110">
        <f>SUM(E233:L233)</f>
        <v>10350</v>
      </c>
    </row>
    <row r="234" spans="1:15" s="982" customFormat="1" ht="21.75" customHeight="1">
      <c r="A234" s="226">
        <v>227</v>
      </c>
      <c r="B234" s="991"/>
      <c r="C234" s="980"/>
      <c r="D234" s="980" t="s">
        <v>785</v>
      </c>
      <c r="E234" s="980"/>
      <c r="F234" s="980"/>
      <c r="G234" s="980"/>
      <c r="H234" s="980"/>
      <c r="I234" s="980"/>
      <c r="J234" s="980"/>
      <c r="K234" s="980"/>
      <c r="L234" s="980"/>
      <c r="M234" s="980"/>
      <c r="N234" s="981"/>
      <c r="O234" s="133"/>
    </row>
    <row r="235" spans="1:15" s="848" customFormat="1" ht="15">
      <c r="A235" s="226">
        <v>228</v>
      </c>
      <c r="B235" s="844"/>
      <c r="C235" s="845"/>
      <c r="D235" s="839" t="s">
        <v>403</v>
      </c>
      <c r="E235" s="846">
        <f aca="true" t="shared" si="58" ref="E235:M235">SUM(E222,E210)</f>
        <v>0</v>
      </c>
      <c r="F235" s="846">
        <f t="shared" si="58"/>
        <v>9173</v>
      </c>
      <c r="G235" s="846">
        <f t="shared" si="58"/>
        <v>0</v>
      </c>
      <c r="H235" s="846">
        <f t="shared" si="58"/>
        <v>0</v>
      </c>
      <c r="I235" s="846">
        <f t="shared" si="58"/>
        <v>0</v>
      </c>
      <c r="J235" s="846">
        <f t="shared" si="58"/>
        <v>0</v>
      </c>
      <c r="K235" s="846">
        <f t="shared" si="58"/>
        <v>0</v>
      </c>
      <c r="L235" s="846">
        <f t="shared" si="58"/>
        <v>1319397</v>
      </c>
      <c r="M235" s="845">
        <f t="shared" si="58"/>
        <v>0</v>
      </c>
      <c r="N235" s="847">
        <f t="shared" si="40"/>
        <v>1328570</v>
      </c>
      <c r="O235" s="843"/>
    </row>
    <row r="236" spans="1:15" s="131" customFormat="1" ht="15">
      <c r="A236" s="226">
        <v>229</v>
      </c>
      <c r="B236" s="132"/>
      <c r="C236" s="72"/>
      <c r="D236" s="77" t="s">
        <v>957</v>
      </c>
      <c r="E236" s="71">
        <f aca="true" t="shared" si="59" ref="E236:M236">SUM(E231,E223,E218,E211)+E227</f>
        <v>2600</v>
      </c>
      <c r="F236" s="71">
        <f t="shared" si="59"/>
        <v>44286</v>
      </c>
      <c r="G236" s="71">
        <f t="shared" si="59"/>
        <v>0</v>
      </c>
      <c r="H236" s="71">
        <f t="shared" si="59"/>
        <v>0</v>
      </c>
      <c r="I236" s="71">
        <f t="shared" si="59"/>
        <v>0</v>
      </c>
      <c r="J236" s="71">
        <f t="shared" si="59"/>
        <v>0</v>
      </c>
      <c r="K236" s="71">
        <f t="shared" si="59"/>
        <v>171583</v>
      </c>
      <c r="L236" s="71">
        <f t="shared" si="59"/>
        <v>1261935</v>
      </c>
      <c r="M236" s="72">
        <f t="shared" si="59"/>
        <v>0</v>
      </c>
      <c r="N236" s="78">
        <f t="shared" si="40"/>
        <v>1480404</v>
      </c>
      <c r="O236" s="79"/>
    </row>
    <row r="237" spans="1:15" s="131" customFormat="1" ht="15">
      <c r="A237" s="226">
        <v>230</v>
      </c>
      <c r="B237" s="132"/>
      <c r="C237" s="72"/>
      <c r="D237" s="140" t="s">
        <v>1205</v>
      </c>
      <c r="E237" s="72">
        <f>SUM(E224,E212:E212)+E219+E232+E228+E214+E213+E215</f>
        <v>611</v>
      </c>
      <c r="F237" s="72">
        <f aca="true" t="shared" si="60" ref="F237:N237">SUM(F224,F212:F212)+F219+F232+F228+F214+F213+F215</f>
        <v>0</v>
      </c>
      <c r="G237" s="72">
        <f t="shared" si="60"/>
        <v>0</v>
      </c>
      <c r="H237" s="72">
        <f t="shared" si="60"/>
        <v>0</v>
      </c>
      <c r="I237" s="72">
        <f t="shared" si="60"/>
        <v>0</v>
      </c>
      <c r="J237" s="72">
        <f t="shared" si="60"/>
        <v>0</v>
      </c>
      <c r="K237" s="72">
        <f t="shared" si="60"/>
        <v>0</v>
      </c>
      <c r="L237" s="72">
        <f t="shared" si="60"/>
        <v>-735</v>
      </c>
      <c r="M237" s="72">
        <f t="shared" si="60"/>
        <v>0</v>
      </c>
      <c r="N237" s="112">
        <f t="shared" si="60"/>
        <v>-124</v>
      </c>
      <c r="O237" s="79"/>
    </row>
    <row r="238" spans="1:15" s="990" customFormat="1" ht="15">
      <c r="A238" s="226">
        <v>231</v>
      </c>
      <c r="B238" s="984"/>
      <c r="C238" s="985"/>
      <c r="D238" s="986" t="s">
        <v>1067</v>
      </c>
      <c r="E238" s="987">
        <f>SUM(E236:E237)</f>
        <v>3211</v>
      </c>
      <c r="F238" s="987">
        <f>SUM(F236:F237)</f>
        <v>44286</v>
      </c>
      <c r="G238" s="987">
        <f aca="true" t="shared" si="61" ref="G238:M238">SUM(G236:G237)</f>
        <v>0</v>
      </c>
      <c r="H238" s="987">
        <f t="shared" si="61"/>
        <v>0</v>
      </c>
      <c r="I238" s="987">
        <f t="shared" si="61"/>
        <v>0</v>
      </c>
      <c r="J238" s="987">
        <f t="shared" si="61"/>
        <v>0</v>
      </c>
      <c r="K238" s="987">
        <f t="shared" si="61"/>
        <v>171583</v>
      </c>
      <c r="L238" s="987">
        <f t="shared" si="61"/>
        <v>1261200</v>
      </c>
      <c r="M238" s="988">
        <f t="shared" si="61"/>
        <v>0</v>
      </c>
      <c r="N238" s="989">
        <f t="shared" si="40"/>
        <v>1480280</v>
      </c>
      <c r="O238" s="388"/>
    </row>
    <row r="239" spans="1:15" s="133" customFormat="1" ht="30" customHeight="1">
      <c r="A239" s="226">
        <v>232</v>
      </c>
      <c r="B239" s="134"/>
      <c r="C239" s="1646" t="s">
        <v>431</v>
      </c>
      <c r="D239" s="1646"/>
      <c r="E239" s="137"/>
      <c r="F239" s="137"/>
      <c r="G239" s="137"/>
      <c r="H239" s="137"/>
      <c r="I239" s="137"/>
      <c r="J239" s="137"/>
      <c r="K239" s="137"/>
      <c r="L239" s="137"/>
      <c r="M239" s="137"/>
      <c r="N239" s="111">
        <f t="shared" si="40"/>
        <v>0</v>
      </c>
      <c r="O239" s="133">
        <f>(SUM(E240:L240))-N239</f>
        <v>6127521</v>
      </c>
    </row>
    <row r="240" spans="1:15" s="848" customFormat="1" ht="15">
      <c r="A240" s="1508">
        <v>233</v>
      </c>
      <c r="B240" s="844"/>
      <c r="C240" s="845"/>
      <c r="D240" s="839" t="s">
        <v>403</v>
      </c>
      <c r="E240" s="846">
        <f aca="true" t="shared" si="62" ref="E240:M240">SUM(E205,E235)</f>
        <v>899595</v>
      </c>
      <c r="F240" s="846">
        <f t="shared" si="62"/>
        <v>258692</v>
      </c>
      <c r="G240" s="846">
        <f t="shared" si="62"/>
        <v>80000</v>
      </c>
      <c r="H240" s="846">
        <f t="shared" si="62"/>
        <v>0</v>
      </c>
      <c r="I240" s="846">
        <f t="shared" si="62"/>
        <v>0</v>
      </c>
      <c r="J240" s="846">
        <f t="shared" si="62"/>
        <v>0</v>
      </c>
      <c r="K240" s="846">
        <f t="shared" si="62"/>
        <v>0</v>
      </c>
      <c r="L240" s="846">
        <f t="shared" si="62"/>
        <v>4889234</v>
      </c>
      <c r="M240" s="845">
        <f t="shared" si="62"/>
        <v>2251280</v>
      </c>
      <c r="N240" s="847">
        <f t="shared" si="40"/>
        <v>6127521</v>
      </c>
      <c r="O240" s="843"/>
    </row>
    <row r="241" spans="1:14" ht="19.5" customHeight="1">
      <c r="A241" s="1508">
        <v>234</v>
      </c>
      <c r="B241" s="73"/>
      <c r="C241" s="1487"/>
      <c r="D241" s="77" t="s">
        <v>957</v>
      </c>
      <c r="E241" s="71">
        <f aca="true" t="shared" si="63" ref="E241:M241">SUM(E236,E206)</f>
        <v>1101699</v>
      </c>
      <c r="F241" s="71">
        <f t="shared" si="63"/>
        <v>320726</v>
      </c>
      <c r="G241" s="71">
        <f t="shared" si="63"/>
        <v>95560</v>
      </c>
      <c r="H241" s="71">
        <f t="shared" si="63"/>
        <v>0</v>
      </c>
      <c r="I241" s="71">
        <f t="shared" si="63"/>
        <v>0</v>
      </c>
      <c r="J241" s="71">
        <f t="shared" si="63"/>
        <v>0</v>
      </c>
      <c r="K241" s="71">
        <f t="shared" si="63"/>
        <v>314284</v>
      </c>
      <c r="L241" s="71">
        <f t="shared" si="63"/>
        <v>5111274</v>
      </c>
      <c r="M241" s="72">
        <f t="shared" si="63"/>
        <v>2251280</v>
      </c>
      <c r="N241" s="78">
        <f t="shared" si="40"/>
        <v>6943543</v>
      </c>
    </row>
    <row r="242" spans="1:15" s="131" customFormat="1" ht="30">
      <c r="A242" s="1154">
        <v>235</v>
      </c>
      <c r="B242" s="132"/>
      <c r="C242" s="72"/>
      <c r="D242" s="724" t="s">
        <v>1202</v>
      </c>
      <c r="E242" s="72">
        <f aca="true" t="shared" si="64" ref="E242:M242">SUM(E237,E207)</f>
        <v>40502</v>
      </c>
      <c r="F242" s="72">
        <f t="shared" si="64"/>
        <v>19987</v>
      </c>
      <c r="G242" s="72">
        <f t="shared" si="64"/>
        <v>999</v>
      </c>
      <c r="H242" s="72">
        <f t="shared" si="64"/>
        <v>0</v>
      </c>
      <c r="I242" s="72">
        <f t="shared" si="64"/>
        <v>0</v>
      </c>
      <c r="J242" s="72">
        <f t="shared" si="64"/>
        <v>0</v>
      </c>
      <c r="K242" s="72">
        <f t="shared" si="64"/>
        <v>0</v>
      </c>
      <c r="L242" s="72">
        <f t="shared" si="64"/>
        <v>567</v>
      </c>
      <c r="M242" s="72">
        <f t="shared" si="64"/>
        <v>0</v>
      </c>
      <c r="N242" s="112">
        <f t="shared" si="40"/>
        <v>62055</v>
      </c>
      <c r="O242" s="79"/>
    </row>
    <row r="243" spans="1:14" ht="19.5" customHeight="1" thickBot="1">
      <c r="A243" s="1508">
        <v>236</v>
      </c>
      <c r="B243" s="66"/>
      <c r="C243" s="1486"/>
      <c r="D243" s="313" t="s">
        <v>1067</v>
      </c>
      <c r="E243" s="3">
        <f>SUM(E241:E242)</f>
        <v>1142201</v>
      </c>
      <c r="F243" s="3">
        <f aca="true" t="shared" si="65" ref="F243:M243">SUM(F241:F242)</f>
        <v>340713</v>
      </c>
      <c r="G243" s="3">
        <f t="shared" si="65"/>
        <v>96559</v>
      </c>
      <c r="H243" s="3">
        <f t="shared" si="65"/>
        <v>0</v>
      </c>
      <c r="I243" s="3">
        <f t="shared" si="65"/>
        <v>0</v>
      </c>
      <c r="J243" s="3">
        <f t="shared" si="65"/>
        <v>0</v>
      </c>
      <c r="K243" s="3">
        <f t="shared" si="65"/>
        <v>314284</v>
      </c>
      <c r="L243" s="3">
        <f t="shared" si="65"/>
        <v>5111841</v>
      </c>
      <c r="M243" s="314">
        <f t="shared" si="65"/>
        <v>2251280</v>
      </c>
      <c r="N243" s="8">
        <f t="shared" si="40"/>
        <v>7005598</v>
      </c>
    </row>
  </sheetData>
  <sheetProtection/>
  <mergeCells count="36">
    <mergeCell ref="M4:N4"/>
    <mergeCell ref="B2:N2"/>
    <mergeCell ref="B3:N3"/>
    <mergeCell ref="E6:G6"/>
    <mergeCell ref="H6:J6"/>
    <mergeCell ref="L6:M6"/>
    <mergeCell ref="K6:K7"/>
    <mergeCell ref="N6:N7"/>
    <mergeCell ref="C239:D239"/>
    <mergeCell ref="D127:H127"/>
    <mergeCell ref="D140:H140"/>
    <mergeCell ref="D145:H145"/>
    <mergeCell ref="D156:H156"/>
    <mergeCell ref="D161:H161"/>
    <mergeCell ref="D177:H177"/>
    <mergeCell ref="D188:H188"/>
    <mergeCell ref="D217:N217"/>
    <mergeCell ref="D166:F166"/>
    <mergeCell ref="C204:D204"/>
    <mergeCell ref="D209:F209"/>
    <mergeCell ref="D174:H174"/>
    <mergeCell ref="D118:H118"/>
    <mergeCell ref="D39:G39"/>
    <mergeCell ref="D29:G29"/>
    <mergeCell ref="B1:D1"/>
    <mergeCell ref="B6:B7"/>
    <mergeCell ref="D8:G8"/>
    <mergeCell ref="D19:G19"/>
    <mergeCell ref="D6:D7"/>
    <mergeCell ref="C6:C7"/>
    <mergeCell ref="D113:H113"/>
    <mergeCell ref="D49:G49"/>
    <mergeCell ref="D74:G74"/>
    <mergeCell ref="D80:G80"/>
    <mergeCell ref="D91:G91"/>
    <mergeCell ref="D59:G59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3.00390625" style="1275" bestFit="1" customWidth="1"/>
    <col min="2" max="2" width="4.125" style="1275" customWidth="1"/>
    <col min="3" max="3" width="5.75390625" style="1275" bestFit="1" customWidth="1"/>
    <col min="4" max="4" width="50.75390625" style="1275" customWidth="1"/>
    <col min="5" max="7" width="10.75390625" style="1275" customWidth="1"/>
    <col min="8" max="8" width="14.125" style="1284" customWidth="1"/>
    <col min="9" max="9" width="11.75390625" style="1275" customWidth="1"/>
    <col min="10" max="16384" width="9.125" style="1275" customWidth="1"/>
  </cols>
  <sheetData>
    <row r="1" spans="1:9" ht="15" customHeight="1">
      <c r="A1" s="1269"/>
      <c r="B1" s="1639" t="s">
        <v>783</v>
      </c>
      <c r="C1" s="1639"/>
      <c r="D1" s="1639"/>
      <c r="E1" s="381"/>
      <c r="F1" s="381"/>
      <c r="G1" s="381"/>
      <c r="H1" s="1283"/>
      <c r="I1" s="79"/>
    </row>
    <row r="2" spans="1:9" ht="24.75" customHeight="1">
      <c r="A2" s="1270"/>
      <c r="B2" s="1651" t="s">
        <v>417</v>
      </c>
      <c r="C2" s="1651"/>
      <c r="D2" s="1651"/>
      <c r="E2" s="1651"/>
      <c r="F2" s="1651"/>
      <c r="G2" s="1651"/>
      <c r="H2" s="1651"/>
      <c r="I2" s="1651"/>
    </row>
    <row r="3" spans="1:9" ht="24.75" customHeight="1">
      <c r="A3" s="1270"/>
      <c r="B3" s="1651" t="s">
        <v>949</v>
      </c>
      <c r="C3" s="1651"/>
      <c r="D3" s="1651"/>
      <c r="E3" s="1651"/>
      <c r="F3" s="1651"/>
      <c r="G3" s="1651"/>
      <c r="H3" s="1651"/>
      <c r="I3" s="1651"/>
    </row>
    <row r="4" spans="1:9" ht="15">
      <c r="A4" s="1270"/>
      <c r="B4" s="1270"/>
      <c r="C4" s="79"/>
      <c r="D4" s="79"/>
      <c r="E4" s="381"/>
      <c r="F4" s="381"/>
      <c r="G4" s="381"/>
      <c r="I4" s="1146" t="s">
        <v>135</v>
      </c>
    </row>
    <row r="5" spans="2:9" s="1270" customFormat="1" ht="15.75" thickBot="1">
      <c r="B5" s="1270" t="s">
        <v>146</v>
      </c>
      <c r="C5" s="1270" t="s">
        <v>147</v>
      </c>
      <c r="D5" s="1270" t="s">
        <v>148</v>
      </c>
      <c r="E5" s="1105" t="s">
        <v>149</v>
      </c>
      <c r="F5" s="1105" t="s">
        <v>150</v>
      </c>
      <c r="G5" s="1105" t="s">
        <v>151</v>
      </c>
      <c r="H5" s="1285" t="s">
        <v>152</v>
      </c>
      <c r="I5" s="1270" t="s">
        <v>911</v>
      </c>
    </row>
    <row r="6" spans="2:9" s="1270" customFormat="1" ht="30" customHeight="1">
      <c r="B6" s="1640" t="s">
        <v>790</v>
      </c>
      <c r="C6" s="1644" t="s">
        <v>418</v>
      </c>
      <c r="D6" s="1642" t="s">
        <v>136</v>
      </c>
      <c r="E6" s="1662" t="s">
        <v>199</v>
      </c>
      <c r="F6" s="1666" t="s">
        <v>198</v>
      </c>
      <c r="G6" s="1662" t="s">
        <v>38</v>
      </c>
      <c r="H6" s="1664" t="s">
        <v>276</v>
      </c>
      <c r="I6" s="1655" t="s">
        <v>950</v>
      </c>
    </row>
    <row r="7" spans="1:9" ht="45" customHeight="1" thickBot="1">
      <c r="A7" s="1270"/>
      <c r="B7" s="1641"/>
      <c r="C7" s="1645"/>
      <c r="D7" s="1643"/>
      <c r="E7" s="1663"/>
      <c r="F7" s="1667"/>
      <c r="G7" s="1663"/>
      <c r="H7" s="1665"/>
      <c r="I7" s="1656"/>
    </row>
    <row r="8" spans="1:9" ht="15">
      <c r="A8" s="1270">
        <v>1</v>
      </c>
      <c r="B8" s="73">
        <v>1</v>
      </c>
      <c r="C8" s="76"/>
      <c r="D8" s="77" t="s">
        <v>419</v>
      </c>
      <c r="E8" s="382">
        <v>12466</v>
      </c>
      <c r="F8" s="382">
        <v>15761</v>
      </c>
      <c r="G8" s="382">
        <v>16017</v>
      </c>
      <c r="H8" s="1286">
        <v>16015</v>
      </c>
      <c r="I8" s="78">
        <v>16715</v>
      </c>
    </row>
    <row r="9" spans="1:9" ht="15">
      <c r="A9" s="1270">
        <v>2</v>
      </c>
      <c r="B9" s="73"/>
      <c r="C9" s="76"/>
      <c r="D9" s="77" t="s">
        <v>200</v>
      </c>
      <c r="E9" s="382"/>
      <c r="F9" s="382"/>
      <c r="G9" s="382"/>
      <c r="H9" s="1286"/>
      <c r="I9" s="78"/>
    </row>
    <row r="10" spans="1:9" ht="15">
      <c r="A10" s="1270">
        <v>3</v>
      </c>
      <c r="B10" s="73">
        <v>2</v>
      </c>
      <c r="C10" s="76"/>
      <c r="D10" s="77" t="s">
        <v>420</v>
      </c>
      <c r="E10" s="382">
        <v>24598</v>
      </c>
      <c r="F10" s="382">
        <v>28180</v>
      </c>
      <c r="G10" s="382">
        <v>26363</v>
      </c>
      <c r="H10" s="1286">
        <v>28300</v>
      </c>
      <c r="I10" s="78">
        <v>28300</v>
      </c>
    </row>
    <row r="11" spans="1:9" ht="15">
      <c r="A11" s="1270">
        <v>4</v>
      </c>
      <c r="B11" s="73"/>
      <c r="C11" s="76"/>
      <c r="D11" s="77" t="s">
        <v>201</v>
      </c>
      <c r="E11" s="382"/>
      <c r="F11" s="382"/>
      <c r="G11" s="382"/>
      <c r="H11" s="1286"/>
      <c r="I11" s="78"/>
    </row>
    <row r="12" spans="1:9" ht="15">
      <c r="A12" s="1270">
        <v>5</v>
      </c>
      <c r="B12" s="73">
        <v>3</v>
      </c>
      <c r="C12" s="76"/>
      <c r="D12" s="77" t="s">
        <v>421</v>
      </c>
      <c r="E12" s="382">
        <v>29179</v>
      </c>
      <c r="F12" s="382">
        <v>31467</v>
      </c>
      <c r="G12" s="382">
        <v>28658</v>
      </c>
      <c r="H12" s="1286">
        <v>32344</v>
      </c>
      <c r="I12" s="78">
        <v>32344</v>
      </c>
    </row>
    <row r="13" spans="1:9" ht="15">
      <c r="A13" s="1270">
        <v>6</v>
      </c>
      <c r="B13" s="73"/>
      <c r="C13" s="76"/>
      <c r="D13" s="77" t="s">
        <v>202</v>
      </c>
      <c r="E13" s="382"/>
      <c r="F13" s="382"/>
      <c r="G13" s="382"/>
      <c r="H13" s="1286"/>
      <c r="I13" s="78"/>
    </row>
    <row r="14" spans="1:9" ht="15">
      <c r="A14" s="1270">
        <v>7</v>
      </c>
      <c r="B14" s="73">
        <v>4</v>
      </c>
      <c r="C14" s="76"/>
      <c r="D14" s="77" t="s">
        <v>422</v>
      </c>
      <c r="E14" s="382">
        <v>24430</v>
      </c>
      <c r="F14" s="382">
        <v>24581</v>
      </c>
      <c r="G14" s="382">
        <v>25488</v>
      </c>
      <c r="H14" s="1286">
        <v>25643</v>
      </c>
      <c r="I14" s="78">
        <v>25643</v>
      </c>
    </row>
    <row r="15" spans="1:9" ht="15">
      <c r="A15" s="1270">
        <v>8</v>
      </c>
      <c r="B15" s="73"/>
      <c r="C15" s="76"/>
      <c r="D15" s="77" t="s">
        <v>203</v>
      </c>
      <c r="E15" s="382"/>
      <c r="F15" s="382"/>
      <c r="G15" s="382"/>
      <c r="H15" s="1286"/>
      <c r="I15" s="78"/>
    </row>
    <row r="16" spans="1:9" ht="15">
      <c r="A16" s="1270">
        <v>9</v>
      </c>
      <c r="B16" s="73">
        <v>5</v>
      </c>
      <c r="C16" s="76"/>
      <c r="D16" s="77" t="s">
        <v>425</v>
      </c>
      <c r="E16" s="382">
        <v>29853</v>
      </c>
      <c r="F16" s="382">
        <v>31251</v>
      </c>
      <c r="G16" s="382">
        <v>32366</v>
      </c>
      <c r="H16" s="1286">
        <v>32339</v>
      </c>
      <c r="I16" s="78">
        <v>32339</v>
      </c>
    </row>
    <row r="17" spans="1:9" ht="15">
      <c r="A17" s="1270">
        <v>10</v>
      </c>
      <c r="B17" s="73"/>
      <c r="C17" s="76"/>
      <c r="D17" s="77" t="s">
        <v>204</v>
      </c>
      <c r="E17" s="382"/>
      <c r="F17" s="382"/>
      <c r="G17" s="382"/>
      <c r="H17" s="1286"/>
      <c r="I17" s="78"/>
    </row>
    <row r="18" spans="1:9" ht="15">
      <c r="A18" s="1270">
        <v>11</v>
      </c>
      <c r="B18" s="73">
        <v>6</v>
      </c>
      <c r="C18" s="76"/>
      <c r="D18" s="77" t="s">
        <v>426</v>
      </c>
      <c r="E18" s="382">
        <v>11102</v>
      </c>
      <c r="F18" s="382">
        <v>12095</v>
      </c>
      <c r="G18" s="382">
        <v>11479</v>
      </c>
      <c r="H18" s="1286">
        <v>11827</v>
      </c>
      <c r="I18" s="78">
        <v>11827</v>
      </c>
    </row>
    <row r="19" spans="1:9" ht="15">
      <c r="A19" s="1270">
        <v>12</v>
      </c>
      <c r="B19" s="73"/>
      <c r="C19" s="76"/>
      <c r="D19" s="77" t="s">
        <v>205</v>
      </c>
      <c r="E19" s="382"/>
      <c r="F19" s="382"/>
      <c r="G19" s="382"/>
      <c r="H19" s="1286"/>
      <c r="I19" s="78"/>
    </row>
    <row r="20" spans="1:9" s="131" customFormat="1" ht="30" customHeight="1">
      <c r="A20" s="1270">
        <v>13</v>
      </c>
      <c r="B20" s="132"/>
      <c r="C20" s="1148"/>
      <c r="D20" s="1148" t="s">
        <v>819</v>
      </c>
      <c r="E20" s="1147">
        <f>SUM(E8:E18)</f>
        <v>131628</v>
      </c>
      <c r="F20" s="1147">
        <f>SUM(F8:F18)</f>
        <v>143335</v>
      </c>
      <c r="G20" s="1147">
        <f>SUM(G8:G18)</f>
        <v>140371</v>
      </c>
      <c r="H20" s="1287">
        <f>SUM(H8:H18)</f>
        <v>146468</v>
      </c>
      <c r="I20" s="1149">
        <f>SUM(I8:I18)</f>
        <v>147168</v>
      </c>
    </row>
    <row r="21" spans="1:9" s="4" customFormat="1" ht="30" customHeight="1">
      <c r="A21" s="1270">
        <v>14</v>
      </c>
      <c r="B21" s="73">
        <v>7</v>
      </c>
      <c r="C21" s="76"/>
      <c r="D21" s="77" t="s">
        <v>834</v>
      </c>
      <c r="E21" s="382">
        <v>14324</v>
      </c>
      <c r="F21" s="382">
        <v>17156</v>
      </c>
      <c r="G21" s="382">
        <v>5368</v>
      </c>
      <c r="H21" s="1286">
        <v>9002</v>
      </c>
      <c r="I21" s="78">
        <v>9002</v>
      </c>
    </row>
    <row r="22" spans="1:9" ht="30" customHeight="1">
      <c r="A22" s="1270">
        <v>15</v>
      </c>
      <c r="B22" s="73">
        <v>8</v>
      </c>
      <c r="C22" s="76"/>
      <c r="D22" s="77" t="s">
        <v>836</v>
      </c>
      <c r="E22" s="382">
        <v>62754</v>
      </c>
      <c r="F22" s="382">
        <v>64077</v>
      </c>
      <c r="G22" s="382">
        <v>62756</v>
      </c>
      <c r="H22" s="1286">
        <v>62730</v>
      </c>
      <c r="I22" s="78">
        <v>66000</v>
      </c>
    </row>
    <row r="23" spans="1:9" ht="30">
      <c r="A23" s="1270">
        <v>17</v>
      </c>
      <c r="B23" s="73">
        <v>9</v>
      </c>
      <c r="C23" s="76"/>
      <c r="D23" s="394" t="s">
        <v>854</v>
      </c>
      <c r="E23" s="382">
        <v>14040</v>
      </c>
      <c r="F23" s="382">
        <v>9974</v>
      </c>
      <c r="G23" s="382">
        <v>10209</v>
      </c>
      <c r="H23" s="1286">
        <v>9804</v>
      </c>
      <c r="I23" s="78">
        <v>9804</v>
      </c>
    </row>
    <row r="24" spans="1:9" s="131" customFormat="1" ht="30" customHeight="1">
      <c r="A24" s="1270">
        <v>18</v>
      </c>
      <c r="B24" s="132"/>
      <c r="C24" s="1148"/>
      <c r="D24" s="1148" t="s">
        <v>837</v>
      </c>
      <c r="E24" s="1147">
        <f>SUM(E21:E23)</f>
        <v>91118</v>
      </c>
      <c r="F24" s="1147">
        <f>SUM(F21:F23)</f>
        <v>91207</v>
      </c>
      <c r="G24" s="1147">
        <f>SUM(G21:G23)</f>
        <v>78333</v>
      </c>
      <c r="H24" s="1287">
        <f>SUM(H21:H23)</f>
        <v>81536</v>
      </c>
      <c r="I24" s="1149">
        <f>SUM(I21:I23)</f>
        <v>84806</v>
      </c>
    </row>
    <row r="25" spans="1:9" ht="30" customHeight="1">
      <c r="A25" s="1270">
        <v>19</v>
      </c>
      <c r="B25" s="73">
        <v>10</v>
      </c>
      <c r="C25" s="76"/>
      <c r="D25" s="394" t="s">
        <v>948</v>
      </c>
      <c r="E25" s="382">
        <v>49872</v>
      </c>
      <c r="F25" s="382">
        <v>25244</v>
      </c>
      <c r="G25" s="382">
        <v>51519</v>
      </c>
      <c r="H25" s="1286">
        <v>36750</v>
      </c>
      <c r="I25" s="78">
        <v>36750</v>
      </c>
    </row>
    <row r="26" spans="1:9" ht="30" customHeight="1">
      <c r="A26" s="1270">
        <v>20</v>
      </c>
      <c r="B26" s="73">
        <v>11</v>
      </c>
      <c r="C26" s="76"/>
      <c r="D26" s="394" t="s">
        <v>182</v>
      </c>
      <c r="E26" s="382">
        <v>12381</v>
      </c>
      <c r="F26" s="382">
        <v>11090</v>
      </c>
      <c r="G26" s="382">
        <v>11010</v>
      </c>
      <c r="H26" s="1286">
        <v>9790</v>
      </c>
      <c r="I26" s="78">
        <v>10301</v>
      </c>
    </row>
    <row r="27" spans="1:9" ht="30" customHeight="1">
      <c r="A27" s="1270">
        <v>21</v>
      </c>
      <c r="B27" s="73">
        <v>12</v>
      </c>
      <c r="C27" s="76"/>
      <c r="D27" s="77" t="s">
        <v>852</v>
      </c>
      <c r="E27" s="382">
        <v>0</v>
      </c>
      <c r="F27" s="382">
        <v>23900</v>
      </c>
      <c r="G27" s="382">
        <v>34182</v>
      </c>
      <c r="H27" s="1286">
        <v>20200</v>
      </c>
      <c r="I27" s="78">
        <v>39871</v>
      </c>
    </row>
    <row r="28" spans="1:9" ht="30" customHeight="1">
      <c r="A28" s="1270">
        <v>22</v>
      </c>
      <c r="B28" s="73"/>
      <c r="C28" s="76">
        <v>1</v>
      </c>
      <c r="D28" s="394" t="s">
        <v>206</v>
      </c>
      <c r="E28" s="382"/>
      <c r="F28" s="382"/>
      <c r="G28" s="382"/>
      <c r="H28" s="1286"/>
      <c r="I28" s="78"/>
    </row>
    <row r="29" spans="1:9" ht="30" customHeight="1">
      <c r="A29" s="1270">
        <v>23</v>
      </c>
      <c r="B29" s="73">
        <v>13</v>
      </c>
      <c r="C29" s="76"/>
      <c r="D29" s="77" t="s">
        <v>853</v>
      </c>
      <c r="E29" s="382">
        <v>0</v>
      </c>
      <c r="F29" s="382">
        <v>36486</v>
      </c>
      <c r="G29" s="382">
        <v>114799</v>
      </c>
      <c r="H29" s="1286">
        <v>99300</v>
      </c>
      <c r="I29" s="78">
        <v>195475</v>
      </c>
    </row>
    <row r="30" spans="1:9" ht="30" customHeight="1">
      <c r="A30" s="1270">
        <v>24</v>
      </c>
      <c r="B30" s="73">
        <v>14</v>
      </c>
      <c r="C30" s="76"/>
      <c r="D30" s="394" t="s">
        <v>183</v>
      </c>
      <c r="E30" s="382">
        <v>28526</v>
      </c>
      <c r="F30" s="382">
        <v>26255</v>
      </c>
      <c r="G30" s="382">
        <v>32840</v>
      </c>
      <c r="H30" s="1286">
        <v>24551</v>
      </c>
      <c r="I30" s="78">
        <v>24551</v>
      </c>
    </row>
    <row r="31" spans="1:9" ht="30" customHeight="1">
      <c r="A31" s="1270">
        <v>25</v>
      </c>
      <c r="B31" s="73">
        <v>15</v>
      </c>
      <c r="C31" s="76"/>
      <c r="D31" s="77" t="s">
        <v>364</v>
      </c>
      <c r="E31" s="382">
        <v>212999</v>
      </c>
      <c r="F31" s="382">
        <v>212000</v>
      </c>
      <c r="G31" s="382">
        <v>259765</v>
      </c>
      <c r="H31" s="1286">
        <v>231000</v>
      </c>
      <c r="I31" s="78">
        <v>215068</v>
      </c>
    </row>
    <row r="32" spans="1:9" s="131" customFormat="1" ht="30" customHeight="1">
      <c r="A32" s="1270">
        <v>26</v>
      </c>
      <c r="B32" s="132"/>
      <c r="C32" s="1148"/>
      <c r="D32" s="1148" t="s">
        <v>120</v>
      </c>
      <c r="E32" s="1147">
        <f>SUM(E25:E31)</f>
        <v>303778</v>
      </c>
      <c r="F32" s="1147">
        <f>SUM(F25:F31)</f>
        <v>334975</v>
      </c>
      <c r="G32" s="1147">
        <f>SUM(G25:G31)</f>
        <v>504115</v>
      </c>
      <c r="H32" s="1287">
        <f>SUM(H25:H31)</f>
        <v>421591</v>
      </c>
      <c r="I32" s="1149">
        <f>SUM(I25:I31)</f>
        <v>522016</v>
      </c>
    </row>
    <row r="33" spans="1:10" ht="30" customHeight="1" thickBot="1">
      <c r="A33" s="1270">
        <v>27</v>
      </c>
      <c r="B33" s="73">
        <v>16</v>
      </c>
      <c r="C33" s="76"/>
      <c r="D33" s="77" t="s">
        <v>851</v>
      </c>
      <c r="E33" s="382">
        <v>0</v>
      </c>
      <c r="F33" s="382">
        <v>223850</v>
      </c>
      <c r="G33" s="382">
        <v>308472</v>
      </c>
      <c r="H33" s="1286">
        <v>250000</v>
      </c>
      <c r="I33" s="78">
        <v>385000</v>
      </c>
      <c r="J33" s="79"/>
    </row>
    <row r="34" spans="1:10" ht="33" customHeight="1" thickBot="1">
      <c r="A34" s="1270">
        <v>28</v>
      </c>
      <c r="B34" s="1276"/>
      <c r="C34" s="1658" t="s">
        <v>184</v>
      </c>
      <c r="D34" s="1658"/>
      <c r="E34" s="384">
        <f>SUM(E20,E24,E32,E33)</f>
        <v>526524</v>
      </c>
      <c r="F34" s="384">
        <f>SUM(F20,F24,F32,F33)</f>
        <v>793367</v>
      </c>
      <c r="G34" s="384">
        <f>SUM(G20,G24,G32,G33)</f>
        <v>1031291</v>
      </c>
      <c r="H34" s="1288">
        <f>SUM(H20,H24,H32,H33)</f>
        <v>899595</v>
      </c>
      <c r="I34" s="385">
        <f>SUM(I20,I24,I32,I33)</f>
        <v>1138990</v>
      </c>
      <c r="J34" s="79"/>
    </row>
    <row r="35" spans="1:10" ht="33" customHeight="1" thickBot="1">
      <c r="A35" s="1277">
        <v>29</v>
      </c>
      <c r="B35" s="73">
        <v>17</v>
      </c>
      <c r="C35" s="1659" t="s">
        <v>855</v>
      </c>
      <c r="D35" s="1659"/>
      <c r="E35" s="382">
        <v>2925</v>
      </c>
      <c r="F35" s="382">
        <v>0</v>
      </c>
      <c r="G35" s="382">
        <v>2285</v>
      </c>
      <c r="H35" s="1286">
        <v>0</v>
      </c>
      <c r="I35" s="78">
        <v>3211</v>
      </c>
      <c r="J35" s="79"/>
    </row>
    <row r="36" spans="1:10" ht="33" customHeight="1" thickBot="1">
      <c r="A36" s="1270">
        <v>30</v>
      </c>
      <c r="B36" s="1276"/>
      <c r="C36" s="1658" t="s">
        <v>431</v>
      </c>
      <c r="D36" s="1658"/>
      <c r="E36" s="384">
        <f>SUM(E34,E35)</f>
        <v>529449</v>
      </c>
      <c r="F36" s="384">
        <f>SUM(F34,F35)</f>
        <v>793367</v>
      </c>
      <c r="G36" s="384">
        <f>SUM(G34,G35)</f>
        <v>1033576</v>
      </c>
      <c r="H36" s="1288">
        <f>SUM(H34,H35)</f>
        <v>899595</v>
      </c>
      <c r="I36" s="385">
        <f>SUM(I34,I35)</f>
        <v>1142201</v>
      </c>
      <c r="J36" s="79"/>
    </row>
    <row r="37" spans="1:10" ht="33" customHeight="1" thickBot="1">
      <c r="A37" s="1270">
        <v>31</v>
      </c>
      <c r="B37" s="73"/>
      <c r="C37" s="1660" t="s">
        <v>207</v>
      </c>
      <c r="D37" s="1660"/>
      <c r="E37" s="382">
        <v>519369</v>
      </c>
      <c r="F37" s="382">
        <v>2391</v>
      </c>
      <c r="G37" s="382">
        <v>0</v>
      </c>
      <c r="H37" s="1286">
        <v>0</v>
      </c>
      <c r="I37" s="78">
        <v>0</v>
      </c>
      <c r="J37" s="79"/>
    </row>
    <row r="38" spans="1:10" ht="33" customHeight="1" thickBot="1">
      <c r="A38" s="1270">
        <v>32</v>
      </c>
      <c r="B38" s="1276"/>
      <c r="C38" s="1658" t="s">
        <v>431</v>
      </c>
      <c r="D38" s="1658"/>
      <c r="E38" s="384">
        <f>SUM(E36:E37)</f>
        <v>1048818</v>
      </c>
      <c r="F38" s="384">
        <f>SUM(F36:F37)</f>
        <v>795758</v>
      </c>
      <c r="G38" s="384">
        <f>SUM(G36:G37)</f>
        <v>1033576</v>
      </c>
      <c r="H38" s="1288">
        <f>SUM(H36:H37)</f>
        <v>899595</v>
      </c>
      <c r="I38" s="385">
        <f>SUM(I36:I37)</f>
        <v>1142201</v>
      </c>
      <c r="J38" s="71"/>
    </row>
    <row r="39" spans="1:10" ht="15" hidden="1">
      <c r="A39" s="1270">
        <v>32</v>
      </c>
      <c r="B39" s="73"/>
      <c r="C39" s="76">
        <v>7</v>
      </c>
      <c r="D39" s="77" t="s">
        <v>820</v>
      </c>
      <c r="E39" s="382">
        <v>23700</v>
      </c>
      <c r="F39" s="382"/>
      <c r="G39" s="382"/>
      <c r="H39" s="1289"/>
      <c r="I39" s="71"/>
      <c r="J39" s="71"/>
    </row>
    <row r="40" spans="1:10" ht="15" hidden="1">
      <c r="A40" s="1270">
        <v>33</v>
      </c>
      <c r="B40" s="73"/>
      <c r="C40" s="76">
        <v>8</v>
      </c>
      <c r="D40" s="77" t="s">
        <v>821</v>
      </c>
      <c r="E40" s="382">
        <v>23854</v>
      </c>
      <c r="F40" s="382"/>
      <c r="G40" s="382"/>
      <c r="H40" s="1289"/>
      <c r="I40" s="71"/>
      <c r="J40" s="71"/>
    </row>
    <row r="41" spans="1:10" ht="15" hidden="1">
      <c r="A41" s="1270">
        <v>34</v>
      </c>
      <c r="B41" s="73"/>
      <c r="C41" s="76">
        <v>9</v>
      </c>
      <c r="D41" s="77" t="s">
        <v>822</v>
      </c>
      <c r="E41" s="382">
        <v>26145</v>
      </c>
      <c r="F41" s="382"/>
      <c r="G41" s="382"/>
      <c r="H41" s="1289"/>
      <c r="I41" s="71"/>
      <c r="J41" s="71"/>
    </row>
    <row r="42" spans="1:10" ht="15" hidden="1">
      <c r="A42" s="1270">
        <v>35</v>
      </c>
      <c r="B42" s="73"/>
      <c r="C42" s="76">
        <v>10</v>
      </c>
      <c r="D42" s="77" t="s">
        <v>823</v>
      </c>
      <c r="E42" s="382">
        <v>35582</v>
      </c>
      <c r="F42" s="382"/>
      <c r="G42" s="382"/>
      <c r="H42" s="1289"/>
      <c r="I42" s="71"/>
      <c r="J42" s="71"/>
    </row>
    <row r="43" spans="1:10" ht="15" hidden="1">
      <c r="A43" s="1270">
        <v>36</v>
      </c>
      <c r="B43" s="73"/>
      <c r="C43" s="76">
        <v>11</v>
      </c>
      <c r="D43" s="77" t="s">
        <v>825</v>
      </c>
      <c r="E43" s="382">
        <v>31340</v>
      </c>
      <c r="F43" s="382"/>
      <c r="G43" s="382"/>
      <c r="H43" s="1289"/>
      <c r="I43" s="71"/>
      <c r="J43" s="71"/>
    </row>
    <row r="44" spans="1:10" s="131" customFormat="1" ht="15" hidden="1">
      <c r="A44" s="1270">
        <v>37</v>
      </c>
      <c r="B44" s="132"/>
      <c r="C44" s="76"/>
      <c r="D44" s="140" t="s">
        <v>826</v>
      </c>
      <c r="E44" s="386">
        <v>0</v>
      </c>
      <c r="F44" s="386"/>
      <c r="G44" s="386"/>
      <c r="H44" s="1290"/>
      <c r="I44" s="72"/>
      <c r="J44" s="72"/>
    </row>
    <row r="45" spans="1:10" ht="15" hidden="1">
      <c r="A45" s="1270">
        <v>38</v>
      </c>
      <c r="B45" s="73"/>
      <c r="C45" s="76">
        <v>12</v>
      </c>
      <c r="D45" s="77" t="s">
        <v>827</v>
      </c>
      <c r="E45" s="382">
        <v>24585</v>
      </c>
      <c r="F45" s="382"/>
      <c r="G45" s="382"/>
      <c r="H45" s="1289"/>
      <c r="I45" s="71"/>
      <c r="J45" s="71"/>
    </row>
    <row r="46" spans="1:10" ht="15" hidden="1">
      <c r="A46" s="1270">
        <v>39</v>
      </c>
      <c r="B46" s="73"/>
      <c r="C46" s="76">
        <v>13</v>
      </c>
      <c r="D46" s="394" t="s">
        <v>362</v>
      </c>
      <c r="E46" s="382">
        <v>20009</v>
      </c>
      <c r="F46" s="382"/>
      <c r="G46" s="382"/>
      <c r="H46" s="1289"/>
      <c r="I46" s="71"/>
      <c r="J46" s="71"/>
    </row>
    <row r="47" spans="1:10" ht="15" hidden="1">
      <c r="A47" s="1270">
        <v>40</v>
      </c>
      <c r="B47" s="73"/>
      <c r="C47" s="76">
        <v>14</v>
      </c>
      <c r="D47" s="77" t="s">
        <v>828</v>
      </c>
      <c r="E47" s="382">
        <v>24245</v>
      </c>
      <c r="F47" s="382"/>
      <c r="G47" s="382"/>
      <c r="H47" s="1289"/>
      <c r="I47" s="71"/>
      <c r="J47" s="71"/>
    </row>
    <row r="48" spans="1:10" ht="15" hidden="1">
      <c r="A48" s="1270">
        <v>41</v>
      </c>
      <c r="B48" s="73"/>
      <c r="C48" s="76">
        <v>15</v>
      </c>
      <c r="D48" s="394" t="s">
        <v>829</v>
      </c>
      <c r="E48" s="382">
        <v>10368</v>
      </c>
      <c r="F48" s="382"/>
      <c r="G48" s="382"/>
      <c r="H48" s="1289"/>
      <c r="I48" s="71"/>
      <c r="J48" s="71"/>
    </row>
    <row r="49" spans="1:10" ht="15" hidden="1">
      <c r="A49" s="1270">
        <v>42</v>
      </c>
      <c r="B49" s="73"/>
      <c r="C49" s="76">
        <v>16</v>
      </c>
      <c r="D49" s="394" t="s">
        <v>830</v>
      </c>
      <c r="E49" s="382">
        <v>13532</v>
      </c>
      <c r="F49" s="382"/>
      <c r="G49" s="382"/>
      <c r="H49" s="1289"/>
      <c r="I49" s="71"/>
      <c r="J49" s="71"/>
    </row>
    <row r="50" spans="1:10" ht="15" hidden="1">
      <c r="A50" s="1270">
        <v>43</v>
      </c>
      <c r="B50" s="73"/>
      <c r="C50" s="76">
        <v>17</v>
      </c>
      <c r="D50" s="77" t="s">
        <v>831</v>
      </c>
      <c r="E50" s="382">
        <v>9120</v>
      </c>
      <c r="F50" s="382"/>
      <c r="G50" s="382"/>
      <c r="H50" s="1289"/>
      <c r="I50" s="71"/>
      <c r="J50" s="71"/>
    </row>
    <row r="51" spans="1:10" s="131" customFormat="1" ht="30" customHeight="1" hidden="1">
      <c r="A51" s="1270">
        <v>44</v>
      </c>
      <c r="B51" s="132"/>
      <c r="C51" s="1148"/>
      <c r="D51" s="1148" t="s">
        <v>832</v>
      </c>
      <c r="E51" s="1147">
        <f>SUM(E39:E43,E45:E50)</f>
        <v>242480</v>
      </c>
      <c r="F51" s="1147">
        <f>SUM(F39:F43,F45:F50)</f>
        <v>0</v>
      </c>
      <c r="G51" s="1147">
        <f>SUM(G39:G43,G45:G50)</f>
        <v>0</v>
      </c>
      <c r="H51" s="1291">
        <f>SUM(H39:H43,H45:H50)</f>
        <v>0</v>
      </c>
      <c r="I51" s="72"/>
      <c r="J51" s="72"/>
    </row>
    <row r="52" spans="1:10" ht="24.75" customHeight="1" hidden="1">
      <c r="A52" s="1270">
        <v>45</v>
      </c>
      <c r="B52" s="73"/>
      <c r="C52" s="76">
        <v>18</v>
      </c>
      <c r="D52" s="77" t="s">
        <v>833</v>
      </c>
      <c r="E52" s="382">
        <v>271</v>
      </c>
      <c r="F52" s="382"/>
      <c r="G52" s="382"/>
      <c r="H52" s="1289"/>
      <c r="I52" s="71"/>
      <c r="J52" s="71"/>
    </row>
    <row r="53" spans="1:10" ht="30" customHeight="1" hidden="1">
      <c r="A53" s="1270">
        <v>46</v>
      </c>
      <c r="B53" s="1278"/>
      <c r="C53" s="1279">
        <v>23</v>
      </c>
      <c r="D53" s="1280" t="s">
        <v>838</v>
      </c>
      <c r="E53" s="1150">
        <v>9091</v>
      </c>
      <c r="F53" s="1150"/>
      <c r="G53" s="1150"/>
      <c r="H53" s="1292"/>
      <c r="I53" s="71"/>
      <c r="J53" s="71"/>
    </row>
    <row r="54" spans="1:10" ht="30" customHeight="1" hidden="1">
      <c r="A54" s="1270">
        <v>47</v>
      </c>
      <c r="B54" s="73"/>
      <c r="C54" s="1661" t="s">
        <v>840</v>
      </c>
      <c r="D54" s="1661"/>
      <c r="E54" s="382"/>
      <c r="F54" s="382"/>
      <c r="G54" s="382"/>
      <c r="H54" s="1289"/>
      <c r="I54" s="71"/>
      <c r="J54" s="71"/>
    </row>
    <row r="55" spans="1:10" ht="15" hidden="1">
      <c r="A55" s="1270">
        <v>48</v>
      </c>
      <c r="B55" s="73">
        <v>2</v>
      </c>
      <c r="C55" s="483"/>
      <c r="D55" s="77" t="s">
        <v>841</v>
      </c>
      <c r="E55" s="382">
        <v>98348</v>
      </c>
      <c r="F55" s="382"/>
      <c r="G55" s="382"/>
      <c r="H55" s="1289"/>
      <c r="I55" s="71"/>
      <c r="J55" s="71"/>
    </row>
    <row r="56" spans="1:10" ht="15" hidden="1">
      <c r="A56" s="1270">
        <v>49</v>
      </c>
      <c r="B56" s="73">
        <v>3</v>
      </c>
      <c r="C56" s="483"/>
      <c r="D56" s="77" t="s">
        <v>842</v>
      </c>
      <c r="E56" s="382">
        <v>27101</v>
      </c>
      <c r="F56" s="382"/>
      <c r="G56" s="382"/>
      <c r="H56" s="1289"/>
      <c r="I56" s="71"/>
      <c r="J56" s="71"/>
    </row>
    <row r="57" spans="1:10" ht="15" hidden="1">
      <c r="A57" s="1270">
        <v>50</v>
      </c>
      <c r="B57" s="73">
        <v>4</v>
      </c>
      <c r="C57" s="483"/>
      <c r="D57" s="77" t="s">
        <v>843</v>
      </c>
      <c r="E57" s="382">
        <v>29734</v>
      </c>
      <c r="F57" s="382"/>
      <c r="G57" s="382"/>
      <c r="H57" s="1289"/>
      <c r="I57" s="71"/>
      <c r="J57" s="71"/>
    </row>
    <row r="58" spans="1:10" ht="30" hidden="1">
      <c r="A58" s="1270">
        <v>51</v>
      </c>
      <c r="B58" s="73">
        <v>5</v>
      </c>
      <c r="C58" s="483"/>
      <c r="D58" s="394" t="s">
        <v>844</v>
      </c>
      <c r="E58" s="382">
        <v>29930</v>
      </c>
      <c r="F58" s="382"/>
      <c r="G58" s="382"/>
      <c r="H58" s="1289"/>
      <c r="I58" s="71"/>
      <c r="J58" s="71"/>
    </row>
    <row r="59" spans="1:10" ht="15" hidden="1">
      <c r="A59" s="1270">
        <v>52</v>
      </c>
      <c r="B59" s="73">
        <v>6</v>
      </c>
      <c r="C59" s="483"/>
      <c r="D59" s="77" t="s">
        <v>0</v>
      </c>
      <c r="E59" s="382">
        <v>18187</v>
      </c>
      <c r="F59" s="382"/>
      <c r="G59" s="382"/>
      <c r="H59" s="1289"/>
      <c r="I59" s="71"/>
      <c r="J59" s="71"/>
    </row>
    <row r="60" spans="1:10" ht="30" customHeight="1" hidden="1">
      <c r="A60" s="1270">
        <v>53</v>
      </c>
      <c r="B60" s="73">
        <v>7</v>
      </c>
      <c r="C60" s="1281" t="s">
        <v>363</v>
      </c>
      <c r="D60" s="71"/>
      <c r="E60" s="382"/>
      <c r="F60" s="382"/>
      <c r="G60" s="382"/>
      <c r="H60" s="1289"/>
      <c r="I60" s="71"/>
      <c r="J60" s="71"/>
    </row>
    <row r="61" spans="1:10" ht="15" hidden="1">
      <c r="A61" s="1270">
        <v>54</v>
      </c>
      <c r="B61" s="73"/>
      <c r="C61" s="76">
        <v>1</v>
      </c>
      <c r="D61" s="77" t="s">
        <v>845</v>
      </c>
      <c r="E61" s="382">
        <v>6593</v>
      </c>
      <c r="F61" s="382"/>
      <c r="G61" s="382"/>
      <c r="H61" s="1289"/>
      <c r="I61" s="71"/>
      <c r="J61" s="71"/>
    </row>
    <row r="62" spans="1:10" ht="30" hidden="1">
      <c r="A62" s="1270">
        <v>55</v>
      </c>
      <c r="B62" s="73"/>
      <c r="C62" s="76">
        <v>2</v>
      </c>
      <c r="D62" s="394" t="s">
        <v>1</v>
      </c>
      <c r="E62" s="382">
        <v>5725</v>
      </c>
      <c r="F62" s="382"/>
      <c r="G62" s="382"/>
      <c r="H62" s="1289"/>
      <c r="I62" s="71"/>
      <c r="J62" s="71"/>
    </row>
    <row r="63" spans="1:10" ht="15" hidden="1">
      <c r="A63" s="1270">
        <v>56</v>
      </c>
      <c r="B63" s="73"/>
      <c r="C63" s="76">
        <v>3</v>
      </c>
      <c r="D63" s="394" t="s">
        <v>847</v>
      </c>
      <c r="E63" s="382">
        <v>15217</v>
      </c>
      <c r="F63" s="382"/>
      <c r="G63" s="382"/>
      <c r="H63" s="1289"/>
      <c r="I63" s="71"/>
      <c r="J63" s="71"/>
    </row>
    <row r="64" spans="1:10" ht="30" hidden="1">
      <c r="A64" s="1270">
        <v>57</v>
      </c>
      <c r="B64" s="73"/>
      <c r="C64" s="76">
        <v>4</v>
      </c>
      <c r="D64" s="394" t="s">
        <v>2</v>
      </c>
      <c r="E64" s="382">
        <v>4582</v>
      </c>
      <c r="F64" s="382"/>
      <c r="G64" s="382"/>
      <c r="H64" s="1289"/>
      <c r="I64" s="71"/>
      <c r="J64" s="71"/>
    </row>
    <row r="65" spans="1:10" ht="15" hidden="1">
      <c r="A65" s="1270">
        <v>58</v>
      </c>
      <c r="B65" s="1278"/>
      <c r="C65" s="1279">
        <v>5</v>
      </c>
      <c r="D65" s="1282" t="s">
        <v>848</v>
      </c>
      <c r="E65" s="1150">
        <v>30263</v>
      </c>
      <c r="F65" s="1150"/>
      <c r="G65" s="1150"/>
      <c r="H65" s="1293"/>
      <c r="I65" s="71"/>
      <c r="J65" s="71"/>
    </row>
    <row r="66" spans="1:10" ht="30" customHeight="1" hidden="1" thickBot="1">
      <c r="A66" s="1270">
        <v>59</v>
      </c>
      <c r="B66" s="66">
        <v>7</v>
      </c>
      <c r="C66" s="1657" t="s">
        <v>849</v>
      </c>
      <c r="D66" s="1657"/>
      <c r="E66" s="659">
        <f>SUM(E61:E65)</f>
        <v>62380</v>
      </c>
      <c r="F66" s="659">
        <f>SUM(F61:F65)</f>
        <v>0</v>
      </c>
      <c r="G66" s="659">
        <f>SUM(G61:G65)</f>
        <v>0</v>
      </c>
      <c r="H66" s="1294">
        <f>SUM(H61:H65)</f>
        <v>0</v>
      </c>
      <c r="I66" s="71"/>
      <c r="J66" s="71"/>
    </row>
    <row r="67" spans="1:10" ht="30" customHeight="1" hidden="1" thickBot="1">
      <c r="A67" s="1270">
        <v>60</v>
      </c>
      <c r="B67" s="66"/>
      <c r="C67" s="1657" t="s">
        <v>850</v>
      </c>
      <c r="D67" s="1657"/>
      <c r="E67" s="659">
        <f>SUM(E55:E65)</f>
        <v>265680</v>
      </c>
      <c r="F67" s="659">
        <f>SUM(F55:F65)</f>
        <v>0</v>
      </c>
      <c r="G67" s="659">
        <f>SUM(G55:G65)</f>
        <v>0</v>
      </c>
      <c r="H67" s="1294">
        <f>SUM(H55:H65)</f>
        <v>0</v>
      </c>
      <c r="I67" s="71"/>
      <c r="J67" s="71"/>
    </row>
    <row r="68" spans="1:10" ht="15">
      <c r="A68" s="1270"/>
      <c r="B68" s="1270"/>
      <c r="C68" s="79"/>
      <c r="D68" s="79"/>
      <c r="E68" s="381"/>
      <c r="F68" s="381"/>
      <c r="G68" s="381"/>
      <c r="H68" s="1295"/>
      <c r="I68" s="79"/>
      <c r="J68" s="79"/>
    </row>
  </sheetData>
  <sheetProtection/>
  <mergeCells count="19">
    <mergeCell ref="G6:G7"/>
    <mergeCell ref="B1:D1"/>
    <mergeCell ref="B6:B7"/>
    <mergeCell ref="C6:C7"/>
    <mergeCell ref="D6:D7"/>
    <mergeCell ref="B2:I2"/>
    <mergeCell ref="B3:I3"/>
    <mergeCell ref="I6:I7"/>
    <mergeCell ref="H6:H7"/>
    <mergeCell ref="E6:E7"/>
    <mergeCell ref="F6:F7"/>
    <mergeCell ref="C67:D67"/>
    <mergeCell ref="C34:D34"/>
    <mergeCell ref="C35:D35"/>
    <mergeCell ref="C36:D36"/>
    <mergeCell ref="C37:D37"/>
    <mergeCell ref="C38:D38"/>
    <mergeCell ref="C54:D54"/>
    <mergeCell ref="C66:D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0"/>
  <sheetViews>
    <sheetView view="pageBreakPreview" zoomScale="80" zoomScaleSheetLayoutView="80" zoomScalePageLayoutView="0" workbookViewId="0" topLeftCell="A379">
      <selection activeCell="D163" sqref="D163:H163"/>
    </sheetView>
  </sheetViews>
  <sheetFormatPr defaultColWidth="9.125" defaultRowHeight="12.75"/>
  <cols>
    <col min="1" max="1" width="3.625" style="226" bestFit="1" customWidth="1"/>
    <col min="2" max="2" width="4.00390625" style="387" customWidth="1"/>
    <col min="3" max="3" width="4.125" style="388" customWidth="1"/>
    <col min="4" max="4" width="50.75390625" style="389" customWidth="1"/>
    <col min="5" max="5" width="5.75390625" style="223" customWidth="1"/>
    <col min="6" max="8" width="10.75390625" style="390" customWidth="1"/>
    <col min="9" max="17" width="14.75390625" style="389" customWidth="1"/>
    <col min="18" max="18" width="9.625" style="389" hidden="1" customWidth="1"/>
    <col min="19" max="19" width="0" style="389" hidden="1" customWidth="1"/>
    <col min="20" max="16384" width="9.125" style="389" customWidth="1"/>
  </cols>
  <sheetData>
    <row r="1" spans="1:8" s="79" customFormat="1" ht="15">
      <c r="A1" s="226"/>
      <c r="B1" s="1639" t="s">
        <v>784</v>
      </c>
      <c r="C1" s="1639"/>
      <c r="D1" s="1639"/>
      <c r="E1" s="1639"/>
      <c r="F1" s="1639"/>
      <c r="G1" s="701"/>
      <c r="H1" s="381"/>
    </row>
    <row r="2" spans="1:17" s="79" customFormat="1" ht="21" customHeight="1">
      <c r="A2" s="226"/>
      <c r="B2" s="1651" t="s">
        <v>208</v>
      </c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1"/>
      <c r="O2" s="1651"/>
      <c r="P2" s="1651"/>
      <c r="Q2" s="1651"/>
    </row>
    <row r="3" spans="1:17" s="79" customFormat="1" ht="21" customHeight="1">
      <c r="A3" s="226"/>
      <c r="B3" s="1651" t="s">
        <v>402</v>
      </c>
      <c r="C3" s="1651"/>
      <c r="D3" s="1651"/>
      <c r="E3" s="1651"/>
      <c r="F3" s="1651"/>
      <c r="G3" s="1651"/>
      <c r="H3" s="1651"/>
      <c r="I3" s="1651"/>
      <c r="J3" s="1651"/>
      <c r="K3" s="1651"/>
      <c r="L3" s="1651"/>
      <c r="M3" s="1651"/>
      <c r="N3" s="1651"/>
      <c r="O3" s="1651"/>
      <c r="P3" s="1651"/>
      <c r="Q3" s="1651"/>
    </row>
    <row r="4" spans="1:17" s="79" customFormat="1" ht="21" customHeight="1">
      <c r="A4" s="226"/>
      <c r="B4" s="1680" t="s">
        <v>1061</v>
      </c>
      <c r="C4" s="1680"/>
      <c r="D4" s="1680"/>
      <c r="E4" s="1680"/>
      <c r="F4" s="1680"/>
      <c r="G4" s="1680"/>
      <c r="H4" s="1680"/>
      <c r="I4" s="1680"/>
      <c r="J4" s="1680"/>
      <c r="K4" s="1680"/>
      <c r="L4" s="1680"/>
      <c r="M4" s="1680"/>
      <c r="N4" s="1680"/>
      <c r="O4" s="1680"/>
      <c r="P4" s="1680"/>
      <c r="Q4" s="1680"/>
    </row>
    <row r="5" spans="9:17" ht="15">
      <c r="I5" s="133"/>
      <c r="P5" s="1681" t="s">
        <v>135</v>
      </c>
      <c r="Q5" s="1681"/>
    </row>
    <row r="6" spans="1:17" s="223" customFormat="1" ht="15.75" thickBot="1">
      <c r="A6" s="226"/>
      <c r="B6" s="387" t="s">
        <v>146</v>
      </c>
      <c r="C6" s="387" t="s">
        <v>147</v>
      </c>
      <c r="D6" s="223" t="s">
        <v>148</v>
      </c>
      <c r="E6" s="223" t="s">
        <v>149</v>
      </c>
      <c r="F6" s="668" t="s">
        <v>150</v>
      </c>
      <c r="G6" s="668" t="s">
        <v>151</v>
      </c>
      <c r="H6" s="668" t="s">
        <v>152</v>
      </c>
      <c r="I6" s="223" t="s">
        <v>911</v>
      </c>
      <c r="J6" s="223" t="s">
        <v>912</v>
      </c>
      <c r="K6" s="223" t="s">
        <v>858</v>
      </c>
      <c r="L6" s="223" t="s">
        <v>859</v>
      </c>
      <c r="M6" s="223" t="s">
        <v>860</v>
      </c>
      <c r="N6" s="223" t="s">
        <v>861</v>
      </c>
      <c r="O6" s="223" t="s">
        <v>862</v>
      </c>
      <c r="P6" s="223" t="s">
        <v>875</v>
      </c>
      <c r="Q6" s="223" t="s">
        <v>209</v>
      </c>
    </row>
    <row r="7" spans="1:17" s="223" customFormat="1" ht="15">
      <c r="A7" s="226"/>
      <c r="B7" s="1673" t="s">
        <v>790</v>
      </c>
      <c r="C7" s="1673" t="s">
        <v>418</v>
      </c>
      <c r="D7" s="1687" t="s">
        <v>136</v>
      </c>
      <c r="E7" s="1682" t="s">
        <v>800</v>
      </c>
      <c r="F7" s="1671" t="s">
        <v>210</v>
      </c>
      <c r="G7" s="1671" t="s">
        <v>198</v>
      </c>
      <c r="H7" s="1685" t="s">
        <v>38</v>
      </c>
      <c r="I7" s="1678" t="s">
        <v>153</v>
      </c>
      <c r="J7" s="1675" t="s">
        <v>888</v>
      </c>
      <c r="K7" s="1676"/>
      <c r="L7" s="1676"/>
      <c r="M7" s="1676"/>
      <c r="N7" s="1677"/>
      <c r="O7" s="1684" t="s">
        <v>890</v>
      </c>
      <c r="P7" s="1684"/>
      <c r="Q7" s="1684"/>
    </row>
    <row r="8" spans="1:17" s="223" customFormat="1" ht="45" customHeight="1" thickBot="1">
      <c r="A8" s="226"/>
      <c r="B8" s="1674"/>
      <c r="C8" s="1674"/>
      <c r="D8" s="1688"/>
      <c r="E8" s="1683"/>
      <c r="F8" s="1672"/>
      <c r="G8" s="1672"/>
      <c r="H8" s="1686"/>
      <c r="I8" s="1679"/>
      <c r="J8" s="1492" t="s">
        <v>869</v>
      </c>
      <c r="K8" s="1492" t="s">
        <v>867</v>
      </c>
      <c r="L8" s="1492" t="s">
        <v>870</v>
      </c>
      <c r="M8" s="1492" t="s">
        <v>887</v>
      </c>
      <c r="N8" s="1492" t="s">
        <v>871</v>
      </c>
      <c r="O8" s="391" t="s">
        <v>891</v>
      </c>
      <c r="P8" s="702" t="s">
        <v>892</v>
      </c>
      <c r="Q8" s="1492" t="s">
        <v>809</v>
      </c>
    </row>
    <row r="9" spans="1:18" s="136" customFormat="1" ht="27.75" customHeight="1">
      <c r="A9" s="224">
        <v>1</v>
      </c>
      <c r="B9" s="873">
        <v>1</v>
      </c>
      <c r="C9" s="426"/>
      <c r="D9" s="1196" t="s">
        <v>277</v>
      </c>
      <c r="E9" s="1197" t="s">
        <v>859</v>
      </c>
      <c r="F9" s="341">
        <v>136600</v>
      </c>
      <c r="G9" s="341">
        <v>118352</v>
      </c>
      <c r="H9" s="341">
        <v>130202</v>
      </c>
      <c r="I9" s="704"/>
      <c r="J9" s="222"/>
      <c r="K9" s="222"/>
      <c r="L9" s="222"/>
      <c r="M9" s="222"/>
      <c r="N9" s="222"/>
      <c r="O9" s="222"/>
      <c r="P9" s="222"/>
      <c r="Q9" s="1195"/>
      <c r="R9" s="136">
        <f>(SUM(J11:Q11))-I11</f>
        <v>0</v>
      </c>
    </row>
    <row r="10" spans="1:18" s="71" customFormat="1" ht="15">
      <c r="A10" s="224">
        <v>2</v>
      </c>
      <c r="B10" s="73"/>
      <c r="C10" s="76"/>
      <c r="D10" s="1155" t="s">
        <v>200</v>
      </c>
      <c r="E10" s="705"/>
      <c r="F10" s="382"/>
      <c r="G10" s="382"/>
      <c r="H10" s="382"/>
      <c r="I10" s="661"/>
      <c r="Q10" s="78"/>
      <c r="R10" s="136">
        <f>(SUM(J13:Q13))-I13</f>
        <v>0</v>
      </c>
    </row>
    <row r="11" spans="1:18" s="846" customFormat="1" ht="15">
      <c r="A11" s="224">
        <v>3</v>
      </c>
      <c r="B11" s="837"/>
      <c r="C11" s="838"/>
      <c r="D11" s="850" t="s">
        <v>403</v>
      </c>
      <c r="E11" s="851"/>
      <c r="F11" s="852"/>
      <c r="G11" s="852"/>
      <c r="H11" s="852"/>
      <c r="I11" s="853">
        <f>SUM(J11:Q11)</f>
        <v>166856</v>
      </c>
      <c r="J11" s="840">
        <v>92919</v>
      </c>
      <c r="K11" s="840">
        <v>27386</v>
      </c>
      <c r="L11" s="840">
        <v>45551</v>
      </c>
      <c r="M11" s="840"/>
      <c r="N11" s="840"/>
      <c r="O11" s="840">
        <v>1000</v>
      </c>
      <c r="P11" s="840"/>
      <c r="Q11" s="842"/>
      <c r="R11" s="840">
        <f>(SUM(J15:Q15))-I15</f>
        <v>0</v>
      </c>
    </row>
    <row r="12" spans="1:18" s="71" customFormat="1" ht="15">
      <c r="A12" s="224">
        <v>4</v>
      </c>
      <c r="B12" s="73"/>
      <c r="C12" s="76"/>
      <c r="D12" s="141" t="s">
        <v>957</v>
      </c>
      <c r="E12" s="705"/>
      <c r="F12" s="382"/>
      <c r="G12" s="382"/>
      <c r="H12" s="382"/>
      <c r="I12" s="660">
        <f>SUM(J12:Q12)</f>
        <v>171098</v>
      </c>
      <c r="J12" s="136">
        <v>95163</v>
      </c>
      <c r="K12" s="136">
        <v>27534</v>
      </c>
      <c r="L12" s="136">
        <v>42574</v>
      </c>
      <c r="M12" s="136"/>
      <c r="N12" s="136">
        <v>690</v>
      </c>
      <c r="O12" s="136">
        <v>5137</v>
      </c>
      <c r="P12" s="136"/>
      <c r="Q12" s="306"/>
      <c r="R12" s="136"/>
    </row>
    <row r="13" spans="1:18" s="72" customFormat="1" ht="15">
      <c r="A13" s="224">
        <v>5</v>
      </c>
      <c r="B13" s="132"/>
      <c r="C13" s="227"/>
      <c r="D13" s="324" t="s">
        <v>1043</v>
      </c>
      <c r="E13" s="396"/>
      <c r="F13" s="386"/>
      <c r="G13" s="386"/>
      <c r="H13" s="382"/>
      <c r="I13" s="706">
        <f>SUM(J13:Q13)</f>
        <v>90</v>
      </c>
      <c r="J13" s="72">
        <v>71</v>
      </c>
      <c r="K13" s="72">
        <v>19</v>
      </c>
      <c r="Q13" s="112"/>
      <c r="R13" s="137">
        <f>(SUM(J16:Q16))-I16</f>
        <v>0</v>
      </c>
    </row>
    <row r="14" spans="1:18" s="72" customFormat="1" ht="15">
      <c r="A14" s="224">
        <v>6</v>
      </c>
      <c r="B14" s="132"/>
      <c r="C14" s="227"/>
      <c r="D14" s="324" t="s">
        <v>1206</v>
      </c>
      <c r="E14" s="396"/>
      <c r="F14" s="386"/>
      <c r="G14" s="386"/>
      <c r="H14" s="382"/>
      <c r="I14" s="706">
        <f>SUM(J14:Q14)</f>
        <v>700</v>
      </c>
      <c r="L14" s="72">
        <v>-2462</v>
      </c>
      <c r="O14" s="72">
        <v>3162</v>
      </c>
      <c r="Q14" s="112"/>
      <c r="R14" s="137"/>
    </row>
    <row r="15" spans="1:18" s="74" customFormat="1" ht="15">
      <c r="A15" s="224">
        <v>7</v>
      </c>
      <c r="B15" s="1496"/>
      <c r="C15" s="1497"/>
      <c r="D15" s="138" t="s">
        <v>1067</v>
      </c>
      <c r="E15" s="707"/>
      <c r="F15" s="383"/>
      <c r="G15" s="383"/>
      <c r="H15" s="383"/>
      <c r="I15" s="711">
        <f>SUM(J15:Q15)</f>
        <v>171888</v>
      </c>
      <c r="J15" s="74">
        <f>SUM(J12:J14)</f>
        <v>95234</v>
      </c>
      <c r="K15" s="74">
        <f aca="true" t="shared" si="0" ref="K15:Q15">SUM(K12:K14)</f>
        <v>27553</v>
      </c>
      <c r="L15" s="74">
        <f t="shared" si="0"/>
        <v>40112</v>
      </c>
      <c r="M15" s="74">
        <f t="shared" si="0"/>
        <v>0</v>
      </c>
      <c r="N15" s="74">
        <f t="shared" si="0"/>
        <v>690</v>
      </c>
      <c r="O15" s="74">
        <f t="shared" si="0"/>
        <v>8299</v>
      </c>
      <c r="P15" s="74">
        <f t="shared" si="0"/>
        <v>0</v>
      </c>
      <c r="Q15" s="75">
        <f t="shared" si="0"/>
        <v>0</v>
      </c>
      <c r="R15" s="228">
        <f>(SUM(J17:Q17))-I17</f>
        <v>0</v>
      </c>
    </row>
    <row r="16" spans="1:18" s="136" customFormat="1" ht="15">
      <c r="A16" s="224">
        <v>8</v>
      </c>
      <c r="B16" s="134"/>
      <c r="C16" s="135">
        <v>1</v>
      </c>
      <c r="D16" s="1668" t="s">
        <v>211</v>
      </c>
      <c r="E16" s="1668"/>
      <c r="F16" s="1668"/>
      <c r="G16" s="1668"/>
      <c r="H16" s="340">
        <v>1131</v>
      </c>
      <c r="I16" s="660"/>
      <c r="Q16" s="306"/>
      <c r="R16" s="136">
        <f>(SUM(J19:Q19))-I19</f>
        <v>0</v>
      </c>
    </row>
    <row r="17" spans="1:18" s="846" customFormat="1" ht="15">
      <c r="A17" s="224">
        <v>9</v>
      </c>
      <c r="B17" s="837"/>
      <c r="C17" s="838"/>
      <c r="D17" s="854" t="s">
        <v>403</v>
      </c>
      <c r="E17" s="851"/>
      <c r="F17" s="852"/>
      <c r="G17" s="852"/>
      <c r="H17" s="852"/>
      <c r="I17" s="855">
        <f>SUM(J17:Q17)</f>
        <v>0</v>
      </c>
      <c r="J17" s="840"/>
      <c r="K17" s="840"/>
      <c r="L17" s="840"/>
      <c r="M17" s="840"/>
      <c r="N17" s="840"/>
      <c r="O17" s="840"/>
      <c r="P17" s="840"/>
      <c r="Q17" s="842"/>
      <c r="R17" s="840">
        <f>(SUM(J20:Q20))-I20</f>
        <v>0</v>
      </c>
    </row>
    <row r="18" spans="1:18" s="71" customFormat="1" ht="15">
      <c r="A18" s="224">
        <v>10</v>
      </c>
      <c r="B18" s="73"/>
      <c r="C18" s="76"/>
      <c r="D18" s="446" t="s">
        <v>957</v>
      </c>
      <c r="E18" s="705"/>
      <c r="F18" s="382"/>
      <c r="G18" s="382"/>
      <c r="H18" s="382"/>
      <c r="I18" s="661">
        <f>SUM(J18:Q18)</f>
        <v>1628</v>
      </c>
      <c r="J18" s="136">
        <v>1269</v>
      </c>
      <c r="K18" s="136">
        <v>359</v>
      </c>
      <c r="L18" s="136"/>
      <c r="M18" s="136"/>
      <c r="N18" s="136"/>
      <c r="O18" s="136"/>
      <c r="P18" s="136"/>
      <c r="Q18" s="306"/>
      <c r="R18" s="136"/>
    </row>
    <row r="19" spans="1:18" s="72" customFormat="1" ht="15">
      <c r="A19" s="224">
        <v>11</v>
      </c>
      <c r="B19" s="132"/>
      <c r="C19" s="227"/>
      <c r="D19" s="447" t="s">
        <v>405</v>
      </c>
      <c r="E19" s="396"/>
      <c r="F19" s="386"/>
      <c r="G19" s="386"/>
      <c r="H19" s="382"/>
      <c r="I19" s="661">
        <f>SUM(J19:Q19)</f>
        <v>0</v>
      </c>
      <c r="Q19" s="112"/>
      <c r="R19" s="137"/>
    </row>
    <row r="20" spans="1:18" s="74" customFormat="1" ht="15">
      <c r="A20" s="224">
        <v>12</v>
      </c>
      <c r="B20" s="1496"/>
      <c r="C20" s="1497"/>
      <c r="D20" s="448" t="s">
        <v>1067</v>
      </c>
      <c r="E20" s="707"/>
      <c r="F20" s="383"/>
      <c r="G20" s="383"/>
      <c r="H20" s="383"/>
      <c r="I20" s="663">
        <f>SUM(J20:Q20)</f>
        <v>1628</v>
      </c>
      <c r="J20" s="74">
        <f>SUM(J18:J19)</f>
        <v>1269</v>
      </c>
      <c r="K20" s="74">
        <f aca="true" t="shared" si="1" ref="K20:Q20">SUM(K18:K19)</f>
        <v>359</v>
      </c>
      <c r="L20" s="74">
        <f t="shared" si="1"/>
        <v>0</v>
      </c>
      <c r="M20" s="74">
        <f t="shared" si="1"/>
        <v>0</v>
      </c>
      <c r="N20" s="74">
        <f t="shared" si="1"/>
        <v>0</v>
      </c>
      <c r="O20" s="74">
        <f t="shared" si="1"/>
        <v>0</v>
      </c>
      <c r="P20" s="74">
        <f t="shared" si="1"/>
        <v>0</v>
      </c>
      <c r="Q20" s="75">
        <f t="shared" si="1"/>
        <v>0</v>
      </c>
      <c r="R20" s="228"/>
    </row>
    <row r="21" spans="1:18" s="133" customFormat="1" ht="15">
      <c r="A21" s="224">
        <v>13</v>
      </c>
      <c r="B21" s="134"/>
      <c r="C21" s="135">
        <v>2</v>
      </c>
      <c r="D21" s="1494" t="s">
        <v>857</v>
      </c>
      <c r="E21" s="700"/>
      <c r="F21" s="340"/>
      <c r="G21" s="340"/>
      <c r="H21" s="340"/>
      <c r="I21" s="660"/>
      <c r="J21" s="136"/>
      <c r="K21" s="136"/>
      <c r="L21" s="136"/>
      <c r="M21" s="136"/>
      <c r="N21" s="136"/>
      <c r="O21" s="136"/>
      <c r="P21" s="136"/>
      <c r="Q21" s="306"/>
      <c r="R21" s="133">
        <f>(SUM(J22:Q22))-I22</f>
        <v>0</v>
      </c>
    </row>
    <row r="22" spans="1:18" s="846" customFormat="1" ht="15">
      <c r="A22" s="224">
        <v>14</v>
      </c>
      <c r="B22" s="837"/>
      <c r="C22" s="838"/>
      <c r="D22" s="854" t="s">
        <v>403</v>
      </c>
      <c r="E22" s="851"/>
      <c r="F22" s="852"/>
      <c r="G22" s="852"/>
      <c r="H22" s="852"/>
      <c r="I22" s="856">
        <f>SUM(J22:Q22)</f>
        <v>792</v>
      </c>
      <c r="J22" s="857">
        <v>618</v>
      </c>
      <c r="K22" s="857">
        <v>83</v>
      </c>
      <c r="L22" s="857">
        <v>91</v>
      </c>
      <c r="M22" s="857"/>
      <c r="N22" s="857"/>
      <c r="O22" s="857"/>
      <c r="P22" s="857"/>
      <c r="Q22" s="858"/>
      <c r="R22" s="840"/>
    </row>
    <row r="23" spans="1:18" s="71" customFormat="1" ht="15">
      <c r="A23" s="224">
        <v>15</v>
      </c>
      <c r="B23" s="73"/>
      <c r="C23" s="76"/>
      <c r="D23" s="446" t="s">
        <v>957</v>
      </c>
      <c r="E23" s="705"/>
      <c r="F23" s="382"/>
      <c r="G23" s="382"/>
      <c r="H23" s="382"/>
      <c r="I23" s="708">
        <f>SUM(J23:Q23)</f>
        <v>792</v>
      </c>
      <c r="J23" s="393">
        <v>618</v>
      </c>
      <c r="K23" s="393">
        <v>83</v>
      </c>
      <c r="L23" s="393">
        <v>91</v>
      </c>
      <c r="M23" s="393"/>
      <c r="N23" s="393"/>
      <c r="O23" s="393"/>
      <c r="P23" s="393"/>
      <c r="Q23" s="709"/>
      <c r="R23" s="136"/>
    </row>
    <row r="24" spans="1:18" s="72" customFormat="1" ht="15">
      <c r="A24" s="224">
        <v>16</v>
      </c>
      <c r="B24" s="132"/>
      <c r="C24" s="227"/>
      <c r="D24" s="447" t="s">
        <v>405</v>
      </c>
      <c r="E24" s="396"/>
      <c r="F24" s="386"/>
      <c r="G24" s="386"/>
      <c r="H24" s="382"/>
      <c r="I24" s="710">
        <f>SUM(J24:Q24)</f>
        <v>0</v>
      </c>
      <c r="Q24" s="112"/>
      <c r="R24" s="137"/>
    </row>
    <row r="25" spans="1:18" s="74" customFormat="1" ht="15">
      <c r="A25" s="224">
        <v>17</v>
      </c>
      <c r="B25" s="1496"/>
      <c r="C25" s="1497"/>
      <c r="D25" s="448" t="s">
        <v>1067</v>
      </c>
      <c r="E25" s="707"/>
      <c r="F25" s="383"/>
      <c r="G25" s="383"/>
      <c r="H25" s="383"/>
      <c r="I25" s="713">
        <f>SUM(J25:Q25)</f>
        <v>792</v>
      </c>
      <c r="J25" s="74">
        <f>SUM(J23:J24)</f>
        <v>618</v>
      </c>
      <c r="K25" s="74">
        <f aca="true" t="shared" si="2" ref="K25:Q25">SUM(K23:K24)</f>
        <v>83</v>
      </c>
      <c r="L25" s="74">
        <f t="shared" si="2"/>
        <v>91</v>
      </c>
      <c r="M25" s="74">
        <f t="shared" si="2"/>
        <v>0</v>
      </c>
      <c r="N25" s="74">
        <f t="shared" si="2"/>
        <v>0</v>
      </c>
      <c r="O25" s="74">
        <f t="shared" si="2"/>
        <v>0</v>
      </c>
      <c r="P25" s="74">
        <f t="shared" si="2"/>
        <v>0</v>
      </c>
      <c r="Q25" s="75">
        <f t="shared" si="2"/>
        <v>0</v>
      </c>
      <c r="R25" s="228"/>
    </row>
    <row r="26" spans="1:18" s="136" customFormat="1" ht="27.75" customHeight="1">
      <c r="A26" s="224">
        <v>18</v>
      </c>
      <c r="B26" s="134">
        <v>2</v>
      </c>
      <c r="C26" s="135"/>
      <c r="D26" s="141" t="s">
        <v>420</v>
      </c>
      <c r="E26" s="703" t="s">
        <v>859</v>
      </c>
      <c r="F26" s="340">
        <v>224901</v>
      </c>
      <c r="G26" s="340">
        <v>202218</v>
      </c>
      <c r="H26" s="340">
        <v>228374</v>
      </c>
      <c r="I26" s="660"/>
      <c r="Q26" s="306"/>
      <c r="R26" s="136">
        <f>(SUM(J28:Q28))-I28</f>
        <v>0</v>
      </c>
    </row>
    <row r="27" spans="1:18" s="71" customFormat="1" ht="15">
      <c r="A27" s="224">
        <v>19</v>
      </c>
      <c r="B27" s="73"/>
      <c r="C27" s="76"/>
      <c r="D27" s="1155" t="s">
        <v>201</v>
      </c>
      <c r="E27" s="705"/>
      <c r="F27" s="382"/>
      <c r="G27" s="382"/>
      <c r="H27" s="382"/>
      <c r="I27" s="661"/>
      <c r="Q27" s="78"/>
      <c r="R27" s="136">
        <f>(SUM(J30:Q30))-I30</f>
        <v>0</v>
      </c>
    </row>
    <row r="28" spans="1:18" s="846" customFormat="1" ht="15">
      <c r="A28" s="224">
        <v>20</v>
      </c>
      <c r="B28" s="837"/>
      <c r="C28" s="838"/>
      <c r="D28" s="850" t="s">
        <v>403</v>
      </c>
      <c r="E28" s="851"/>
      <c r="F28" s="852"/>
      <c r="G28" s="852"/>
      <c r="H28" s="852"/>
      <c r="I28" s="853">
        <f>SUM(J28:Q28)</f>
        <v>291675</v>
      </c>
      <c r="J28" s="840">
        <v>179529</v>
      </c>
      <c r="K28" s="840">
        <v>50573</v>
      </c>
      <c r="L28" s="840">
        <v>60993</v>
      </c>
      <c r="M28" s="840"/>
      <c r="N28" s="840"/>
      <c r="O28" s="840">
        <v>580</v>
      </c>
      <c r="P28" s="840"/>
      <c r="Q28" s="842"/>
      <c r="R28" s="840">
        <f>(SUM(J32:Q32))-I32</f>
        <v>0</v>
      </c>
    </row>
    <row r="29" spans="1:18" s="71" customFormat="1" ht="15">
      <c r="A29" s="224">
        <v>21</v>
      </c>
      <c r="B29" s="73"/>
      <c r="C29" s="76"/>
      <c r="D29" s="141" t="s">
        <v>957</v>
      </c>
      <c r="E29" s="705"/>
      <c r="F29" s="382"/>
      <c r="G29" s="382"/>
      <c r="H29" s="382"/>
      <c r="I29" s="660">
        <f>SUM(J29:Q29)</f>
        <v>304222</v>
      </c>
      <c r="J29" s="136">
        <v>187657</v>
      </c>
      <c r="K29" s="136">
        <v>50167</v>
      </c>
      <c r="L29" s="136">
        <v>55321</v>
      </c>
      <c r="M29" s="136"/>
      <c r="N29" s="136">
        <v>2600</v>
      </c>
      <c r="O29" s="136">
        <v>8477</v>
      </c>
      <c r="P29" s="136"/>
      <c r="Q29" s="306"/>
      <c r="R29" s="136"/>
    </row>
    <row r="30" spans="1:18" s="72" customFormat="1" ht="15">
      <c r="A30" s="224">
        <v>22</v>
      </c>
      <c r="B30" s="132"/>
      <c r="C30" s="227"/>
      <c r="D30" s="324" t="s">
        <v>1074</v>
      </c>
      <c r="E30" s="396"/>
      <c r="F30" s="386"/>
      <c r="G30" s="386"/>
      <c r="H30" s="382"/>
      <c r="I30" s="706">
        <f>SUM(J30:Q30)</f>
        <v>174</v>
      </c>
      <c r="J30" s="72">
        <v>137</v>
      </c>
      <c r="K30" s="72">
        <v>37</v>
      </c>
      <c r="Q30" s="112"/>
      <c r="R30" s="137">
        <f>(SUM(J33:Q33))-I33</f>
        <v>0</v>
      </c>
    </row>
    <row r="31" spans="1:18" s="72" customFormat="1" ht="15">
      <c r="A31" s="224">
        <v>23</v>
      </c>
      <c r="B31" s="132"/>
      <c r="C31" s="227"/>
      <c r="D31" s="324" t="s">
        <v>1087</v>
      </c>
      <c r="E31" s="396"/>
      <c r="F31" s="386"/>
      <c r="G31" s="386"/>
      <c r="H31" s="382"/>
      <c r="I31" s="706">
        <f>SUM(J31:Q31)</f>
        <v>0</v>
      </c>
      <c r="J31" s="72">
        <v>-900</v>
      </c>
      <c r="K31" s="72">
        <v>900</v>
      </c>
      <c r="L31" s="72">
        <v>-500</v>
      </c>
      <c r="O31" s="72">
        <v>500</v>
      </c>
      <c r="Q31" s="112"/>
      <c r="R31" s="137"/>
    </row>
    <row r="32" spans="1:18" s="74" customFormat="1" ht="15">
      <c r="A32" s="224">
        <v>24</v>
      </c>
      <c r="B32" s="1496"/>
      <c r="C32" s="1497"/>
      <c r="D32" s="138" t="s">
        <v>1067</v>
      </c>
      <c r="E32" s="707"/>
      <c r="F32" s="383"/>
      <c r="G32" s="383"/>
      <c r="H32" s="383"/>
      <c r="I32" s="663">
        <f>SUM(J32:Q32)</f>
        <v>304396</v>
      </c>
      <c r="J32" s="74">
        <f aca="true" t="shared" si="3" ref="J32:Q32">SUM(J29:J31)</f>
        <v>186894</v>
      </c>
      <c r="K32" s="74">
        <f t="shared" si="3"/>
        <v>51104</v>
      </c>
      <c r="L32" s="74">
        <f t="shared" si="3"/>
        <v>54821</v>
      </c>
      <c r="M32" s="74">
        <f t="shared" si="3"/>
        <v>0</v>
      </c>
      <c r="N32" s="74">
        <f t="shared" si="3"/>
        <v>2600</v>
      </c>
      <c r="O32" s="74">
        <f t="shared" si="3"/>
        <v>8977</v>
      </c>
      <c r="P32" s="74">
        <f t="shared" si="3"/>
        <v>0</v>
      </c>
      <c r="Q32" s="75">
        <f t="shared" si="3"/>
        <v>0</v>
      </c>
      <c r="R32" s="228">
        <f aca="true" t="shared" si="4" ref="R32:R37">(SUM(J34:Q34))-I34</f>
        <v>0</v>
      </c>
    </row>
    <row r="33" spans="1:18" s="136" customFormat="1" ht="15">
      <c r="A33" s="224">
        <v>25</v>
      </c>
      <c r="B33" s="134"/>
      <c r="C33" s="135">
        <v>1</v>
      </c>
      <c r="D33" s="1668" t="s">
        <v>211</v>
      </c>
      <c r="E33" s="1668"/>
      <c r="F33" s="1668"/>
      <c r="G33" s="1668"/>
      <c r="H33" s="340">
        <v>1010</v>
      </c>
      <c r="I33" s="711"/>
      <c r="J33" s="228"/>
      <c r="K33" s="228"/>
      <c r="L33" s="228"/>
      <c r="M33" s="228"/>
      <c r="N33" s="228"/>
      <c r="O33" s="228"/>
      <c r="P33" s="228"/>
      <c r="Q33" s="111"/>
      <c r="R33" s="136">
        <f>(SUM(J36:Q36))-I36</f>
        <v>0</v>
      </c>
    </row>
    <row r="34" spans="1:18" s="846" customFormat="1" ht="15">
      <c r="A34" s="224">
        <v>26</v>
      </c>
      <c r="B34" s="837"/>
      <c r="C34" s="838"/>
      <c r="D34" s="854" t="s">
        <v>403</v>
      </c>
      <c r="E34" s="851"/>
      <c r="F34" s="852"/>
      <c r="G34" s="852"/>
      <c r="H34" s="852"/>
      <c r="I34" s="856">
        <f>SUM(J34:Q34)</f>
        <v>0</v>
      </c>
      <c r="J34" s="857"/>
      <c r="K34" s="857"/>
      <c r="L34" s="857"/>
      <c r="M34" s="857"/>
      <c r="N34" s="857"/>
      <c r="O34" s="857"/>
      <c r="P34" s="857"/>
      <c r="Q34" s="858"/>
      <c r="R34" s="840">
        <f>(SUM(J37:Q37))-I37</f>
        <v>0</v>
      </c>
    </row>
    <row r="35" spans="1:18" s="71" customFormat="1" ht="15">
      <c r="A35" s="224">
        <v>27</v>
      </c>
      <c r="B35" s="73"/>
      <c r="C35" s="76"/>
      <c r="D35" s="446" t="s">
        <v>957</v>
      </c>
      <c r="E35" s="705"/>
      <c r="F35" s="382"/>
      <c r="G35" s="382"/>
      <c r="H35" s="382"/>
      <c r="I35" s="708">
        <f>SUM(J35:Q35)</f>
        <v>1948</v>
      </c>
      <c r="J35" s="393">
        <v>1521</v>
      </c>
      <c r="K35" s="393">
        <v>427</v>
      </c>
      <c r="L35" s="393"/>
      <c r="M35" s="393"/>
      <c r="N35" s="393"/>
      <c r="O35" s="393"/>
      <c r="P35" s="393"/>
      <c r="Q35" s="709"/>
      <c r="R35" s="136"/>
    </row>
    <row r="36" spans="1:18" s="72" customFormat="1" ht="15">
      <c r="A36" s="224">
        <v>28</v>
      </c>
      <c r="B36" s="132"/>
      <c r="C36" s="227"/>
      <c r="D36" s="447" t="s">
        <v>405</v>
      </c>
      <c r="E36" s="396"/>
      <c r="F36" s="386"/>
      <c r="G36" s="386"/>
      <c r="H36" s="382"/>
      <c r="I36" s="710">
        <f>SUM(J36:Q36)</f>
        <v>0</v>
      </c>
      <c r="Q36" s="112"/>
      <c r="R36" s="137">
        <f t="shared" si="4"/>
        <v>0</v>
      </c>
    </row>
    <row r="37" spans="1:18" s="74" customFormat="1" ht="15">
      <c r="A37" s="224">
        <v>29</v>
      </c>
      <c r="B37" s="1496"/>
      <c r="C37" s="1497"/>
      <c r="D37" s="448" t="s">
        <v>1067</v>
      </c>
      <c r="E37" s="707"/>
      <c r="F37" s="383"/>
      <c r="G37" s="383"/>
      <c r="H37" s="383"/>
      <c r="I37" s="663">
        <f>SUM(J37:Q37)</f>
        <v>1948</v>
      </c>
      <c r="J37" s="74">
        <f>SUM(J35:J36)</f>
        <v>1521</v>
      </c>
      <c r="K37" s="74">
        <f aca="true" t="shared" si="5" ref="K37:Q37">SUM(K35:K36)</f>
        <v>427</v>
      </c>
      <c r="L37" s="74">
        <f t="shared" si="5"/>
        <v>0</v>
      </c>
      <c r="M37" s="74">
        <f t="shared" si="5"/>
        <v>0</v>
      </c>
      <c r="N37" s="74">
        <f t="shared" si="5"/>
        <v>0</v>
      </c>
      <c r="O37" s="74">
        <f t="shared" si="5"/>
        <v>0</v>
      </c>
      <c r="P37" s="74">
        <f t="shared" si="5"/>
        <v>0</v>
      </c>
      <c r="Q37" s="75">
        <f t="shared" si="5"/>
        <v>0</v>
      </c>
      <c r="R37" s="228">
        <f t="shared" si="4"/>
        <v>0</v>
      </c>
    </row>
    <row r="38" spans="1:18" s="133" customFormat="1" ht="15">
      <c r="A38" s="224">
        <v>30</v>
      </c>
      <c r="B38" s="134"/>
      <c r="C38" s="135">
        <v>2</v>
      </c>
      <c r="D38" s="1494" t="s">
        <v>857</v>
      </c>
      <c r="E38" s="700"/>
      <c r="F38" s="340"/>
      <c r="G38" s="340"/>
      <c r="H38" s="340"/>
      <c r="I38" s="711"/>
      <c r="J38" s="228"/>
      <c r="K38" s="228"/>
      <c r="L38" s="228"/>
      <c r="M38" s="228"/>
      <c r="N38" s="228"/>
      <c r="O38" s="228"/>
      <c r="P38" s="228"/>
      <c r="Q38" s="111"/>
      <c r="R38" s="136">
        <f>(SUM(J41:Q41))-I41</f>
        <v>0</v>
      </c>
    </row>
    <row r="39" spans="1:18" s="846" customFormat="1" ht="15">
      <c r="A39" s="224">
        <v>31</v>
      </c>
      <c r="B39" s="837"/>
      <c r="C39" s="838"/>
      <c r="D39" s="854" t="s">
        <v>403</v>
      </c>
      <c r="E39" s="851"/>
      <c r="F39" s="852"/>
      <c r="G39" s="852"/>
      <c r="H39" s="852"/>
      <c r="I39" s="856">
        <f>SUM(J39:Q39)</f>
        <v>1053</v>
      </c>
      <c r="J39" s="857">
        <v>928</v>
      </c>
      <c r="K39" s="857">
        <v>125</v>
      </c>
      <c r="L39" s="857"/>
      <c r="M39" s="857"/>
      <c r="N39" s="857"/>
      <c r="O39" s="857"/>
      <c r="P39" s="857"/>
      <c r="Q39" s="858"/>
      <c r="R39" s="840"/>
    </row>
    <row r="40" spans="1:18" s="71" customFormat="1" ht="15">
      <c r="A40" s="224">
        <v>32</v>
      </c>
      <c r="B40" s="73"/>
      <c r="C40" s="76"/>
      <c r="D40" s="446" t="s">
        <v>957</v>
      </c>
      <c r="E40" s="705"/>
      <c r="F40" s="382"/>
      <c r="G40" s="382"/>
      <c r="H40" s="382"/>
      <c r="I40" s="708">
        <f>SUM(J40:Q40)</f>
        <v>1053</v>
      </c>
      <c r="J40" s="393">
        <v>928</v>
      </c>
      <c r="K40" s="393">
        <v>125</v>
      </c>
      <c r="L40" s="393"/>
      <c r="M40" s="393"/>
      <c r="N40" s="393"/>
      <c r="O40" s="393"/>
      <c r="P40" s="393"/>
      <c r="Q40" s="709"/>
      <c r="R40" s="136"/>
    </row>
    <row r="41" spans="1:18" s="72" customFormat="1" ht="15">
      <c r="A41" s="224">
        <v>33</v>
      </c>
      <c r="B41" s="132"/>
      <c r="C41" s="227"/>
      <c r="D41" s="447" t="s">
        <v>405</v>
      </c>
      <c r="E41" s="396"/>
      <c r="F41" s="386"/>
      <c r="G41" s="386"/>
      <c r="H41" s="382"/>
      <c r="I41" s="710">
        <f>SUM(J41:Q41)</f>
        <v>0</v>
      </c>
      <c r="Q41" s="112"/>
      <c r="R41" s="137"/>
    </row>
    <row r="42" spans="1:18" s="74" customFormat="1" ht="15">
      <c r="A42" s="224">
        <v>34</v>
      </c>
      <c r="B42" s="1496"/>
      <c r="C42" s="1497"/>
      <c r="D42" s="448" t="s">
        <v>1067</v>
      </c>
      <c r="E42" s="707"/>
      <c r="F42" s="383"/>
      <c r="G42" s="383"/>
      <c r="H42" s="383"/>
      <c r="I42" s="713">
        <f>SUM(J42:Q42)</f>
        <v>1053</v>
      </c>
      <c r="J42" s="74">
        <f>SUM(J40:J41)</f>
        <v>928</v>
      </c>
      <c r="K42" s="74">
        <f aca="true" t="shared" si="6" ref="K42:Q42">SUM(K40:K41)</f>
        <v>125</v>
      </c>
      <c r="L42" s="74">
        <f t="shared" si="6"/>
        <v>0</v>
      </c>
      <c r="M42" s="74">
        <f t="shared" si="6"/>
        <v>0</v>
      </c>
      <c r="N42" s="74">
        <f t="shared" si="6"/>
        <v>0</v>
      </c>
      <c r="O42" s="74">
        <f t="shared" si="6"/>
        <v>0</v>
      </c>
      <c r="P42" s="74">
        <f t="shared" si="6"/>
        <v>0</v>
      </c>
      <c r="Q42" s="75">
        <f t="shared" si="6"/>
        <v>0</v>
      </c>
      <c r="R42" s="228"/>
    </row>
    <row r="43" spans="1:18" s="136" customFormat="1" ht="27.75" customHeight="1">
      <c r="A43" s="224">
        <v>35</v>
      </c>
      <c r="B43" s="134">
        <v>3</v>
      </c>
      <c r="C43" s="135"/>
      <c r="D43" s="141" t="s">
        <v>421</v>
      </c>
      <c r="E43" s="703" t="s">
        <v>859</v>
      </c>
      <c r="F43" s="340">
        <v>261724</v>
      </c>
      <c r="G43" s="340">
        <v>221811</v>
      </c>
      <c r="H43" s="340">
        <v>248435</v>
      </c>
      <c r="I43" s="660"/>
      <c r="Q43" s="306"/>
      <c r="R43" s="136">
        <f>(SUM(J45:Q45))-I45</f>
        <v>0</v>
      </c>
    </row>
    <row r="44" spans="1:18" s="71" customFormat="1" ht="15">
      <c r="A44" s="224">
        <v>36</v>
      </c>
      <c r="B44" s="73"/>
      <c r="C44" s="76"/>
      <c r="D44" s="1155" t="s">
        <v>202</v>
      </c>
      <c r="E44" s="705"/>
      <c r="F44" s="382"/>
      <c r="G44" s="382"/>
      <c r="H44" s="382"/>
      <c r="I44" s="661"/>
      <c r="Q44" s="78"/>
      <c r="R44" s="71">
        <f>(SUM(J44:Q44))-I44</f>
        <v>0</v>
      </c>
    </row>
    <row r="45" spans="1:18" s="846" customFormat="1" ht="15">
      <c r="A45" s="224">
        <v>37</v>
      </c>
      <c r="B45" s="837"/>
      <c r="C45" s="838"/>
      <c r="D45" s="850" t="s">
        <v>403</v>
      </c>
      <c r="E45" s="851"/>
      <c r="F45" s="852"/>
      <c r="G45" s="852"/>
      <c r="H45" s="852"/>
      <c r="I45" s="853">
        <f>SUM(J45:Q45)</f>
        <v>327758</v>
      </c>
      <c r="J45" s="840">
        <v>206427</v>
      </c>
      <c r="K45" s="840">
        <v>59229</v>
      </c>
      <c r="L45" s="840">
        <v>59632</v>
      </c>
      <c r="M45" s="840"/>
      <c r="N45" s="840"/>
      <c r="O45" s="840">
        <v>2470</v>
      </c>
      <c r="P45" s="840"/>
      <c r="Q45" s="842"/>
      <c r="R45" s="840"/>
    </row>
    <row r="46" spans="1:18" s="71" customFormat="1" ht="15">
      <c r="A46" s="224">
        <v>38</v>
      </c>
      <c r="B46" s="73"/>
      <c r="C46" s="76"/>
      <c r="D46" s="141" t="s">
        <v>957</v>
      </c>
      <c r="E46" s="705"/>
      <c r="F46" s="382"/>
      <c r="G46" s="382"/>
      <c r="H46" s="382"/>
      <c r="I46" s="660">
        <f>SUM(J46:Q46)</f>
        <v>344099</v>
      </c>
      <c r="J46" s="136">
        <v>217182</v>
      </c>
      <c r="K46" s="136">
        <v>61083</v>
      </c>
      <c r="L46" s="136">
        <v>58152</v>
      </c>
      <c r="M46" s="136"/>
      <c r="N46" s="136">
        <v>1050</v>
      </c>
      <c r="O46" s="136">
        <v>6632</v>
      </c>
      <c r="P46" s="136"/>
      <c r="Q46" s="306"/>
      <c r="R46" s="136"/>
    </row>
    <row r="47" spans="1:18" s="72" customFormat="1" ht="15">
      <c r="A47" s="224">
        <v>39</v>
      </c>
      <c r="B47" s="132"/>
      <c r="C47" s="227"/>
      <c r="D47" s="324" t="s">
        <v>1043</v>
      </c>
      <c r="E47" s="396"/>
      <c r="F47" s="386"/>
      <c r="G47" s="386"/>
      <c r="H47" s="382"/>
      <c r="I47" s="706">
        <f>SUM(J47:Q47)</f>
        <v>71</v>
      </c>
      <c r="J47" s="72">
        <v>56</v>
      </c>
      <c r="K47" s="72">
        <v>15</v>
      </c>
      <c r="Q47" s="112"/>
      <c r="R47" s="137"/>
    </row>
    <row r="48" spans="1:18" s="72" customFormat="1" ht="15">
      <c r="A48" s="224">
        <v>40</v>
      </c>
      <c r="B48" s="132"/>
      <c r="C48" s="227"/>
      <c r="D48" s="324" t="s">
        <v>1087</v>
      </c>
      <c r="E48" s="396"/>
      <c r="F48" s="386"/>
      <c r="G48" s="386"/>
      <c r="H48" s="382"/>
      <c r="I48" s="706">
        <f>SUM(J48:Q48)</f>
        <v>0</v>
      </c>
      <c r="J48" s="72">
        <v>-1800</v>
      </c>
      <c r="K48" s="72">
        <v>1800</v>
      </c>
      <c r="Q48" s="112"/>
      <c r="R48" s="137"/>
    </row>
    <row r="49" spans="1:18" s="74" customFormat="1" ht="15">
      <c r="A49" s="224">
        <v>41</v>
      </c>
      <c r="B49" s="1496"/>
      <c r="C49" s="1497"/>
      <c r="D49" s="138" t="s">
        <v>1067</v>
      </c>
      <c r="E49" s="707"/>
      <c r="F49" s="383"/>
      <c r="G49" s="383"/>
      <c r="H49" s="383"/>
      <c r="I49" s="711">
        <f>SUM(J49:Q49)</f>
        <v>344170</v>
      </c>
      <c r="J49" s="74">
        <f aca="true" t="shared" si="7" ref="J49:Q49">SUM(J46:J48)</f>
        <v>215438</v>
      </c>
      <c r="K49" s="74">
        <f t="shared" si="7"/>
        <v>62898</v>
      </c>
      <c r="L49" s="74">
        <f t="shared" si="7"/>
        <v>58152</v>
      </c>
      <c r="M49" s="74">
        <f t="shared" si="7"/>
        <v>0</v>
      </c>
      <c r="N49" s="74">
        <f t="shared" si="7"/>
        <v>1050</v>
      </c>
      <c r="O49" s="74">
        <f t="shared" si="7"/>
        <v>6632</v>
      </c>
      <c r="P49" s="74">
        <f t="shared" si="7"/>
        <v>0</v>
      </c>
      <c r="Q49" s="75">
        <f t="shared" si="7"/>
        <v>0</v>
      </c>
      <c r="R49" s="228"/>
    </row>
    <row r="50" spans="1:17" s="136" customFormat="1" ht="15">
      <c r="A50" s="224">
        <v>42</v>
      </c>
      <c r="B50" s="134"/>
      <c r="C50" s="135">
        <v>1</v>
      </c>
      <c r="D50" s="1668" t="s">
        <v>211</v>
      </c>
      <c r="E50" s="1668"/>
      <c r="F50" s="1668"/>
      <c r="G50" s="1668"/>
      <c r="H50" s="340">
        <v>281</v>
      </c>
      <c r="I50" s="711"/>
      <c r="J50" s="228"/>
      <c r="K50" s="228"/>
      <c r="L50" s="228"/>
      <c r="M50" s="228"/>
      <c r="N50" s="228"/>
      <c r="O50" s="228"/>
      <c r="P50" s="228"/>
      <c r="Q50" s="111"/>
    </row>
    <row r="51" spans="1:18" s="846" customFormat="1" ht="15">
      <c r="A51" s="224">
        <v>43</v>
      </c>
      <c r="B51" s="837"/>
      <c r="C51" s="838"/>
      <c r="D51" s="854" t="s">
        <v>403</v>
      </c>
      <c r="E51" s="851"/>
      <c r="F51" s="852"/>
      <c r="G51" s="852"/>
      <c r="H51" s="852"/>
      <c r="I51" s="856">
        <f>SUM(J51:Q51)</f>
        <v>0</v>
      </c>
      <c r="J51" s="857"/>
      <c r="K51" s="857"/>
      <c r="L51" s="857"/>
      <c r="M51" s="857"/>
      <c r="N51" s="857"/>
      <c r="O51" s="857"/>
      <c r="P51" s="857"/>
      <c r="Q51" s="858"/>
      <c r="R51" s="840"/>
    </row>
    <row r="52" spans="1:18" s="71" customFormat="1" ht="15">
      <c r="A52" s="224">
        <v>44</v>
      </c>
      <c r="B52" s="73"/>
      <c r="C52" s="76"/>
      <c r="D52" s="446" t="s">
        <v>957</v>
      </c>
      <c r="E52" s="705"/>
      <c r="F52" s="382"/>
      <c r="G52" s="382"/>
      <c r="H52" s="382"/>
      <c r="I52" s="708">
        <f>SUM(J52:Q52)</f>
        <v>556</v>
      </c>
      <c r="J52" s="393">
        <v>438</v>
      </c>
      <c r="K52" s="393">
        <v>118</v>
      </c>
      <c r="L52" s="393"/>
      <c r="M52" s="393"/>
      <c r="N52" s="393"/>
      <c r="O52" s="393"/>
      <c r="P52" s="393"/>
      <c r="Q52" s="709"/>
      <c r="R52" s="136"/>
    </row>
    <row r="53" spans="1:18" s="72" customFormat="1" ht="15">
      <c r="A53" s="224">
        <v>45</v>
      </c>
      <c r="B53" s="132"/>
      <c r="C53" s="227"/>
      <c r="D53" s="447" t="s">
        <v>405</v>
      </c>
      <c r="E53" s="396"/>
      <c r="F53" s="386"/>
      <c r="G53" s="386"/>
      <c r="H53" s="382"/>
      <c r="I53" s="710">
        <f>SUM(J53:Q53)</f>
        <v>0</v>
      </c>
      <c r="Q53" s="112"/>
      <c r="R53" s="137"/>
    </row>
    <row r="54" spans="1:18" s="74" customFormat="1" ht="15">
      <c r="A54" s="224">
        <v>46</v>
      </c>
      <c r="B54" s="1496"/>
      <c r="C54" s="1497"/>
      <c r="D54" s="448" t="s">
        <v>1067</v>
      </c>
      <c r="E54" s="707"/>
      <c r="F54" s="383"/>
      <c r="G54" s="383"/>
      <c r="H54" s="383"/>
      <c r="I54" s="713">
        <f>SUM(J54:Q54)</f>
        <v>556</v>
      </c>
      <c r="J54" s="74">
        <f>SUM(J52:J53)</f>
        <v>438</v>
      </c>
      <c r="K54" s="74">
        <f aca="true" t="shared" si="8" ref="K54:Q54">SUM(K52:K53)</f>
        <v>118</v>
      </c>
      <c r="L54" s="74">
        <f t="shared" si="8"/>
        <v>0</v>
      </c>
      <c r="M54" s="74">
        <f t="shared" si="8"/>
        <v>0</v>
      </c>
      <c r="N54" s="74">
        <f t="shared" si="8"/>
        <v>0</v>
      </c>
      <c r="O54" s="74">
        <f t="shared" si="8"/>
        <v>0</v>
      </c>
      <c r="P54" s="74">
        <f t="shared" si="8"/>
        <v>0</v>
      </c>
      <c r="Q54" s="75">
        <f t="shared" si="8"/>
        <v>0</v>
      </c>
      <c r="R54" s="228"/>
    </row>
    <row r="55" spans="1:18" s="133" customFormat="1" ht="15">
      <c r="A55" s="224">
        <v>47</v>
      </c>
      <c r="B55" s="134"/>
      <c r="C55" s="135">
        <v>2</v>
      </c>
      <c r="D55" s="1494" t="s">
        <v>857</v>
      </c>
      <c r="E55" s="700"/>
      <c r="F55" s="340"/>
      <c r="G55" s="340"/>
      <c r="H55" s="340"/>
      <c r="I55" s="711"/>
      <c r="J55" s="228"/>
      <c r="K55" s="228"/>
      <c r="L55" s="228"/>
      <c r="M55" s="228"/>
      <c r="N55" s="228"/>
      <c r="O55" s="228"/>
      <c r="P55" s="228"/>
      <c r="Q55" s="111"/>
      <c r="R55" s="133">
        <f>(SUM(J56:Q56))-I56</f>
        <v>0</v>
      </c>
    </row>
    <row r="56" spans="1:18" s="846" customFormat="1" ht="15">
      <c r="A56" s="224">
        <v>48</v>
      </c>
      <c r="B56" s="837"/>
      <c r="C56" s="838"/>
      <c r="D56" s="854" t="s">
        <v>403</v>
      </c>
      <c r="E56" s="851"/>
      <c r="F56" s="852"/>
      <c r="G56" s="852"/>
      <c r="H56" s="852"/>
      <c r="I56" s="856">
        <f>SUM(J56:Q56)</f>
        <v>2317</v>
      </c>
      <c r="J56" s="857">
        <v>1855</v>
      </c>
      <c r="K56" s="857">
        <v>250</v>
      </c>
      <c r="L56" s="857">
        <v>212</v>
      </c>
      <c r="M56" s="857"/>
      <c r="N56" s="857"/>
      <c r="O56" s="857"/>
      <c r="P56" s="857"/>
      <c r="Q56" s="858"/>
      <c r="R56" s="840"/>
    </row>
    <row r="57" spans="1:18" s="71" customFormat="1" ht="15">
      <c r="A57" s="224">
        <v>49</v>
      </c>
      <c r="B57" s="73"/>
      <c r="C57" s="76"/>
      <c r="D57" s="446" t="s">
        <v>957</v>
      </c>
      <c r="E57" s="705"/>
      <c r="F57" s="382"/>
      <c r="G57" s="382"/>
      <c r="H57" s="382"/>
      <c r="I57" s="708">
        <f>SUM(J57:Q57)</f>
        <v>2317</v>
      </c>
      <c r="J57" s="393">
        <v>1855</v>
      </c>
      <c r="K57" s="393">
        <v>250</v>
      </c>
      <c r="L57" s="393">
        <v>212</v>
      </c>
      <c r="M57" s="393"/>
      <c r="N57" s="393"/>
      <c r="O57" s="393"/>
      <c r="P57" s="393"/>
      <c r="Q57" s="709"/>
      <c r="R57" s="136"/>
    </row>
    <row r="58" spans="1:18" s="72" customFormat="1" ht="15">
      <c r="A58" s="224">
        <v>50</v>
      </c>
      <c r="B58" s="132"/>
      <c r="C58" s="227"/>
      <c r="D58" s="447" t="s">
        <v>405</v>
      </c>
      <c r="E58" s="396"/>
      <c r="F58" s="386"/>
      <c r="G58" s="386"/>
      <c r="H58" s="382"/>
      <c r="I58" s="710">
        <f>SUM(J58:Q58)</f>
        <v>0</v>
      </c>
      <c r="Q58" s="112"/>
      <c r="R58" s="137"/>
    </row>
    <row r="59" spans="1:18" s="74" customFormat="1" ht="15">
      <c r="A59" s="224">
        <v>51</v>
      </c>
      <c r="B59" s="1496"/>
      <c r="C59" s="1497"/>
      <c r="D59" s="448" t="s">
        <v>1067</v>
      </c>
      <c r="E59" s="707"/>
      <c r="F59" s="383"/>
      <c r="G59" s="383"/>
      <c r="H59" s="383"/>
      <c r="I59" s="713">
        <f>SUM(J59:Q59)</f>
        <v>2317</v>
      </c>
      <c r="J59" s="74">
        <f>SUM(J57:J58)</f>
        <v>1855</v>
      </c>
      <c r="K59" s="74">
        <f aca="true" t="shared" si="9" ref="K59:Q59">SUM(K57:K58)</f>
        <v>250</v>
      </c>
      <c r="L59" s="74">
        <f t="shared" si="9"/>
        <v>212</v>
      </c>
      <c r="M59" s="74">
        <f t="shared" si="9"/>
        <v>0</v>
      </c>
      <c r="N59" s="74">
        <f t="shared" si="9"/>
        <v>0</v>
      </c>
      <c r="O59" s="74">
        <f t="shared" si="9"/>
        <v>0</v>
      </c>
      <c r="P59" s="74">
        <f t="shared" si="9"/>
        <v>0</v>
      </c>
      <c r="Q59" s="75">
        <f t="shared" si="9"/>
        <v>0</v>
      </c>
      <c r="R59" s="228"/>
    </row>
    <row r="60" spans="1:18" s="136" customFormat="1" ht="25.5" customHeight="1">
      <c r="A60" s="224">
        <v>52</v>
      </c>
      <c r="B60" s="134">
        <v>4</v>
      </c>
      <c r="C60" s="135"/>
      <c r="D60" s="141" t="s">
        <v>422</v>
      </c>
      <c r="E60" s="703" t="s">
        <v>859</v>
      </c>
      <c r="F60" s="340">
        <v>201679</v>
      </c>
      <c r="G60" s="340">
        <v>171080</v>
      </c>
      <c r="H60" s="340">
        <v>189834</v>
      </c>
      <c r="I60" s="660"/>
      <c r="Q60" s="306"/>
      <c r="R60" s="136">
        <f>(SUM(J62:Q62))-I62</f>
        <v>0</v>
      </c>
    </row>
    <row r="61" spans="1:18" s="71" customFormat="1" ht="15" customHeight="1">
      <c r="A61" s="224">
        <v>53</v>
      </c>
      <c r="B61" s="73"/>
      <c r="C61" s="76"/>
      <c r="D61" s="77" t="s">
        <v>203</v>
      </c>
      <c r="E61" s="705"/>
      <c r="F61" s="382"/>
      <c r="G61" s="382"/>
      <c r="H61" s="382"/>
      <c r="I61" s="661"/>
      <c r="Q61" s="78"/>
      <c r="R61" s="71">
        <f>(SUM(J61:Q61))-I61</f>
        <v>0</v>
      </c>
    </row>
    <row r="62" spans="1:18" s="846" customFormat="1" ht="15">
      <c r="A62" s="224">
        <v>54</v>
      </c>
      <c r="B62" s="837"/>
      <c r="C62" s="838"/>
      <c r="D62" s="850" t="s">
        <v>403</v>
      </c>
      <c r="E62" s="851"/>
      <c r="F62" s="852"/>
      <c r="G62" s="852"/>
      <c r="H62" s="852"/>
      <c r="I62" s="853">
        <f>SUM(J62:Q62)</f>
        <v>240673</v>
      </c>
      <c r="J62" s="840">
        <v>144146</v>
      </c>
      <c r="K62" s="840">
        <v>42101</v>
      </c>
      <c r="L62" s="840">
        <v>49249</v>
      </c>
      <c r="M62" s="840"/>
      <c r="N62" s="840"/>
      <c r="O62" s="840">
        <v>5177</v>
      </c>
      <c r="P62" s="840"/>
      <c r="Q62" s="842"/>
      <c r="R62" s="840"/>
    </row>
    <row r="63" spans="1:18" s="71" customFormat="1" ht="15">
      <c r="A63" s="224">
        <v>55</v>
      </c>
      <c r="B63" s="73"/>
      <c r="C63" s="76"/>
      <c r="D63" s="141" t="s">
        <v>957</v>
      </c>
      <c r="E63" s="705"/>
      <c r="F63" s="382"/>
      <c r="G63" s="382"/>
      <c r="H63" s="382"/>
      <c r="I63" s="660">
        <f>SUM(J63:Q63)</f>
        <v>245881</v>
      </c>
      <c r="J63" s="136">
        <v>147735</v>
      </c>
      <c r="K63" s="136">
        <v>42401</v>
      </c>
      <c r="L63" s="136">
        <v>48885</v>
      </c>
      <c r="M63" s="136"/>
      <c r="N63" s="136">
        <v>670</v>
      </c>
      <c r="O63" s="136">
        <v>6190</v>
      </c>
      <c r="P63" s="136"/>
      <c r="Q63" s="306"/>
      <c r="R63" s="136"/>
    </row>
    <row r="64" spans="1:18" s="72" customFormat="1" ht="15">
      <c r="A64" s="224">
        <v>56</v>
      </c>
      <c r="B64" s="132"/>
      <c r="C64" s="227"/>
      <c r="D64" s="324" t="s">
        <v>1074</v>
      </c>
      <c r="E64" s="396"/>
      <c r="F64" s="386"/>
      <c r="G64" s="386"/>
      <c r="H64" s="382"/>
      <c r="I64" s="660">
        <f>SUM(J64:Q64)</f>
        <v>85</v>
      </c>
      <c r="J64" s="72">
        <v>67</v>
      </c>
      <c r="K64" s="72">
        <v>18</v>
      </c>
      <c r="Q64" s="112"/>
      <c r="R64" s="137"/>
    </row>
    <row r="65" spans="1:18" s="72" customFormat="1" ht="15">
      <c r="A65" s="224">
        <v>57</v>
      </c>
      <c r="B65" s="132"/>
      <c r="C65" s="227"/>
      <c r="D65" s="324" t="s">
        <v>1087</v>
      </c>
      <c r="E65" s="396"/>
      <c r="F65" s="386"/>
      <c r="G65" s="386"/>
      <c r="H65" s="382"/>
      <c r="I65" s="660">
        <f>SUM(J65:Q65)</f>
        <v>0</v>
      </c>
      <c r="L65" s="72">
        <v>-32</v>
      </c>
      <c r="O65" s="72">
        <v>32</v>
      </c>
      <c r="Q65" s="112"/>
      <c r="R65" s="137"/>
    </row>
    <row r="66" spans="1:18" s="74" customFormat="1" ht="15">
      <c r="A66" s="224">
        <v>58</v>
      </c>
      <c r="B66" s="1496"/>
      <c r="C66" s="1497"/>
      <c r="D66" s="138" t="s">
        <v>1067</v>
      </c>
      <c r="E66" s="707"/>
      <c r="F66" s="383"/>
      <c r="G66" s="383"/>
      <c r="H66" s="383"/>
      <c r="I66" s="711">
        <f>SUM(J66:Q66)</f>
        <v>245966</v>
      </c>
      <c r="J66" s="74">
        <f aca="true" t="shared" si="10" ref="J66:Q66">SUM(J63:J65)</f>
        <v>147802</v>
      </c>
      <c r="K66" s="74">
        <f t="shared" si="10"/>
        <v>42419</v>
      </c>
      <c r="L66" s="74">
        <f t="shared" si="10"/>
        <v>48853</v>
      </c>
      <c r="M66" s="74">
        <f t="shared" si="10"/>
        <v>0</v>
      </c>
      <c r="N66" s="74">
        <f t="shared" si="10"/>
        <v>670</v>
      </c>
      <c r="O66" s="74">
        <f t="shared" si="10"/>
        <v>6222</v>
      </c>
      <c r="P66" s="74">
        <f t="shared" si="10"/>
        <v>0</v>
      </c>
      <c r="Q66" s="75">
        <f t="shared" si="10"/>
        <v>0</v>
      </c>
      <c r="R66" s="228"/>
    </row>
    <row r="67" spans="1:17" s="136" customFormat="1" ht="18" customHeight="1">
      <c r="A67" s="224">
        <v>59</v>
      </c>
      <c r="B67" s="134"/>
      <c r="C67" s="135">
        <v>1</v>
      </c>
      <c r="D67" s="1668" t="s">
        <v>211</v>
      </c>
      <c r="E67" s="1668"/>
      <c r="F67" s="1668"/>
      <c r="G67" s="1668"/>
      <c r="H67" s="340">
        <v>264</v>
      </c>
      <c r="I67" s="660"/>
      <c r="Q67" s="306"/>
    </row>
    <row r="68" spans="1:18" s="846" customFormat="1" ht="15">
      <c r="A68" s="224">
        <v>60</v>
      </c>
      <c r="B68" s="837"/>
      <c r="C68" s="838"/>
      <c r="D68" s="854" t="s">
        <v>403</v>
      </c>
      <c r="E68" s="851"/>
      <c r="F68" s="852"/>
      <c r="G68" s="852"/>
      <c r="H68" s="852"/>
      <c r="I68" s="853">
        <f>SUM(J68:Q68)</f>
        <v>0</v>
      </c>
      <c r="J68" s="840"/>
      <c r="K68" s="840"/>
      <c r="L68" s="840"/>
      <c r="M68" s="840"/>
      <c r="N68" s="840"/>
      <c r="O68" s="840"/>
      <c r="P68" s="840"/>
      <c r="Q68" s="842"/>
      <c r="R68" s="840"/>
    </row>
    <row r="69" spans="1:18" s="71" customFormat="1" ht="15">
      <c r="A69" s="224">
        <v>61</v>
      </c>
      <c r="B69" s="73"/>
      <c r="C69" s="76"/>
      <c r="D69" s="446" t="s">
        <v>957</v>
      </c>
      <c r="E69" s="705"/>
      <c r="F69" s="382"/>
      <c r="G69" s="382"/>
      <c r="H69" s="382"/>
      <c r="I69" s="708">
        <f>SUM(J69:Q69)</f>
        <v>610</v>
      </c>
      <c r="J69" s="393">
        <v>480</v>
      </c>
      <c r="K69" s="393">
        <v>130</v>
      </c>
      <c r="L69" s="393"/>
      <c r="M69" s="393"/>
      <c r="N69" s="393"/>
      <c r="O69" s="393"/>
      <c r="P69" s="393"/>
      <c r="Q69" s="709"/>
      <c r="R69" s="136"/>
    </row>
    <row r="70" spans="1:18" s="72" customFormat="1" ht="15">
      <c r="A70" s="224">
        <v>62</v>
      </c>
      <c r="B70" s="132"/>
      <c r="C70" s="227"/>
      <c r="D70" s="447" t="s">
        <v>405</v>
      </c>
      <c r="E70" s="396"/>
      <c r="F70" s="386"/>
      <c r="G70" s="386"/>
      <c r="H70" s="382"/>
      <c r="I70" s="710">
        <f>SUM(J70:Q70)</f>
        <v>0</v>
      </c>
      <c r="Q70" s="112"/>
      <c r="R70" s="137"/>
    </row>
    <row r="71" spans="1:19" s="74" customFormat="1" ht="15">
      <c r="A71" s="224">
        <v>63</v>
      </c>
      <c r="B71" s="1496"/>
      <c r="C71" s="1497"/>
      <c r="D71" s="448" t="s">
        <v>1067</v>
      </c>
      <c r="E71" s="707"/>
      <c r="F71" s="383"/>
      <c r="G71" s="383"/>
      <c r="H71" s="383"/>
      <c r="I71" s="713">
        <f>SUM(J71:Q71)</f>
        <v>610</v>
      </c>
      <c r="J71" s="74">
        <f aca="true" t="shared" si="11" ref="J71:S71">SUM(J69:J70)</f>
        <v>480</v>
      </c>
      <c r="K71" s="74">
        <f t="shared" si="11"/>
        <v>130</v>
      </c>
      <c r="L71" s="74">
        <f t="shared" si="11"/>
        <v>0</v>
      </c>
      <c r="M71" s="74">
        <f t="shared" si="11"/>
        <v>0</v>
      </c>
      <c r="N71" s="74">
        <f t="shared" si="11"/>
        <v>0</v>
      </c>
      <c r="O71" s="74">
        <f t="shared" si="11"/>
        <v>0</v>
      </c>
      <c r="P71" s="74">
        <f t="shared" si="11"/>
        <v>0</v>
      </c>
      <c r="Q71" s="75">
        <f t="shared" si="11"/>
        <v>0</v>
      </c>
      <c r="R71" s="74">
        <f t="shared" si="11"/>
        <v>0</v>
      </c>
      <c r="S71" s="74">
        <f t="shared" si="11"/>
        <v>0</v>
      </c>
    </row>
    <row r="72" spans="1:18" s="136" customFormat="1" ht="18" customHeight="1">
      <c r="A72" s="224">
        <v>64</v>
      </c>
      <c r="B72" s="134"/>
      <c r="C72" s="135">
        <v>2</v>
      </c>
      <c r="D72" s="1668" t="s">
        <v>857</v>
      </c>
      <c r="E72" s="1668"/>
      <c r="F72" s="1668"/>
      <c r="G72" s="1668"/>
      <c r="H72" s="340"/>
      <c r="I72" s="660"/>
      <c r="Q72" s="306"/>
      <c r="R72" s="136">
        <f>(SUM(J73:Q73))-I73</f>
        <v>0</v>
      </c>
    </row>
    <row r="73" spans="1:18" s="846" customFormat="1" ht="15">
      <c r="A73" s="224">
        <v>65</v>
      </c>
      <c r="B73" s="837"/>
      <c r="C73" s="838"/>
      <c r="D73" s="854" t="s">
        <v>403</v>
      </c>
      <c r="E73" s="851"/>
      <c r="F73" s="852"/>
      <c r="G73" s="852"/>
      <c r="H73" s="852"/>
      <c r="I73" s="856">
        <f>SUM(J73:Q73)</f>
        <v>1518</v>
      </c>
      <c r="J73" s="857">
        <v>1237</v>
      </c>
      <c r="K73" s="857">
        <v>167</v>
      </c>
      <c r="L73" s="857">
        <v>114</v>
      </c>
      <c r="M73" s="857"/>
      <c r="N73" s="857"/>
      <c r="O73" s="857"/>
      <c r="P73" s="857"/>
      <c r="Q73" s="858"/>
      <c r="R73" s="840"/>
    </row>
    <row r="74" spans="1:18" s="71" customFormat="1" ht="15">
      <c r="A74" s="224">
        <v>66</v>
      </c>
      <c r="B74" s="73"/>
      <c r="C74" s="76"/>
      <c r="D74" s="446" t="s">
        <v>957</v>
      </c>
      <c r="E74" s="705"/>
      <c r="F74" s="382"/>
      <c r="G74" s="382"/>
      <c r="H74" s="382"/>
      <c r="I74" s="708">
        <f>SUM(J74:Q74)</f>
        <v>1518</v>
      </c>
      <c r="J74" s="393">
        <v>1237</v>
      </c>
      <c r="K74" s="393">
        <v>167</v>
      </c>
      <c r="L74" s="393">
        <v>114</v>
      </c>
      <c r="M74" s="393"/>
      <c r="N74" s="393"/>
      <c r="O74" s="393"/>
      <c r="P74" s="393"/>
      <c r="Q74" s="709"/>
      <c r="R74" s="136"/>
    </row>
    <row r="75" spans="1:18" s="72" customFormat="1" ht="15">
      <c r="A75" s="224">
        <v>67</v>
      </c>
      <c r="B75" s="132"/>
      <c r="C75" s="227"/>
      <c r="D75" s="447" t="s">
        <v>405</v>
      </c>
      <c r="E75" s="396"/>
      <c r="F75" s="386"/>
      <c r="G75" s="386"/>
      <c r="H75" s="382"/>
      <c r="I75" s="710">
        <f>SUM(J75:Q75)</f>
        <v>0</v>
      </c>
      <c r="Q75" s="112"/>
      <c r="R75" s="137"/>
    </row>
    <row r="76" spans="1:18" s="74" customFormat="1" ht="15">
      <c r="A76" s="224">
        <v>68</v>
      </c>
      <c r="B76" s="1496"/>
      <c r="C76" s="1497"/>
      <c r="D76" s="448" t="s">
        <v>1067</v>
      </c>
      <c r="E76" s="707"/>
      <c r="F76" s="383"/>
      <c r="G76" s="383"/>
      <c r="H76" s="383"/>
      <c r="I76" s="713">
        <f>SUM(J76:Q76)</f>
        <v>1518</v>
      </c>
      <c r="J76" s="74">
        <f>SUM(J74:J75)</f>
        <v>1237</v>
      </c>
      <c r="K76" s="74">
        <f aca="true" t="shared" si="12" ref="K76:Q76">SUM(K74:K75)</f>
        <v>167</v>
      </c>
      <c r="L76" s="74">
        <f t="shared" si="12"/>
        <v>114</v>
      </c>
      <c r="M76" s="74">
        <f t="shared" si="12"/>
        <v>0</v>
      </c>
      <c r="N76" s="74">
        <f t="shared" si="12"/>
        <v>0</v>
      </c>
      <c r="O76" s="74">
        <f t="shared" si="12"/>
        <v>0</v>
      </c>
      <c r="P76" s="74">
        <f t="shared" si="12"/>
        <v>0</v>
      </c>
      <c r="Q76" s="75">
        <f t="shared" si="12"/>
        <v>0</v>
      </c>
      <c r="R76" s="228"/>
    </row>
    <row r="77" spans="1:18" s="136" customFormat="1" ht="25.5" customHeight="1">
      <c r="A77" s="224">
        <v>69</v>
      </c>
      <c r="B77" s="134">
        <v>5</v>
      </c>
      <c r="C77" s="135"/>
      <c r="D77" s="141" t="s">
        <v>425</v>
      </c>
      <c r="E77" s="703" t="s">
        <v>859</v>
      </c>
      <c r="F77" s="340">
        <v>225500</v>
      </c>
      <c r="G77" s="340">
        <v>200745</v>
      </c>
      <c r="H77" s="340">
        <v>222369</v>
      </c>
      <c r="I77" s="660"/>
      <c r="Q77" s="306"/>
      <c r="R77" s="136">
        <f>(SUM(J79:Q79))-I79</f>
        <v>0</v>
      </c>
    </row>
    <row r="78" spans="1:18" s="71" customFormat="1" ht="15">
      <c r="A78" s="224">
        <v>70</v>
      </c>
      <c r="B78" s="73"/>
      <c r="C78" s="76"/>
      <c r="D78" s="77" t="s">
        <v>204</v>
      </c>
      <c r="E78" s="705"/>
      <c r="F78" s="382"/>
      <c r="G78" s="382"/>
      <c r="H78" s="382"/>
      <c r="I78" s="661"/>
      <c r="Q78" s="78"/>
      <c r="R78" s="71">
        <f>(SUM(J78:Q78))-I78</f>
        <v>0</v>
      </c>
    </row>
    <row r="79" spans="1:18" s="846" customFormat="1" ht="15">
      <c r="A79" s="224">
        <v>71</v>
      </c>
      <c r="B79" s="837"/>
      <c r="C79" s="838"/>
      <c r="D79" s="850" t="s">
        <v>403</v>
      </c>
      <c r="E79" s="851"/>
      <c r="F79" s="852"/>
      <c r="G79" s="852"/>
      <c r="H79" s="852"/>
      <c r="I79" s="853">
        <f>SUM(J79:Q79)</f>
        <v>294881</v>
      </c>
      <c r="J79" s="840">
        <v>160921</v>
      </c>
      <c r="K79" s="840">
        <v>46152</v>
      </c>
      <c r="L79" s="840">
        <v>85958</v>
      </c>
      <c r="M79" s="840"/>
      <c r="N79" s="840"/>
      <c r="O79" s="840">
        <v>1850</v>
      </c>
      <c r="P79" s="840"/>
      <c r="Q79" s="842"/>
      <c r="R79" s="840"/>
    </row>
    <row r="80" spans="1:18" s="71" customFormat="1" ht="15">
      <c r="A80" s="224">
        <v>72</v>
      </c>
      <c r="B80" s="73"/>
      <c r="C80" s="76"/>
      <c r="D80" s="141" t="s">
        <v>957</v>
      </c>
      <c r="E80" s="705"/>
      <c r="F80" s="382"/>
      <c r="G80" s="382"/>
      <c r="H80" s="382"/>
      <c r="I80" s="660">
        <f>SUM(J80:Q80)</f>
        <v>317397</v>
      </c>
      <c r="J80" s="136">
        <v>177140</v>
      </c>
      <c r="K80" s="136">
        <v>48631</v>
      </c>
      <c r="L80" s="136">
        <v>77831</v>
      </c>
      <c r="M80" s="136"/>
      <c r="N80" s="136">
        <v>1900</v>
      </c>
      <c r="O80" s="136">
        <v>11895</v>
      </c>
      <c r="P80" s="136"/>
      <c r="Q80" s="306"/>
      <c r="R80" s="136"/>
    </row>
    <row r="81" spans="1:18" s="72" customFormat="1" ht="15">
      <c r="A81" s="224">
        <v>73</v>
      </c>
      <c r="B81" s="132"/>
      <c r="C81" s="227"/>
      <c r="D81" s="324" t="s">
        <v>1074</v>
      </c>
      <c r="E81" s="396"/>
      <c r="F81" s="386"/>
      <c r="G81" s="386"/>
      <c r="H81" s="382"/>
      <c r="I81" s="706">
        <f>SUM(J81:Q81)</f>
        <v>111</v>
      </c>
      <c r="J81" s="72">
        <v>87</v>
      </c>
      <c r="K81" s="72">
        <v>24</v>
      </c>
      <c r="Q81" s="112"/>
      <c r="R81" s="137"/>
    </row>
    <row r="82" spans="1:18" s="72" customFormat="1" ht="15">
      <c r="A82" s="224">
        <v>74</v>
      </c>
      <c r="B82" s="132"/>
      <c r="C82" s="227"/>
      <c r="D82" s="324" t="s">
        <v>1087</v>
      </c>
      <c r="E82" s="396"/>
      <c r="F82" s="386"/>
      <c r="G82" s="386"/>
      <c r="H82" s="382"/>
      <c r="I82" s="706">
        <f>SUM(J82:Q82)</f>
        <v>0</v>
      </c>
      <c r="J82" s="72">
        <v>-1500</v>
      </c>
      <c r="K82" s="72">
        <v>1500</v>
      </c>
      <c r="Q82" s="112"/>
      <c r="R82" s="137"/>
    </row>
    <row r="83" spans="1:18" s="74" customFormat="1" ht="15">
      <c r="A83" s="224">
        <v>75</v>
      </c>
      <c r="B83" s="1496"/>
      <c r="C83" s="1497"/>
      <c r="D83" s="138" t="s">
        <v>1067</v>
      </c>
      <c r="E83" s="707"/>
      <c r="F83" s="383"/>
      <c r="G83" s="383"/>
      <c r="H83" s="383"/>
      <c r="I83" s="711">
        <f>SUM(J83:Q83)</f>
        <v>317508</v>
      </c>
      <c r="J83" s="74">
        <f aca="true" t="shared" si="13" ref="J83:Q83">SUM(J80:J82)</f>
        <v>175727</v>
      </c>
      <c r="K83" s="74">
        <f t="shared" si="13"/>
        <v>50155</v>
      </c>
      <c r="L83" s="74">
        <f t="shared" si="13"/>
        <v>77831</v>
      </c>
      <c r="M83" s="74">
        <f t="shared" si="13"/>
        <v>0</v>
      </c>
      <c r="N83" s="74">
        <f t="shared" si="13"/>
        <v>1900</v>
      </c>
      <c r="O83" s="74">
        <f t="shared" si="13"/>
        <v>11895</v>
      </c>
      <c r="P83" s="74">
        <f t="shared" si="13"/>
        <v>0</v>
      </c>
      <c r="Q83" s="75">
        <f t="shared" si="13"/>
        <v>0</v>
      </c>
      <c r="R83" s="228"/>
    </row>
    <row r="84" spans="1:17" s="136" customFormat="1" ht="18" customHeight="1">
      <c r="A84" s="224">
        <v>76</v>
      </c>
      <c r="B84" s="134"/>
      <c r="C84" s="135">
        <v>1</v>
      </c>
      <c r="D84" s="1668" t="s">
        <v>211</v>
      </c>
      <c r="E84" s="1668"/>
      <c r="F84" s="1668"/>
      <c r="G84" s="1668"/>
      <c r="H84" s="340">
        <v>271</v>
      </c>
      <c r="I84" s="660"/>
      <c r="Q84" s="306"/>
    </row>
    <row r="85" spans="1:18" s="846" customFormat="1" ht="15">
      <c r="A85" s="224">
        <v>77</v>
      </c>
      <c r="B85" s="837"/>
      <c r="C85" s="838"/>
      <c r="D85" s="854" t="s">
        <v>403</v>
      </c>
      <c r="E85" s="851"/>
      <c r="F85" s="852"/>
      <c r="G85" s="852"/>
      <c r="H85" s="852"/>
      <c r="I85" s="856">
        <f>SUM(J85:Q85)</f>
        <v>0</v>
      </c>
      <c r="J85" s="857"/>
      <c r="K85" s="857"/>
      <c r="L85" s="857"/>
      <c r="M85" s="857"/>
      <c r="N85" s="857"/>
      <c r="O85" s="857"/>
      <c r="P85" s="857"/>
      <c r="Q85" s="858"/>
      <c r="R85" s="840"/>
    </row>
    <row r="86" spans="1:18" s="71" customFormat="1" ht="15">
      <c r="A86" s="224">
        <v>78</v>
      </c>
      <c r="B86" s="73"/>
      <c r="C86" s="76"/>
      <c r="D86" s="446" t="s">
        <v>957</v>
      </c>
      <c r="E86" s="705"/>
      <c r="F86" s="382"/>
      <c r="G86" s="382"/>
      <c r="H86" s="382"/>
      <c r="I86" s="708">
        <f>SUM(J86:Q86)</f>
        <v>332</v>
      </c>
      <c r="J86" s="393">
        <v>261</v>
      </c>
      <c r="K86" s="393">
        <v>71</v>
      </c>
      <c r="L86" s="393"/>
      <c r="M86" s="393"/>
      <c r="N86" s="393"/>
      <c r="O86" s="393"/>
      <c r="P86" s="393"/>
      <c r="Q86" s="709"/>
      <c r="R86" s="136"/>
    </row>
    <row r="87" spans="1:18" s="72" customFormat="1" ht="15">
      <c r="A87" s="224">
        <v>79</v>
      </c>
      <c r="B87" s="132"/>
      <c r="C87" s="227"/>
      <c r="D87" s="447" t="s">
        <v>405</v>
      </c>
      <c r="E87" s="396"/>
      <c r="F87" s="386"/>
      <c r="G87" s="386"/>
      <c r="H87" s="382"/>
      <c r="I87" s="710">
        <f>SUM(J87:Q87)</f>
        <v>0</v>
      </c>
      <c r="Q87" s="112"/>
      <c r="R87" s="137"/>
    </row>
    <row r="88" spans="1:19" s="74" customFormat="1" ht="15">
      <c r="A88" s="224">
        <v>80</v>
      </c>
      <c r="B88" s="1496"/>
      <c r="C88" s="1497"/>
      <c r="D88" s="448" t="s">
        <v>1067</v>
      </c>
      <c r="E88" s="707"/>
      <c r="F88" s="383"/>
      <c r="G88" s="383"/>
      <c r="H88" s="383"/>
      <c r="I88" s="713">
        <f>SUM(J88:Q88)</f>
        <v>332</v>
      </c>
      <c r="J88" s="74">
        <f>SUM(J86:J87)</f>
        <v>261</v>
      </c>
      <c r="K88" s="74">
        <f aca="true" t="shared" si="14" ref="K88:S88">SUM(K86:K87)</f>
        <v>71</v>
      </c>
      <c r="L88" s="74">
        <f t="shared" si="14"/>
        <v>0</v>
      </c>
      <c r="M88" s="74">
        <f t="shared" si="14"/>
        <v>0</v>
      </c>
      <c r="N88" s="74">
        <f t="shared" si="14"/>
        <v>0</v>
      </c>
      <c r="O88" s="74">
        <f t="shared" si="14"/>
        <v>0</v>
      </c>
      <c r="P88" s="74">
        <f t="shared" si="14"/>
        <v>0</v>
      </c>
      <c r="Q88" s="75">
        <f t="shared" si="14"/>
        <v>0</v>
      </c>
      <c r="R88" s="74">
        <f t="shared" si="14"/>
        <v>0</v>
      </c>
      <c r="S88" s="74">
        <f t="shared" si="14"/>
        <v>0</v>
      </c>
    </row>
    <row r="89" spans="1:18" s="136" customFormat="1" ht="18" customHeight="1">
      <c r="A89" s="224">
        <v>81</v>
      </c>
      <c r="B89" s="134"/>
      <c r="C89" s="135">
        <v>2</v>
      </c>
      <c r="D89" s="1668" t="s">
        <v>857</v>
      </c>
      <c r="E89" s="1668"/>
      <c r="F89" s="1668"/>
      <c r="G89" s="1668"/>
      <c r="H89" s="340"/>
      <c r="I89" s="660"/>
      <c r="Q89" s="306"/>
      <c r="R89" s="136">
        <f>(SUM(J90:Q90))-I90</f>
        <v>0</v>
      </c>
    </row>
    <row r="90" spans="1:18" s="846" customFormat="1" ht="15">
      <c r="A90" s="224">
        <v>82</v>
      </c>
      <c r="B90" s="837"/>
      <c r="C90" s="838"/>
      <c r="D90" s="854" t="s">
        <v>403</v>
      </c>
      <c r="E90" s="851"/>
      <c r="F90" s="852"/>
      <c r="G90" s="852"/>
      <c r="H90" s="852"/>
      <c r="I90" s="856">
        <f>SUM(J90:Q90)</f>
        <v>887</v>
      </c>
      <c r="J90" s="857">
        <v>706</v>
      </c>
      <c r="K90" s="857">
        <v>95</v>
      </c>
      <c r="L90" s="857">
        <v>86</v>
      </c>
      <c r="M90" s="857"/>
      <c r="N90" s="857"/>
      <c r="O90" s="857"/>
      <c r="P90" s="857"/>
      <c r="Q90" s="858"/>
      <c r="R90" s="840"/>
    </row>
    <row r="91" spans="1:18" s="71" customFormat="1" ht="15">
      <c r="A91" s="224">
        <v>83</v>
      </c>
      <c r="B91" s="73"/>
      <c r="C91" s="76"/>
      <c r="D91" s="446" t="s">
        <v>957</v>
      </c>
      <c r="E91" s="705"/>
      <c r="F91" s="382"/>
      <c r="G91" s="382"/>
      <c r="H91" s="382"/>
      <c r="I91" s="708">
        <f>SUM(J91:Q91)</f>
        <v>887</v>
      </c>
      <c r="J91" s="393">
        <v>706</v>
      </c>
      <c r="K91" s="393">
        <v>95</v>
      </c>
      <c r="L91" s="393">
        <v>86</v>
      </c>
      <c r="M91" s="393"/>
      <c r="N91" s="393"/>
      <c r="O91" s="393"/>
      <c r="P91" s="393"/>
      <c r="Q91" s="709"/>
      <c r="R91" s="136"/>
    </row>
    <row r="92" spans="1:18" s="72" customFormat="1" ht="15">
      <c r="A92" s="224">
        <v>84</v>
      </c>
      <c r="B92" s="132"/>
      <c r="C92" s="227"/>
      <c r="D92" s="447" t="s">
        <v>405</v>
      </c>
      <c r="E92" s="396"/>
      <c r="F92" s="386"/>
      <c r="G92" s="386"/>
      <c r="H92" s="382"/>
      <c r="I92" s="710">
        <f>SUM(J92:Q92)</f>
        <v>0</v>
      </c>
      <c r="Q92" s="112"/>
      <c r="R92" s="137"/>
    </row>
    <row r="93" spans="1:18" s="74" customFormat="1" ht="15">
      <c r="A93" s="224">
        <v>85</v>
      </c>
      <c r="B93" s="1496"/>
      <c r="C93" s="1497"/>
      <c r="D93" s="448" t="s">
        <v>1067</v>
      </c>
      <c r="E93" s="707"/>
      <c r="F93" s="383"/>
      <c r="G93" s="383"/>
      <c r="H93" s="383"/>
      <c r="I93" s="713">
        <f>SUM(J93:Q93)</f>
        <v>887</v>
      </c>
      <c r="J93" s="74">
        <f>SUM(J91:J92)</f>
        <v>706</v>
      </c>
      <c r="K93" s="74">
        <f aca="true" t="shared" si="15" ref="K93:Q93">SUM(K91:K92)</f>
        <v>95</v>
      </c>
      <c r="L93" s="74">
        <f t="shared" si="15"/>
        <v>86</v>
      </c>
      <c r="M93" s="74">
        <f t="shared" si="15"/>
        <v>0</v>
      </c>
      <c r="N93" s="74">
        <f t="shared" si="15"/>
        <v>0</v>
      </c>
      <c r="O93" s="74">
        <f t="shared" si="15"/>
        <v>0</v>
      </c>
      <c r="P93" s="74">
        <f t="shared" si="15"/>
        <v>0</v>
      </c>
      <c r="Q93" s="75">
        <f t="shared" si="15"/>
        <v>0</v>
      </c>
      <c r="R93" s="228"/>
    </row>
    <row r="94" spans="1:18" s="136" customFormat="1" ht="25.5" customHeight="1">
      <c r="A94" s="224">
        <v>86</v>
      </c>
      <c r="B94" s="134">
        <v>6</v>
      </c>
      <c r="C94" s="135"/>
      <c r="D94" s="141" t="s">
        <v>426</v>
      </c>
      <c r="E94" s="703" t="s">
        <v>859</v>
      </c>
      <c r="F94" s="340">
        <v>101687</v>
      </c>
      <c r="G94" s="340">
        <v>85839</v>
      </c>
      <c r="H94" s="340">
        <v>95983</v>
      </c>
      <c r="I94" s="660"/>
      <c r="Q94" s="306"/>
      <c r="R94" s="136">
        <f>(SUM(J96:Q96))-I96</f>
        <v>0</v>
      </c>
    </row>
    <row r="95" spans="1:18" s="71" customFormat="1" ht="15">
      <c r="A95" s="224">
        <v>87</v>
      </c>
      <c r="B95" s="73"/>
      <c r="C95" s="76"/>
      <c r="D95" s="77" t="s">
        <v>205</v>
      </c>
      <c r="E95" s="705"/>
      <c r="F95" s="382"/>
      <c r="G95" s="382"/>
      <c r="H95" s="382"/>
      <c r="I95" s="661"/>
      <c r="Q95" s="78"/>
      <c r="R95" s="71">
        <f>(SUM(J95:Q95))-I95</f>
        <v>0</v>
      </c>
    </row>
    <row r="96" spans="1:18" s="846" customFormat="1" ht="15">
      <c r="A96" s="224">
        <v>88</v>
      </c>
      <c r="B96" s="837"/>
      <c r="C96" s="838"/>
      <c r="D96" s="850" t="s">
        <v>403</v>
      </c>
      <c r="E96" s="851"/>
      <c r="F96" s="852"/>
      <c r="G96" s="852"/>
      <c r="H96" s="852"/>
      <c r="I96" s="853">
        <f>SUM(J96:Q96)</f>
        <v>111846</v>
      </c>
      <c r="J96" s="840">
        <v>73065</v>
      </c>
      <c r="K96" s="840">
        <v>20598</v>
      </c>
      <c r="L96" s="840">
        <v>17752</v>
      </c>
      <c r="M96" s="840"/>
      <c r="N96" s="840"/>
      <c r="O96" s="840">
        <v>431</v>
      </c>
      <c r="P96" s="840"/>
      <c r="Q96" s="842"/>
      <c r="R96" s="840"/>
    </row>
    <row r="97" spans="1:18" s="71" customFormat="1" ht="15">
      <c r="A97" s="224">
        <v>89</v>
      </c>
      <c r="B97" s="73"/>
      <c r="C97" s="76"/>
      <c r="D97" s="141" t="s">
        <v>957</v>
      </c>
      <c r="E97" s="705"/>
      <c r="F97" s="382"/>
      <c r="G97" s="382"/>
      <c r="H97" s="382"/>
      <c r="I97" s="660">
        <f>SUM(J97:Q97)</f>
        <v>120287</v>
      </c>
      <c r="J97" s="136">
        <v>78615</v>
      </c>
      <c r="K97" s="136">
        <v>21674</v>
      </c>
      <c r="L97" s="136">
        <v>15018</v>
      </c>
      <c r="M97" s="136"/>
      <c r="N97" s="136">
        <v>350</v>
      </c>
      <c r="O97" s="136">
        <v>4630</v>
      </c>
      <c r="P97" s="136"/>
      <c r="Q97" s="306"/>
      <c r="R97" s="136"/>
    </row>
    <row r="98" spans="1:18" s="72" customFormat="1" ht="15">
      <c r="A98" s="224">
        <v>90</v>
      </c>
      <c r="B98" s="132"/>
      <c r="C98" s="227"/>
      <c r="D98" s="324" t="s">
        <v>1074</v>
      </c>
      <c r="E98" s="396"/>
      <c r="F98" s="386"/>
      <c r="G98" s="386"/>
      <c r="H98" s="382"/>
      <c r="I98" s="706">
        <f>SUM(J98:Q98)</f>
        <v>19</v>
      </c>
      <c r="J98" s="72">
        <v>15</v>
      </c>
      <c r="K98" s="72">
        <v>4</v>
      </c>
      <c r="Q98" s="112"/>
      <c r="R98" s="137"/>
    </row>
    <row r="99" spans="1:18" s="72" customFormat="1" ht="15">
      <c r="A99" s="224">
        <v>91</v>
      </c>
      <c r="B99" s="132"/>
      <c r="C99" s="227"/>
      <c r="D99" s="324" t="s">
        <v>1087</v>
      </c>
      <c r="E99" s="396"/>
      <c r="F99" s="386"/>
      <c r="G99" s="386"/>
      <c r="H99" s="382"/>
      <c r="I99" s="706">
        <f>SUM(J99:Q99)</f>
        <v>0</v>
      </c>
      <c r="L99" s="72">
        <v>-150</v>
      </c>
      <c r="O99" s="72">
        <v>150</v>
      </c>
      <c r="Q99" s="112"/>
      <c r="R99" s="137"/>
    </row>
    <row r="100" spans="1:18" s="74" customFormat="1" ht="15">
      <c r="A100" s="224">
        <v>92</v>
      </c>
      <c r="B100" s="1496"/>
      <c r="C100" s="1497"/>
      <c r="D100" s="138" t="s">
        <v>1067</v>
      </c>
      <c r="E100" s="707"/>
      <c r="F100" s="383"/>
      <c r="G100" s="383"/>
      <c r="H100" s="383"/>
      <c r="I100" s="711">
        <f>SUM(J100:Q100)</f>
        <v>120306</v>
      </c>
      <c r="J100" s="74">
        <f aca="true" t="shared" si="16" ref="J100:Q100">SUM(J97:J99)</f>
        <v>78630</v>
      </c>
      <c r="K100" s="74">
        <f t="shared" si="16"/>
        <v>21678</v>
      </c>
      <c r="L100" s="74">
        <f t="shared" si="16"/>
        <v>14868</v>
      </c>
      <c r="M100" s="74">
        <f t="shared" si="16"/>
        <v>0</v>
      </c>
      <c r="N100" s="74">
        <f t="shared" si="16"/>
        <v>350</v>
      </c>
      <c r="O100" s="74">
        <f t="shared" si="16"/>
        <v>4780</v>
      </c>
      <c r="P100" s="74">
        <f t="shared" si="16"/>
        <v>0</v>
      </c>
      <c r="Q100" s="75">
        <f t="shared" si="16"/>
        <v>0</v>
      </c>
      <c r="R100" s="228"/>
    </row>
    <row r="101" spans="1:17" s="136" customFormat="1" ht="15">
      <c r="A101" s="224">
        <v>93</v>
      </c>
      <c r="B101" s="134"/>
      <c r="C101" s="135">
        <v>1</v>
      </c>
      <c r="D101" s="1668" t="s">
        <v>211</v>
      </c>
      <c r="E101" s="1668"/>
      <c r="F101" s="1668"/>
      <c r="G101" s="1668"/>
      <c r="H101" s="340">
        <v>174</v>
      </c>
      <c r="I101" s="660"/>
      <c r="Q101" s="306"/>
    </row>
    <row r="102" spans="1:18" s="846" customFormat="1" ht="15">
      <c r="A102" s="224">
        <v>94</v>
      </c>
      <c r="B102" s="837"/>
      <c r="C102" s="838"/>
      <c r="D102" s="854" t="s">
        <v>403</v>
      </c>
      <c r="E102" s="851"/>
      <c r="F102" s="852"/>
      <c r="G102" s="852"/>
      <c r="H102" s="852"/>
      <c r="I102" s="853">
        <f>SUM(J102:Q102)</f>
        <v>0</v>
      </c>
      <c r="J102" s="840"/>
      <c r="K102" s="840"/>
      <c r="L102" s="840"/>
      <c r="M102" s="840"/>
      <c r="N102" s="840"/>
      <c r="O102" s="840"/>
      <c r="P102" s="840"/>
      <c r="Q102" s="842"/>
      <c r="R102" s="840"/>
    </row>
    <row r="103" spans="1:18" s="71" customFormat="1" ht="15">
      <c r="A103" s="224">
        <v>95</v>
      </c>
      <c r="B103" s="73"/>
      <c r="C103" s="76"/>
      <c r="D103" s="446" t="s">
        <v>957</v>
      </c>
      <c r="E103" s="705"/>
      <c r="F103" s="382"/>
      <c r="G103" s="382"/>
      <c r="H103" s="382"/>
      <c r="I103" s="708">
        <f>SUM(J103:Q103)</f>
        <v>394</v>
      </c>
      <c r="J103" s="393">
        <v>310</v>
      </c>
      <c r="K103" s="393">
        <v>84</v>
      </c>
      <c r="L103" s="393"/>
      <c r="M103" s="393"/>
      <c r="N103" s="393"/>
      <c r="O103" s="393"/>
      <c r="P103" s="393"/>
      <c r="Q103" s="709"/>
      <c r="R103" s="136"/>
    </row>
    <row r="104" spans="1:18" s="72" customFormat="1" ht="15">
      <c r="A104" s="224">
        <v>96</v>
      </c>
      <c r="B104" s="132"/>
      <c r="C104" s="227"/>
      <c r="D104" s="447" t="s">
        <v>405</v>
      </c>
      <c r="E104" s="396"/>
      <c r="F104" s="386"/>
      <c r="G104" s="386"/>
      <c r="H104" s="382"/>
      <c r="I104" s="710">
        <f>SUM(J104:Q104)</f>
        <v>0</v>
      </c>
      <c r="Q104" s="112"/>
      <c r="R104" s="137"/>
    </row>
    <row r="105" spans="1:18" s="74" customFormat="1" ht="15">
      <c r="A105" s="224">
        <v>97</v>
      </c>
      <c r="B105" s="1496"/>
      <c r="C105" s="1497"/>
      <c r="D105" s="448" t="s">
        <v>1067</v>
      </c>
      <c r="E105" s="707"/>
      <c r="F105" s="383"/>
      <c r="G105" s="383"/>
      <c r="H105" s="383"/>
      <c r="I105" s="713">
        <f>SUM(J105:Q105)</f>
        <v>394</v>
      </c>
      <c r="J105" s="74">
        <f>SUM(J103:J104)</f>
        <v>310</v>
      </c>
      <c r="K105" s="74">
        <f aca="true" t="shared" si="17" ref="K105:Q105">SUM(K103:K104)</f>
        <v>84</v>
      </c>
      <c r="L105" s="74">
        <f t="shared" si="17"/>
        <v>0</v>
      </c>
      <c r="M105" s="74">
        <f t="shared" si="17"/>
        <v>0</v>
      </c>
      <c r="N105" s="74">
        <f t="shared" si="17"/>
        <v>0</v>
      </c>
      <c r="O105" s="74">
        <f t="shared" si="17"/>
        <v>0</v>
      </c>
      <c r="P105" s="74">
        <f t="shared" si="17"/>
        <v>0</v>
      </c>
      <c r="Q105" s="75">
        <f t="shared" si="17"/>
        <v>0</v>
      </c>
      <c r="R105" s="228"/>
    </row>
    <row r="106" spans="1:18" s="136" customFormat="1" ht="15">
      <c r="A106" s="224">
        <v>98</v>
      </c>
      <c r="B106" s="134"/>
      <c r="C106" s="135">
        <v>2</v>
      </c>
      <c r="D106" s="1668" t="s">
        <v>857</v>
      </c>
      <c r="E106" s="1668"/>
      <c r="F106" s="1668"/>
      <c r="G106" s="1668"/>
      <c r="H106" s="340"/>
      <c r="I106" s="663"/>
      <c r="J106" s="74"/>
      <c r="K106" s="74"/>
      <c r="L106" s="74"/>
      <c r="M106" s="74"/>
      <c r="N106" s="74"/>
      <c r="O106" s="74"/>
      <c r="P106" s="74"/>
      <c r="Q106" s="75"/>
      <c r="R106" s="136">
        <f>(SUM(J108:Q108))-I108</f>
        <v>0</v>
      </c>
    </row>
    <row r="107" spans="1:17" s="840" customFormat="1" ht="15">
      <c r="A107" s="224">
        <v>99</v>
      </c>
      <c r="B107" s="859"/>
      <c r="C107" s="860"/>
      <c r="D107" s="854" t="s">
        <v>403</v>
      </c>
      <c r="E107" s="861"/>
      <c r="F107" s="861"/>
      <c r="G107" s="861"/>
      <c r="H107" s="862"/>
      <c r="I107" s="856">
        <f>SUM(J107:Q107)</f>
        <v>410</v>
      </c>
      <c r="J107" s="846">
        <v>309</v>
      </c>
      <c r="K107" s="846">
        <v>42</v>
      </c>
      <c r="L107" s="846">
        <v>59</v>
      </c>
      <c r="M107" s="846"/>
      <c r="N107" s="846"/>
      <c r="O107" s="846"/>
      <c r="P107" s="846"/>
      <c r="Q107" s="847"/>
    </row>
    <row r="108" spans="1:18" s="71" customFormat="1" ht="15">
      <c r="A108" s="224">
        <v>100</v>
      </c>
      <c r="B108" s="73"/>
      <c r="C108" s="76"/>
      <c r="D108" s="446" t="s">
        <v>957</v>
      </c>
      <c r="E108" s="705"/>
      <c r="F108" s="382"/>
      <c r="G108" s="382"/>
      <c r="H108" s="382"/>
      <c r="I108" s="708">
        <f>SUM(J108:Q108)</f>
        <v>1507</v>
      </c>
      <c r="J108" s="393">
        <v>1158</v>
      </c>
      <c r="K108" s="393">
        <v>307</v>
      </c>
      <c r="L108" s="393">
        <v>42</v>
      </c>
      <c r="M108" s="393"/>
      <c r="N108" s="393"/>
      <c r="O108" s="393"/>
      <c r="P108" s="393"/>
      <c r="Q108" s="709"/>
      <c r="R108" s="136"/>
    </row>
    <row r="109" spans="1:18" s="72" customFormat="1" ht="15">
      <c r="A109" s="224">
        <v>101</v>
      </c>
      <c r="B109" s="132"/>
      <c r="C109" s="227"/>
      <c r="D109" s="447" t="s">
        <v>405</v>
      </c>
      <c r="E109" s="396"/>
      <c r="F109" s="386"/>
      <c r="G109" s="386"/>
      <c r="H109" s="382"/>
      <c r="I109" s="710">
        <f>SUM(J109:Q109)</f>
        <v>0</v>
      </c>
      <c r="Q109" s="112"/>
      <c r="R109" s="137"/>
    </row>
    <row r="110" spans="1:17" s="321" customFormat="1" ht="25.5" customHeight="1">
      <c r="A110" s="225">
        <v>102</v>
      </c>
      <c r="B110" s="318"/>
      <c r="C110" s="319"/>
      <c r="D110" s="472" t="s">
        <v>1067</v>
      </c>
      <c r="E110" s="712"/>
      <c r="F110" s="657"/>
      <c r="G110" s="657"/>
      <c r="H110" s="657"/>
      <c r="I110" s="713">
        <f aca="true" t="shared" si="18" ref="I110:Q110">SUM(I108:I109)</f>
        <v>1507</v>
      </c>
      <c r="J110" s="321">
        <f t="shared" si="18"/>
        <v>1158</v>
      </c>
      <c r="K110" s="321">
        <f t="shared" si="18"/>
        <v>307</v>
      </c>
      <c r="L110" s="321">
        <f t="shared" si="18"/>
        <v>42</v>
      </c>
      <c r="M110" s="321">
        <f t="shared" si="18"/>
        <v>0</v>
      </c>
      <c r="N110" s="321">
        <f t="shared" si="18"/>
        <v>0</v>
      </c>
      <c r="O110" s="321">
        <f t="shared" si="18"/>
        <v>0</v>
      </c>
      <c r="P110" s="321">
        <f t="shared" si="18"/>
        <v>0</v>
      </c>
      <c r="Q110" s="110">
        <f t="shared" si="18"/>
        <v>0</v>
      </c>
    </row>
    <row r="111" spans="1:18" s="79" customFormat="1" ht="15">
      <c r="A111" s="224">
        <v>103</v>
      </c>
      <c r="B111" s="455"/>
      <c r="C111" s="450"/>
      <c r="D111" s="450" t="s">
        <v>819</v>
      </c>
      <c r="E111" s="449"/>
      <c r="F111" s="450">
        <f>SUM(F9:F106)</f>
        <v>1152091</v>
      </c>
      <c r="G111" s="450">
        <f>SUM(G9:G106)</f>
        <v>1000045</v>
      </c>
      <c r="H111" s="450">
        <f>SUM(H9:H106)</f>
        <v>1118328</v>
      </c>
      <c r="I111" s="714"/>
      <c r="J111" s="450"/>
      <c r="K111" s="450"/>
      <c r="L111" s="450"/>
      <c r="M111" s="450"/>
      <c r="N111" s="450"/>
      <c r="O111" s="450"/>
      <c r="P111" s="450"/>
      <c r="Q111" s="698"/>
      <c r="R111" s="79">
        <f>(SUM(J112:Q112))-I112</f>
        <v>0</v>
      </c>
    </row>
    <row r="112" spans="1:17" s="846" customFormat="1" ht="15">
      <c r="A112" s="224">
        <v>104</v>
      </c>
      <c r="B112" s="837"/>
      <c r="C112" s="838"/>
      <c r="D112" s="839" t="s">
        <v>403</v>
      </c>
      <c r="E112" s="851"/>
      <c r="F112" s="852"/>
      <c r="G112" s="852"/>
      <c r="H112" s="852"/>
      <c r="I112" s="855">
        <f>SUM(J112:Q112)</f>
        <v>1440666</v>
      </c>
      <c r="J112" s="846">
        <f aca="true" t="shared" si="19" ref="J112:Q112">SUM(J107,J102,J96,J90,J85,J79,J73,J68,J62,J56,J51,J45,J39,J34,J28,J22,J17)+J11</f>
        <v>862660</v>
      </c>
      <c r="K112" s="846">
        <f t="shared" si="19"/>
        <v>246801</v>
      </c>
      <c r="L112" s="846">
        <f t="shared" si="19"/>
        <v>319697</v>
      </c>
      <c r="M112" s="846">
        <f t="shared" si="19"/>
        <v>0</v>
      </c>
      <c r="N112" s="846">
        <f t="shared" si="19"/>
        <v>0</v>
      </c>
      <c r="O112" s="846">
        <f t="shared" si="19"/>
        <v>11508</v>
      </c>
      <c r="P112" s="846">
        <f t="shared" si="19"/>
        <v>0</v>
      </c>
      <c r="Q112" s="847">
        <f t="shared" si="19"/>
        <v>0</v>
      </c>
    </row>
    <row r="113" spans="1:19" s="71" customFormat="1" ht="15">
      <c r="A113" s="224">
        <v>105</v>
      </c>
      <c r="B113" s="73"/>
      <c r="C113" s="76"/>
      <c r="D113" s="77" t="s">
        <v>957</v>
      </c>
      <c r="E113" s="705"/>
      <c r="F113" s="382"/>
      <c r="G113" s="382"/>
      <c r="H113" s="382"/>
      <c r="I113" s="661">
        <f>SUM(J113:Q113)</f>
        <v>1516526</v>
      </c>
      <c r="J113" s="71">
        <f aca="true" t="shared" si="20" ref="J113:S113">SUM(J108,J103,J97,J91,J86,J80,J74,J69,J63,J57,J52,J46,J40,J35,J29,J23,J18,J12)</f>
        <v>914273</v>
      </c>
      <c r="K113" s="71">
        <f t="shared" si="20"/>
        <v>253706</v>
      </c>
      <c r="L113" s="71">
        <f t="shared" si="20"/>
        <v>298326</v>
      </c>
      <c r="M113" s="71">
        <f t="shared" si="20"/>
        <v>0</v>
      </c>
      <c r="N113" s="71">
        <f t="shared" si="20"/>
        <v>7260</v>
      </c>
      <c r="O113" s="71">
        <f t="shared" si="20"/>
        <v>42961</v>
      </c>
      <c r="P113" s="71">
        <f t="shared" si="20"/>
        <v>0</v>
      </c>
      <c r="Q113" s="78">
        <f t="shared" si="20"/>
        <v>0</v>
      </c>
      <c r="R113" s="71">
        <f t="shared" si="20"/>
        <v>0</v>
      </c>
      <c r="S113" s="71">
        <f t="shared" si="20"/>
        <v>0</v>
      </c>
    </row>
    <row r="114" spans="1:19" s="72" customFormat="1" ht="15">
      <c r="A114" s="224">
        <v>106</v>
      </c>
      <c r="B114" s="132"/>
      <c r="C114" s="227"/>
      <c r="D114" s="724" t="s">
        <v>1205</v>
      </c>
      <c r="E114" s="396"/>
      <c r="F114" s="386"/>
      <c r="G114" s="386"/>
      <c r="H114" s="382"/>
      <c r="I114" s="662">
        <f>SUM(J114:Q114)</f>
        <v>1250</v>
      </c>
      <c r="J114" s="72">
        <f>SUM(J109,J104,J98:J98,J92,J87,J81:J81,J75,J70,J64:J64,J58,J53,J47:J47,J41,J36,J30:J30,J24,J19,J13:J13)+J82+J48+J31+J99+J65+J14</f>
        <v>-3767</v>
      </c>
      <c r="K114" s="72">
        <f aca="true" t="shared" si="21" ref="K114:S114">SUM(K109,K104,K98:K98,K92,K87,K81:K81,K75,K70,K64:K64,K58,K53,K47:K47,K41,K36,K30:K30,K24,K19,K13:K13)+K82+K48+K31+K99+K65+K14</f>
        <v>4317</v>
      </c>
      <c r="L114" s="72">
        <f t="shared" si="21"/>
        <v>-3144</v>
      </c>
      <c r="M114" s="72">
        <f t="shared" si="21"/>
        <v>0</v>
      </c>
      <c r="N114" s="72">
        <f t="shared" si="21"/>
        <v>0</v>
      </c>
      <c r="O114" s="72">
        <f t="shared" si="21"/>
        <v>3844</v>
      </c>
      <c r="P114" s="72">
        <f t="shared" si="21"/>
        <v>0</v>
      </c>
      <c r="Q114" s="112">
        <f t="shared" si="21"/>
        <v>0</v>
      </c>
      <c r="R114" s="72">
        <f t="shared" si="21"/>
        <v>0</v>
      </c>
      <c r="S114" s="72">
        <f t="shared" si="21"/>
        <v>0</v>
      </c>
    </row>
    <row r="115" spans="1:17" s="74" customFormat="1" ht="15.75" thickBot="1">
      <c r="A115" s="224">
        <v>107</v>
      </c>
      <c r="B115" s="451"/>
      <c r="C115" s="452"/>
      <c r="D115" s="453" t="s">
        <v>1067</v>
      </c>
      <c r="E115" s="715"/>
      <c r="F115" s="454"/>
      <c r="G115" s="454"/>
      <c r="H115" s="454"/>
      <c r="I115" s="663">
        <f>SUM(J115:Q115)</f>
        <v>1517776</v>
      </c>
      <c r="J115" s="481">
        <f>SUM(J113:J114)</f>
        <v>910506</v>
      </c>
      <c r="K115" s="481">
        <f aca="true" t="shared" si="22" ref="K115:Q115">SUM(K113:K114)</f>
        <v>258023</v>
      </c>
      <c r="L115" s="481">
        <f t="shared" si="22"/>
        <v>295182</v>
      </c>
      <c r="M115" s="481">
        <f t="shared" si="22"/>
        <v>0</v>
      </c>
      <c r="N115" s="481">
        <f t="shared" si="22"/>
        <v>7260</v>
      </c>
      <c r="O115" s="481">
        <f t="shared" si="22"/>
        <v>46805</v>
      </c>
      <c r="P115" s="481">
        <f t="shared" si="22"/>
        <v>0</v>
      </c>
      <c r="Q115" s="484">
        <f t="shared" si="22"/>
        <v>0</v>
      </c>
    </row>
    <row r="116" spans="1:18" s="137" customFormat="1" ht="24" customHeight="1" thickTop="1">
      <c r="A116" s="224">
        <v>108</v>
      </c>
      <c r="B116" s="464">
        <v>7</v>
      </c>
      <c r="C116" s="465"/>
      <c r="D116" s="466" t="s">
        <v>908</v>
      </c>
      <c r="E116" s="716" t="s">
        <v>859</v>
      </c>
      <c r="F116" s="658">
        <v>279691</v>
      </c>
      <c r="G116" s="658">
        <v>252769</v>
      </c>
      <c r="H116" s="658">
        <v>271763</v>
      </c>
      <c r="I116" s="717"/>
      <c r="J116" s="718"/>
      <c r="K116" s="718"/>
      <c r="Q116" s="307"/>
      <c r="R116" s="136">
        <f>(SUM(J117:Q117))-I117</f>
        <v>0</v>
      </c>
    </row>
    <row r="117" spans="1:18" s="846" customFormat="1" ht="15">
      <c r="A117" s="224">
        <v>109</v>
      </c>
      <c r="B117" s="837"/>
      <c r="C117" s="838"/>
      <c r="D117" s="863" t="s">
        <v>403</v>
      </c>
      <c r="E117" s="851"/>
      <c r="F117" s="852"/>
      <c r="G117" s="852"/>
      <c r="H117" s="852"/>
      <c r="I117" s="853">
        <f>SUM(J117:Q117)</f>
        <v>195303</v>
      </c>
      <c r="J117" s="840">
        <v>111630</v>
      </c>
      <c r="K117" s="840">
        <v>30202</v>
      </c>
      <c r="L117" s="840">
        <v>52361</v>
      </c>
      <c r="M117" s="841"/>
      <c r="N117" s="841"/>
      <c r="O117" s="840">
        <v>1110</v>
      </c>
      <c r="P117" s="841"/>
      <c r="Q117" s="864"/>
      <c r="R117" s="840"/>
    </row>
    <row r="118" spans="1:18" s="71" customFormat="1" ht="15">
      <c r="A118" s="224">
        <v>110</v>
      </c>
      <c r="B118" s="73"/>
      <c r="C118" s="76"/>
      <c r="D118" s="1490" t="s">
        <v>957</v>
      </c>
      <c r="E118" s="705"/>
      <c r="F118" s="382"/>
      <c r="G118" s="382"/>
      <c r="H118" s="382"/>
      <c r="I118" s="660">
        <f>SUM(J118:Q118)</f>
        <v>232145</v>
      </c>
      <c r="J118" s="136">
        <v>136299</v>
      </c>
      <c r="K118" s="136">
        <v>36595</v>
      </c>
      <c r="L118" s="136">
        <v>56941</v>
      </c>
      <c r="M118" s="137"/>
      <c r="N118" s="136">
        <v>1200</v>
      </c>
      <c r="O118" s="136">
        <v>1110</v>
      </c>
      <c r="P118" s="137"/>
      <c r="Q118" s="307"/>
      <c r="R118" s="136"/>
    </row>
    <row r="119" spans="1:18" s="72" customFormat="1" ht="15">
      <c r="A119" s="224">
        <v>111</v>
      </c>
      <c r="B119" s="132"/>
      <c r="C119" s="227"/>
      <c r="D119" s="457" t="s">
        <v>1074</v>
      </c>
      <c r="E119" s="396"/>
      <c r="F119" s="386"/>
      <c r="G119" s="386"/>
      <c r="H119" s="382"/>
      <c r="I119" s="660">
        <f>SUM(J119:Q119)</f>
        <v>548</v>
      </c>
      <c r="J119" s="460">
        <v>431</v>
      </c>
      <c r="K119" s="460">
        <v>117</v>
      </c>
      <c r="L119" s="460"/>
      <c r="M119" s="460"/>
      <c r="N119" s="460"/>
      <c r="O119" s="460"/>
      <c r="P119" s="460"/>
      <c r="Q119" s="719"/>
      <c r="R119" s="137"/>
    </row>
    <row r="120" spans="1:18" s="72" customFormat="1" ht="15">
      <c r="A120" s="224">
        <v>112</v>
      </c>
      <c r="B120" s="132"/>
      <c r="C120" s="227"/>
      <c r="D120" s="457" t="s">
        <v>1087</v>
      </c>
      <c r="E120" s="396"/>
      <c r="F120" s="386"/>
      <c r="G120" s="386"/>
      <c r="H120" s="382"/>
      <c r="I120" s="660">
        <f>SUM(J120:Q120)</f>
        <v>0</v>
      </c>
      <c r="J120" s="460">
        <v>-5500</v>
      </c>
      <c r="K120" s="460"/>
      <c r="L120" s="460">
        <v>5500</v>
      </c>
      <c r="M120" s="460"/>
      <c r="N120" s="460"/>
      <c r="O120" s="460"/>
      <c r="P120" s="460"/>
      <c r="Q120" s="719"/>
      <c r="R120" s="137"/>
    </row>
    <row r="121" spans="1:18" s="72" customFormat="1" ht="15">
      <c r="A121" s="224">
        <v>113</v>
      </c>
      <c r="B121" s="132"/>
      <c r="C121" s="227"/>
      <c r="D121" s="457" t="s">
        <v>1164</v>
      </c>
      <c r="E121" s="396"/>
      <c r="F121" s="386"/>
      <c r="G121" s="386"/>
      <c r="H121" s="382"/>
      <c r="I121" s="660">
        <f>SUM(J121:Q121)</f>
        <v>-836</v>
      </c>
      <c r="J121" s="460">
        <v>-658</v>
      </c>
      <c r="K121" s="460">
        <v>-178</v>
      </c>
      <c r="L121" s="460"/>
      <c r="M121" s="460"/>
      <c r="N121" s="460"/>
      <c r="O121" s="460"/>
      <c r="P121" s="460"/>
      <c r="Q121" s="719"/>
      <c r="R121" s="137"/>
    </row>
    <row r="122" spans="1:18" s="74" customFormat="1" ht="15">
      <c r="A122" s="224">
        <v>114</v>
      </c>
      <c r="B122" s="1496"/>
      <c r="C122" s="1497"/>
      <c r="D122" s="458" t="s">
        <v>1067</v>
      </c>
      <c r="E122" s="707"/>
      <c r="F122" s="383"/>
      <c r="G122" s="383"/>
      <c r="H122" s="383"/>
      <c r="I122" s="711">
        <f>SUM(J122:Q122)</f>
        <v>231857</v>
      </c>
      <c r="J122" s="74">
        <f aca="true" t="shared" si="23" ref="J122:Q122">SUM(J118:J121)</f>
        <v>130572</v>
      </c>
      <c r="K122" s="74">
        <f t="shared" si="23"/>
        <v>36534</v>
      </c>
      <c r="L122" s="74">
        <f t="shared" si="23"/>
        <v>62441</v>
      </c>
      <c r="M122" s="74">
        <f t="shared" si="23"/>
        <v>0</v>
      </c>
      <c r="N122" s="74">
        <f t="shared" si="23"/>
        <v>1200</v>
      </c>
      <c r="O122" s="74">
        <f t="shared" si="23"/>
        <v>1110</v>
      </c>
      <c r="P122" s="74">
        <f t="shared" si="23"/>
        <v>0</v>
      </c>
      <c r="Q122" s="75">
        <f t="shared" si="23"/>
        <v>0</v>
      </c>
      <c r="R122" s="228"/>
    </row>
    <row r="123" spans="1:18" s="137" customFormat="1" ht="24" customHeight="1">
      <c r="A123" s="224">
        <v>115</v>
      </c>
      <c r="B123" s="134">
        <v>8</v>
      </c>
      <c r="C123" s="135"/>
      <c r="D123" s="130" t="s">
        <v>836</v>
      </c>
      <c r="E123" s="700" t="s">
        <v>859</v>
      </c>
      <c r="F123" s="340">
        <v>418564</v>
      </c>
      <c r="G123" s="340">
        <v>387423</v>
      </c>
      <c r="H123" s="340">
        <v>418719</v>
      </c>
      <c r="I123" s="711"/>
      <c r="J123" s="228"/>
      <c r="K123" s="228"/>
      <c r="L123" s="228"/>
      <c r="M123" s="228"/>
      <c r="N123" s="228"/>
      <c r="O123" s="228"/>
      <c r="P123" s="228"/>
      <c r="Q123" s="111"/>
      <c r="R123" s="136">
        <f>(SUM(J124:Q124))-I124</f>
        <v>0</v>
      </c>
    </row>
    <row r="124" spans="1:18" s="846" customFormat="1" ht="15">
      <c r="A124" s="224">
        <v>116</v>
      </c>
      <c r="B124" s="837"/>
      <c r="C124" s="838"/>
      <c r="D124" s="863" t="s">
        <v>403</v>
      </c>
      <c r="E124" s="851"/>
      <c r="F124" s="852"/>
      <c r="G124" s="852"/>
      <c r="H124" s="852"/>
      <c r="I124" s="853">
        <f>SUM(J124:Q124)</f>
        <v>406867</v>
      </c>
      <c r="J124" s="840">
        <v>260132</v>
      </c>
      <c r="K124" s="840">
        <v>79013</v>
      </c>
      <c r="L124" s="840">
        <v>66122</v>
      </c>
      <c r="M124" s="841"/>
      <c r="N124" s="841"/>
      <c r="O124" s="841">
        <v>1600</v>
      </c>
      <c r="P124" s="841"/>
      <c r="Q124" s="864"/>
      <c r="R124" s="840"/>
    </row>
    <row r="125" spans="1:18" s="71" customFormat="1" ht="15">
      <c r="A125" s="224">
        <v>117</v>
      </c>
      <c r="B125" s="73"/>
      <c r="C125" s="76"/>
      <c r="D125" s="1490" t="s">
        <v>957</v>
      </c>
      <c r="E125" s="705"/>
      <c r="F125" s="382"/>
      <c r="G125" s="382"/>
      <c r="H125" s="382"/>
      <c r="I125" s="660">
        <f>SUM(J125:Q125)</f>
        <v>458697</v>
      </c>
      <c r="J125" s="136">
        <v>292848</v>
      </c>
      <c r="K125" s="136">
        <v>79677</v>
      </c>
      <c r="L125" s="136">
        <v>79476</v>
      </c>
      <c r="M125" s="137"/>
      <c r="N125" s="137">
        <v>3900</v>
      </c>
      <c r="O125" s="137">
        <v>2796</v>
      </c>
      <c r="P125" s="137"/>
      <c r="Q125" s="307"/>
      <c r="R125" s="136"/>
    </row>
    <row r="126" spans="1:18" s="72" customFormat="1" ht="15">
      <c r="A126" s="224">
        <v>118</v>
      </c>
      <c r="B126" s="132"/>
      <c r="C126" s="227"/>
      <c r="D126" s="457" t="s">
        <v>1074</v>
      </c>
      <c r="E126" s="396"/>
      <c r="F126" s="386"/>
      <c r="G126" s="386"/>
      <c r="H126" s="382"/>
      <c r="I126" s="706">
        <f>SUM(J126:Q126)</f>
        <v>1092</v>
      </c>
      <c r="J126" s="460">
        <v>860</v>
      </c>
      <c r="K126" s="460">
        <v>232</v>
      </c>
      <c r="L126" s="460"/>
      <c r="M126" s="460"/>
      <c r="N126" s="460"/>
      <c r="O126" s="460"/>
      <c r="P126" s="460"/>
      <c r="Q126" s="719"/>
      <c r="R126" s="137"/>
    </row>
    <row r="127" spans="1:18" s="72" customFormat="1" ht="15">
      <c r="A127" s="224">
        <v>119</v>
      </c>
      <c r="B127" s="132"/>
      <c r="C127" s="227"/>
      <c r="D127" s="457" t="s">
        <v>1087</v>
      </c>
      <c r="E127" s="396"/>
      <c r="F127" s="386"/>
      <c r="G127" s="386"/>
      <c r="H127" s="382"/>
      <c r="I127" s="706">
        <f>SUM(J127:Q127)</f>
        <v>0</v>
      </c>
      <c r="J127" s="460"/>
      <c r="K127" s="460"/>
      <c r="L127" s="460">
        <v>-1100</v>
      </c>
      <c r="M127" s="460"/>
      <c r="N127" s="460">
        <v>100</v>
      </c>
      <c r="O127" s="460">
        <v>1000</v>
      </c>
      <c r="P127" s="460"/>
      <c r="Q127" s="719"/>
      <c r="R127" s="137"/>
    </row>
    <row r="128" spans="1:18" s="72" customFormat="1" ht="15">
      <c r="A128" s="224">
        <v>120</v>
      </c>
      <c r="B128" s="132"/>
      <c r="C128" s="227"/>
      <c r="D128" s="457" t="s">
        <v>1130</v>
      </c>
      <c r="E128" s="396"/>
      <c r="F128" s="386"/>
      <c r="G128" s="386"/>
      <c r="H128" s="382"/>
      <c r="I128" s="706">
        <f>SUM(J128:Q128)</f>
        <v>3270</v>
      </c>
      <c r="J128" s="460">
        <v>1850</v>
      </c>
      <c r="K128" s="460">
        <v>1420</v>
      </c>
      <c r="L128" s="460"/>
      <c r="M128" s="460"/>
      <c r="N128" s="460"/>
      <c r="O128" s="460"/>
      <c r="P128" s="460"/>
      <c r="Q128" s="719"/>
      <c r="R128" s="137"/>
    </row>
    <row r="129" spans="1:18" s="74" customFormat="1" ht="15">
      <c r="A129" s="224">
        <v>121</v>
      </c>
      <c r="B129" s="1496"/>
      <c r="C129" s="1497"/>
      <c r="D129" s="458" t="s">
        <v>1067</v>
      </c>
      <c r="E129" s="707"/>
      <c r="F129" s="383"/>
      <c r="G129" s="383"/>
      <c r="H129" s="383"/>
      <c r="I129" s="711">
        <f aca="true" t="shared" si="24" ref="I129:Q129">SUM(I125:I128)</f>
        <v>463059</v>
      </c>
      <c r="J129" s="228">
        <f t="shared" si="24"/>
        <v>295558</v>
      </c>
      <c r="K129" s="228">
        <f t="shared" si="24"/>
        <v>81329</v>
      </c>
      <c r="L129" s="228">
        <f t="shared" si="24"/>
        <v>78376</v>
      </c>
      <c r="M129" s="228">
        <f t="shared" si="24"/>
        <v>0</v>
      </c>
      <c r="N129" s="228">
        <f t="shared" si="24"/>
        <v>4000</v>
      </c>
      <c r="O129" s="228">
        <f t="shared" si="24"/>
        <v>3796</v>
      </c>
      <c r="P129" s="228">
        <f t="shared" si="24"/>
        <v>0</v>
      </c>
      <c r="Q129" s="111">
        <f t="shared" si="24"/>
        <v>0</v>
      </c>
      <c r="R129" s="228"/>
    </row>
    <row r="130" spans="1:17" s="136" customFormat="1" ht="15">
      <c r="A130" s="224">
        <v>122</v>
      </c>
      <c r="B130" s="134"/>
      <c r="C130" s="135">
        <v>1</v>
      </c>
      <c r="D130" s="1668" t="s">
        <v>857</v>
      </c>
      <c r="E130" s="1668"/>
      <c r="F130" s="1668"/>
      <c r="G130" s="1668"/>
      <c r="H130" s="340"/>
      <c r="I130" s="660"/>
      <c r="Q130" s="306"/>
    </row>
    <row r="131" spans="1:18" s="846" customFormat="1" ht="15">
      <c r="A131" s="224">
        <v>123</v>
      </c>
      <c r="B131" s="837"/>
      <c r="C131" s="838"/>
      <c r="D131" s="854" t="s">
        <v>403</v>
      </c>
      <c r="E131" s="851"/>
      <c r="F131" s="852"/>
      <c r="G131" s="852"/>
      <c r="H131" s="852"/>
      <c r="I131" s="856">
        <f>SUM(J131:Q131)</f>
        <v>1937</v>
      </c>
      <c r="J131" s="857">
        <v>1546</v>
      </c>
      <c r="K131" s="857">
        <v>209</v>
      </c>
      <c r="L131" s="857">
        <v>182</v>
      </c>
      <c r="M131" s="857"/>
      <c r="N131" s="857"/>
      <c r="O131" s="857"/>
      <c r="P131" s="857"/>
      <c r="Q131" s="858"/>
      <c r="R131" s="840"/>
    </row>
    <row r="132" spans="1:18" s="71" customFormat="1" ht="15">
      <c r="A132" s="224">
        <v>124</v>
      </c>
      <c r="B132" s="73"/>
      <c r="C132" s="76"/>
      <c r="D132" s="446" t="s">
        <v>957</v>
      </c>
      <c r="E132" s="705"/>
      <c r="F132" s="382"/>
      <c r="G132" s="382"/>
      <c r="H132" s="382"/>
      <c r="I132" s="708">
        <f>SUM(J132:Q132)</f>
        <v>1452</v>
      </c>
      <c r="J132" s="393">
        <v>1279</v>
      </c>
      <c r="K132" s="393">
        <v>173</v>
      </c>
      <c r="L132" s="393"/>
      <c r="M132" s="393"/>
      <c r="N132" s="393"/>
      <c r="O132" s="393"/>
      <c r="P132" s="393"/>
      <c r="Q132" s="709"/>
      <c r="R132" s="136"/>
    </row>
    <row r="133" spans="1:18" s="72" customFormat="1" ht="15">
      <c r="A133" s="224">
        <v>125</v>
      </c>
      <c r="B133" s="132"/>
      <c r="C133" s="227"/>
      <c r="D133" s="447" t="s">
        <v>405</v>
      </c>
      <c r="E133" s="396"/>
      <c r="F133" s="386"/>
      <c r="G133" s="386"/>
      <c r="H133" s="382"/>
      <c r="I133" s="710">
        <f>SUM(J133:Q133)</f>
        <v>0</v>
      </c>
      <c r="Q133" s="112"/>
      <c r="R133" s="137"/>
    </row>
    <row r="134" spans="1:18" s="74" customFormat="1" ht="15">
      <c r="A134" s="224">
        <v>126</v>
      </c>
      <c r="B134" s="1496"/>
      <c r="C134" s="1497"/>
      <c r="D134" s="448" t="s">
        <v>1067</v>
      </c>
      <c r="E134" s="707"/>
      <c r="F134" s="383"/>
      <c r="G134" s="383"/>
      <c r="H134" s="383"/>
      <c r="I134" s="713">
        <f>SUM(J134:Q134)</f>
        <v>1452</v>
      </c>
      <c r="J134" s="74">
        <f>SUM(J132:J133)</f>
        <v>1279</v>
      </c>
      <c r="K134" s="74">
        <f aca="true" t="shared" si="25" ref="K134:Q134">SUM(K132:K133)</f>
        <v>173</v>
      </c>
      <c r="L134" s="74">
        <f t="shared" si="25"/>
        <v>0</v>
      </c>
      <c r="M134" s="74">
        <f t="shared" si="25"/>
        <v>0</v>
      </c>
      <c r="N134" s="74">
        <f t="shared" si="25"/>
        <v>0</v>
      </c>
      <c r="O134" s="74">
        <f t="shared" si="25"/>
        <v>0</v>
      </c>
      <c r="P134" s="74">
        <f t="shared" si="25"/>
        <v>0</v>
      </c>
      <c r="Q134" s="75">
        <f t="shared" si="25"/>
        <v>0</v>
      </c>
      <c r="R134" s="228"/>
    </row>
    <row r="135" spans="1:18" s="137" customFormat="1" ht="28.5" customHeight="1">
      <c r="A135" s="224">
        <v>127</v>
      </c>
      <c r="B135" s="134">
        <v>9</v>
      </c>
      <c r="C135" s="135"/>
      <c r="D135" s="130" t="s">
        <v>910</v>
      </c>
      <c r="E135" s="700" t="s">
        <v>859</v>
      </c>
      <c r="F135" s="340">
        <v>80004</v>
      </c>
      <c r="G135" s="340">
        <v>50612</v>
      </c>
      <c r="H135" s="340">
        <v>53669</v>
      </c>
      <c r="I135" s="711"/>
      <c r="J135" s="228"/>
      <c r="K135" s="228"/>
      <c r="L135" s="228"/>
      <c r="M135" s="228"/>
      <c r="N135" s="228"/>
      <c r="O135" s="228"/>
      <c r="P135" s="228"/>
      <c r="Q135" s="111"/>
      <c r="R135" s="136">
        <f>(SUM(J136:Q136))-I136</f>
        <v>0</v>
      </c>
    </row>
    <row r="136" spans="1:18" s="846" customFormat="1" ht="15">
      <c r="A136" s="224">
        <v>128</v>
      </c>
      <c r="B136" s="837"/>
      <c r="C136" s="838"/>
      <c r="D136" s="863" t="s">
        <v>403</v>
      </c>
      <c r="E136" s="851"/>
      <c r="F136" s="852"/>
      <c r="G136" s="852"/>
      <c r="H136" s="852"/>
      <c r="I136" s="853">
        <f>SUM(J136:Q136)</f>
        <v>51889</v>
      </c>
      <c r="J136" s="840">
        <v>26750</v>
      </c>
      <c r="K136" s="840">
        <v>7490</v>
      </c>
      <c r="L136" s="840">
        <v>17649</v>
      </c>
      <c r="M136" s="841"/>
      <c r="N136" s="841"/>
      <c r="O136" s="841"/>
      <c r="P136" s="841"/>
      <c r="Q136" s="864"/>
      <c r="R136" s="840"/>
    </row>
    <row r="137" spans="1:18" s="71" customFormat="1" ht="15">
      <c r="A137" s="224">
        <v>129</v>
      </c>
      <c r="B137" s="73"/>
      <c r="C137" s="76"/>
      <c r="D137" s="1490" t="s">
        <v>957</v>
      </c>
      <c r="E137" s="705"/>
      <c r="F137" s="382"/>
      <c r="G137" s="382"/>
      <c r="H137" s="382"/>
      <c r="I137" s="660">
        <f>SUM(J137:Q137)</f>
        <v>66205</v>
      </c>
      <c r="J137" s="136">
        <v>37793</v>
      </c>
      <c r="K137" s="136">
        <v>8135</v>
      </c>
      <c r="L137" s="136">
        <v>19127</v>
      </c>
      <c r="M137" s="137"/>
      <c r="N137" s="136">
        <v>350</v>
      </c>
      <c r="O137" s="136">
        <v>800</v>
      </c>
      <c r="P137" s="137"/>
      <c r="Q137" s="307"/>
      <c r="R137" s="136"/>
    </row>
    <row r="138" spans="1:18" s="72" customFormat="1" ht="15">
      <c r="A138" s="224">
        <v>130</v>
      </c>
      <c r="B138" s="132"/>
      <c r="C138" s="227"/>
      <c r="D138" s="457" t="s">
        <v>1074</v>
      </c>
      <c r="E138" s="396"/>
      <c r="F138" s="386"/>
      <c r="G138" s="386"/>
      <c r="H138" s="382"/>
      <c r="I138" s="706">
        <f>SUM(J138:Q138)</f>
        <v>91</v>
      </c>
      <c r="J138" s="460">
        <v>72</v>
      </c>
      <c r="K138" s="460">
        <v>19</v>
      </c>
      <c r="L138" s="460"/>
      <c r="M138" s="460"/>
      <c r="N138" s="460"/>
      <c r="O138" s="460"/>
      <c r="P138" s="460"/>
      <c r="Q138" s="719"/>
      <c r="R138" s="137"/>
    </row>
    <row r="139" spans="1:17" s="321" customFormat="1" ht="15">
      <c r="A139" s="224">
        <v>131</v>
      </c>
      <c r="B139" s="318"/>
      <c r="C139" s="319"/>
      <c r="D139" s="468" t="s">
        <v>1067</v>
      </c>
      <c r="E139" s="712"/>
      <c r="F139" s="657"/>
      <c r="G139" s="657"/>
      <c r="H139" s="657"/>
      <c r="I139" s="713">
        <f aca="true" t="shared" si="26" ref="I139:Q139">SUM(I137:I138)</f>
        <v>66296</v>
      </c>
      <c r="J139" s="321">
        <f t="shared" si="26"/>
        <v>37865</v>
      </c>
      <c r="K139" s="321">
        <f t="shared" si="26"/>
        <v>8154</v>
      </c>
      <c r="L139" s="321">
        <f t="shared" si="26"/>
        <v>19127</v>
      </c>
      <c r="M139" s="321">
        <f t="shared" si="26"/>
        <v>0</v>
      </c>
      <c r="N139" s="321">
        <f t="shared" si="26"/>
        <v>350</v>
      </c>
      <c r="O139" s="321">
        <f t="shared" si="26"/>
        <v>800</v>
      </c>
      <c r="P139" s="321">
        <f t="shared" si="26"/>
        <v>0</v>
      </c>
      <c r="Q139" s="110">
        <f t="shared" si="26"/>
        <v>0</v>
      </c>
    </row>
    <row r="140" spans="1:17" s="136" customFormat="1" ht="15">
      <c r="A140" s="224">
        <v>132</v>
      </c>
      <c r="B140" s="134"/>
      <c r="C140" s="135"/>
      <c r="D140" s="1668" t="s">
        <v>857</v>
      </c>
      <c r="E140" s="1668"/>
      <c r="F140" s="1668"/>
      <c r="G140" s="1668"/>
      <c r="H140" s="340"/>
      <c r="I140" s="660"/>
      <c r="Q140" s="306"/>
    </row>
    <row r="141" spans="1:17" s="136" customFormat="1" ht="15">
      <c r="A141" s="224">
        <v>133</v>
      </c>
      <c r="B141" s="134"/>
      <c r="C141" s="135"/>
      <c r="D141" s="1494" t="s">
        <v>957</v>
      </c>
      <c r="E141" s="1494"/>
      <c r="F141" s="1494"/>
      <c r="G141" s="1494"/>
      <c r="H141" s="340"/>
      <c r="I141" s="660">
        <f>SUM(J141:Q141)</f>
        <v>528</v>
      </c>
      <c r="J141" s="136">
        <v>465</v>
      </c>
      <c r="K141" s="136">
        <v>63</v>
      </c>
      <c r="Q141" s="306"/>
    </row>
    <row r="142" spans="1:18" s="72" customFormat="1" ht="15">
      <c r="A142" s="224">
        <v>134</v>
      </c>
      <c r="B142" s="132"/>
      <c r="C142" s="227"/>
      <c r="D142" s="447" t="s">
        <v>405</v>
      </c>
      <c r="E142" s="396"/>
      <c r="F142" s="386"/>
      <c r="G142" s="386"/>
      <c r="H142" s="382"/>
      <c r="I142" s="706">
        <f>SUM(J142:Q142)</f>
        <v>0</v>
      </c>
      <c r="J142" s="460"/>
      <c r="K142" s="460"/>
      <c r="L142" s="460"/>
      <c r="M142" s="460"/>
      <c r="N142" s="460"/>
      <c r="O142" s="460"/>
      <c r="P142" s="460"/>
      <c r="Q142" s="719"/>
      <c r="R142" s="137"/>
    </row>
    <row r="143" spans="1:17" s="321" customFormat="1" ht="21.75" customHeight="1">
      <c r="A143" s="225">
        <v>135</v>
      </c>
      <c r="B143" s="318"/>
      <c r="C143" s="319"/>
      <c r="D143" s="472" t="s">
        <v>1067</v>
      </c>
      <c r="E143" s="712"/>
      <c r="F143" s="657"/>
      <c r="G143" s="657"/>
      <c r="H143" s="657"/>
      <c r="I143" s="713">
        <f>SUM(J143:Q143)</f>
        <v>528</v>
      </c>
      <c r="J143" s="321">
        <f aca="true" t="shared" si="27" ref="J143:Q143">SUM(J141:J142)</f>
        <v>465</v>
      </c>
      <c r="K143" s="321">
        <f t="shared" si="27"/>
        <v>63</v>
      </c>
      <c r="L143" s="321">
        <f t="shared" si="27"/>
        <v>0</v>
      </c>
      <c r="M143" s="321">
        <f t="shared" si="27"/>
        <v>0</v>
      </c>
      <c r="N143" s="321">
        <f t="shared" si="27"/>
        <v>0</v>
      </c>
      <c r="O143" s="321">
        <f t="shared" si="27"/>
        <v>0</v>
      </c>
      <c r="P143" s="321">
        <f t="shared" si="27"/>
        <v>0</v>
      </c>
      <c r="Q143" s="110">
        <f t="shared" si="27"/>
        <v>0</v>
      </c>
    </row>
    <row r="144" spans="1:18" s="72" customFormat="1" ht="15">
      <c r="A144" s="224">
        <v>136</v>
      </c>
      <c r="B144" s="455"/>
      <c r="C144" s="449"/>
      <c r="D144" s="469" t="s">
        <v>837</v>
      </c>
      <c r="E144" s="720"/>
      <c r="F144" s="470">
        <f>SUM(F116:F135)</f>
        <v>778259</v>
      </c>
      <c r="G144" s="470">
        <f>SUM(G116:G135)</f>
        <v>690804</v>
      </c>
      <c r="H144" s="470">
        <f>SUM(H116:H135)</f>
        <v>744151</v>
      </c>
      <c r="I144" s="721"/>
      <c r="J144" s="722"/>
      <c r="K144" s="722"/>
      <c r="L144" s="722"/>
      <c r="M144" s="722"/>
      <c r="N144" s="722"/>
      <c r="O144" s="722"/>
      <c r="P144" s="722"/>
      <c r="Q144" s="316"/>
      <c r="R144" s="71">
        <f>(SUM(J145:Q145))-I145</f>
        <v>0</v>
      </c>
    </row>
    <row r="145" spans="1:17" s="846" customFormat="1" ht="15">
      <c r="A145" s="224">
        <v>137</v>
      </c>
      <c r="B145" s="837"/>
      <c r="C145" s="838"/>
      <c r="D145" s="865" t="s">
        <v>403</v>
      </c>
      <c r="E145" s="851"/>
      <c r="F145" s="852"/>
      <c r="G145" s="852"/>
      <c r="H145" s="852"/>
      <c r="I145" s="855">
        <f>SUM(J145:Q145)</f>
        <v>655996</v>
      </c>
      <c r="J145" s="846">
        <f aca="true" t="shared" si="28" ref="J145:Q145">SUM(J136,J131,J124,J117)</f>
        <v>400058</v>
      </c>
      <c r="K145" s="846">
        <f t="shared" si="28"/>
        <v>116914</v>
      </c>
      <c r="L145" s="846">
        <f t="shared" si="28"/>
        <v>136314</v>
      </c>
      <c r="M145" s="846">
        <f t="shared" si="28"/>
        <v>0</v>
      </c>
      <c r="N145" s="846">
        <f t="shared" si="28"/>
        <v>0</v>
      </c>
      <c r="O145" s="846">
        <f t="shared" si="28"/>
        <v>2710</v>
      </c>
      <c r="P145" s="846">
        <f t="shared" si="28"/>
        <v>0</v>
      </c>
      <c r="Q145" s="847">
        <f t="shared" si="28"/>
        <v>0</v>
      </c>
    </row>
    <row r="146" spans="1:19" s="71" customFormat="1" ht="15">
      <c r="A146" s="224">
        <v>138</v>
      </c>
      <c r="B146" s="73"/>
      <c r="C146" s="76"/>
      <c r="D146" s="467" t="s">
        <v>957</v>
      </c>
      <c r="E146" s="705"/>
      <c r="F146" s="382"/>
      <c r="G146" s="382"/>
      <c r="H146" s="382"/>
      <c r="I146" s="661">
        <f>SUM(J146:Q146)</f>
        <v>759027</v>
      </c>
      <c r="J146" s="71">
        <f aca="true" t="shared" si="29" ref="J146:S146">SUM(J137,J132,J125,J118)+J141</f>
        <v>468684</v>
      </c>
      <c r="K146" s="71">
        <f t="shared" si="29"/>
        <v>124643</v>
      </c>
      <c r="L146" s="71">
        <f t="shared" si="29"/>
        <v>155544</v>
      </c>
      <c r="M146" s="71">
        <f t="shared" si="29"/>
        <v>0</v>
      </c>
      <c r="N146" s="71">
        <f t="shared" si="29"/>
        <v>5450</v>
      </c>
      <c r="O146" s="71">
        <f t="shared" si="29"/>
        <v>4706</v>
      </c>
      <c r="P146" s="71">
        <f t="shared" si="29"/>
        <v>0</v>
      </c>
      <c r="Q146" s="78">
        <f t="shared" si="29"/>
        <v>0</v>
      </c>
      <c r="R146" s="71">
        <f t="shared" si="29"/>
        <v>0</v>
      </c>
      <c r="S146" s="71">
        <f t="shared" si="29"/>
        <v>0</v>
      </c>
    </row>
    <row r="147" spans="1:17" s="72" customFormat="1" ht="15">
      <c r="A147" s="224">
        <v>139</v>
      </c>
      <c r="B147" s="132"/>
      <c r="C147" s="227"/>
      <c r="D147" s="1669" t="s">
        <v>1228</v>
      </c>
      <c r="E147" s="1669"/>
      <c r="F147" s="1669"/>
      <c r="G147" s="1669"/>
      <c r="H147" s="1670"/>
      <c r="I147" s="662">
        <f>SUM(J147:Q147)</f>
        <v>4165</v>
      </c>
      <c r="J147" s="72">
        <f>SUM(J138:J138,J133,J126:J126,J119:J119)+J128+J127+J142+J121+J120</f>
        <v>-2945</v>
      </c>
      <c r="K147" s="72">
        <f aca="true" t="shared" si="30" ref="K147:Q147">SUM(K138:K138,K133,K126:K126,K119:K119)+K128+K127+K142+K121+K120</f>
        <v>1610</v>
      </c>
      <c r="L147" s="72">
        <f t="shared" si="30"/>
        <v>4400</v>
      </c>
      <c r="M147" s="72">
        <f t="shared" si="30"/>
        <v>0</v>
      </c>
      <c r="N147" s="72">
        <f t="shared" si="30"/>
        <v>100</v>
      </c>
      <c r="O147" s="72">
        <f t="shared" si="30"/>
        <v>1000</v>
      </c>
      <c r="P147" s="72">
        <f t="shared" si="30"/>
        <v>0</v>
      </c>
      <c r="Q147" s="112">
        <f t="shared" si="30"/>
        <v>0</v>
      </c>
    </row>
    <row r="148" spans="1:17" s="74" customFormat="1" ht="15.75" thickBot="1">
      <c r="A148" s="224">
        <v>140</v>
      </c>
      <c r="B148" s="451"/>
      <c r="C148" s="452"/>
      <c r="D148" s="459" t="s">
        <v>1067</v>
      </c>
      <c r="E148" s="715"/>
      <c r="F148" s="454"/>
      <c r="G148" s="454"/>
      <c r="H148" s="454"/>
      <c r="I148" s="664">
        <f>SUM(J148:Q148)</f>
        <v>763192</v>
      </c>
      <c r="J148" s="481">
        <f>SUM(J146:J147)</f>
        <v>465739</v>
      </c>
      <c r="K148" s="481">
        <f aca="true" t="shared" si="31" ref="K148:Q148">SUM(K146:K147)</f>
        <v>126253</v>
      </c>
      <c r="L148" s="481">
        <f t="shared" si="31"/>
        <v>159944</v>
      </c>
      <c r="M148" s="481">
        <f t="shared" si="31"/>
        <v>0</v>
      </c>
      <c r="N148" s="481">
        <f t="shared" si="31"/>
        <v>5550</v>
      </c>
      <c r="O148" s="481">
        <f t="shared" si="31"/>
        <v>5706</v>
      </c>
      <c r="P148" s="481">
        <f t="shared" si="31"/>
        <v>0</v>
      </c>
      <c r="Q148" s="484">
        <f t="shared" si="31"/>
        <v>0</v>
      </c>
    </row>
    <row r="149" spans="1:18" s="137" customFormat="1" ht="30" customHeight="1" thickTop="1">
      <c r="A149" s="224">
        <v>141</v>
      </c>
      <c r="B149" s="134">
        <v>10</v>
      </c>
      <c r="C149" s="135"/>
      <c r="D149" s="130" t="s">
        <v>44</v>
      </c>
      <c r="E149" s="700" t="s">
        <v>859</v>
      </c>
      <c r="F149" s="340">
        <v>325814</v>
      </c>
      <c r="G149" s="340">
        <v>167797</v>
      </c>
      <c r="H149" s="340">
        <v>172414</v>
      </c>
      <c r="I149" s="663"/>
      <c r="J149" s="74"/>
      <c r="K149" s="74"/>
      <c r="L149" s="74"/>
      <c r="M149" s="74"/>
      <c r="N149" s="74"/>
      <c r="O149" s="74"/>
      <c r="P149" s="74"/>
      <c r="Q149" s="75"/>
      <c r="R149" s="136">
        <f>(SUM(J150:Q150))-I150</f>
        <v>0</v>
      </c>
    </row>
    <row r="150" spans="1:18" s="846" customFormat="1" ht="15">
      <c r="A150" s="224">
        <v>142</v>
      </c>
      <c r="B150" s="837"/>
      <c r="C150" s="838"/>
      <c r="D150" s="863" t="s">
        <v>403</v>
      </c>
      <c r="E150" s="851"/>
      <c r="F150" s="852"/>
      <c r="G150" s="852"/>
      <c r="H150" s="852"/>
      <c r="I150" s="853">
        <f aca="true" t="shared" si="32" ref="I150:I156">SUM(J150:Q150)</f>
        <v>162519</v>
      </c>
      <c r="J150" s="840">
        <v>63396</v>
      </c>
      <c r="K150" s="840">
        <v>17003</v>
      </c>
      <c r="L150" s="840">
        <v>65500</v>
      </c>
      <c r="M150" s="841"/>
      <c r="N150" s="841"/>
      <c r="O150" s="840">
        <v>16620</v>
      </c>
      <c r="P150" s="841"/>
      <c r="Q150" s="864"/>
      <c r="R150" s="840"/>
    </row>
    <row r="151" spans="1:18" s="71" customFormat="1" ht="15">
      <c r="A151" s="224">
        <v>143</v>
      </c>
      <c r="B151" s="73"/>
      <c r="C151" s="76"/>
      <c r="D151" s="1490" t="s">
        <v>957</v>
      </c>
      <c r="E151" s="705"/>
      <c r="F151" s="382"/>
      <c r="G151" s="382"/>
      <c r="H151" s="382"/>
      <c r="I151" s="660">
        <f t="shared" si="32"/>
        <v>227204</v>
      </c>
      <c r="J151" s="136">
        <v>85748</v>
      </c>
      <c r="K151" s="136">
        <v>22173</v>
      </c>
      <c r="L151" s="136">
        <v>100246</v>
      </c>
      <c r="M151" s="137"/>
      <c r="N151" s="136">
        <v>530</v>
      </c>
      <c r="O151" s="136">
        <v>18507</v>
      </c>
      <c r="P151" s="137"/>
      <c r="Q151" s="307"/>
      <c r="R151" s="136"/>
    </row>
    <row r="152" spans="1:18" s="72" customFormat="1" ht="15">
      <c r="A152" s="224">
        <v>144</v>
      </c>
      <c r="B152" s="132"/>
      <c r="C152" s="227"/>
      <c r="D152" s="457" t="s">
        <v>1074</v>
      </c>
      <c r="E152" s="396"/>
      <c r="F152" s="386"/>
      <c r="G152" s="386"/>
      <c r="H152" s="382"/>
      <c r="I152" s="660">
        <f t="shared" si="32"/>
        <v>139</v>
      </c>
      <c r="J152" s="460">
        <v>109</v>
      </c>
      <c r="K152" s="460">
        <v>30</v>
      </c>
      <c r="L152" s="460"/>
      <c r="M152" s="460"/>
      <c r="N152" s="460"/>
      <c r="O152" s="460"/>
      <c r="P152" s="460"/>
      <c r="Q152" s="719"/>
      <c r="R152" s="137"/>
    </row>
    <row r="153" spans="1:18" s="72" customFormat="1" ht="15">
      <c r="A153" s="224">
        <v>145</v>
      </c>
      <c r="B153" s="132"/>
      <c r="C153" s="227"/>
      <c r="D153" s="140" t="s">
        <v>1075</v>
      </c>
      <c r="E153" s="396"/>
      <c r="F153" s="386"/>
      <c r="G153" s="386"/>
      <c r="H153" s="382"/>
      <c r="I153" s="660">
        <f t="shared" si="32"/>
        <v>1326</v>
      </c>
      <c r="J153" s="460">
        <v>1044</v>
      </c>
      <c r="K153" s="460">
        <v>282</v>
      </c>
      <c r="L153" s="460"/>
      <c r="M153" s="460"/>
      <c r="N153" s="460"/>
      <c r="O153" s="460"/>
      <c r="P153" s="460"/>
      <c r="Q153" s="719"/>
      <c r="R153" s="137"/>
    </row>
    <row r="154" spans="1:18" s="72" customFormat="1" ht="15">
      <c r="A154" s="224">
        <v>146</v>
      </c>
      <c r="B154" s="132"/>
      <c r="C154" s="227"/>
      <c r="D154" s="324" t="s">
        <v>1144</v>
      </c>
      <c r="E154" s="396"/>
      <c r="F154" s="386"/>
      <c r="G154" s="386"/>
      <c r="H154" s="382"/>
      <c r="I154" s="660">
        <f t="shared" si="32"/>
        <v>-8800</v>
      </c>
      <c r="J154" s="460"/>
      <c r="K154" s="460"/>
      <c r="L154" s="460"/>
      <c r="M154" s="460"/>
      <c r="N154" s="460"/>
      <c r="O154" s="460">
        <v>-8800</v>
      </c>
      <c r="P154" s="460"/>
      <c r="Q154" s="719"/>
      <c r="R154" s="137"/>
    </row>
    <row r="155" spans="1:18" s="72" customFormat="1" ht="15">
      <c r="A155" s="224">
        <v>147</v>
      </c>
      <c r="B155" s="132"/>
      <c r="C155" s="227"/>
      <c r="D155" s="324" t="s">
        <v>1145</v>
      </c>
      <c r="E155" s="396"/>
      <c r="F155" s="386"/>
      <c r="G155" s="386"/>
      <c r="H155" s="382"/>
      <c r="I155" s="660">
        <f t="shared" si="32"/>
        <v>0</v>
      </c>
      <c r="J155" s="460"/>
      <c r="K155" s="460"/>
      <c r="L155" s="460">
        <v>-8800</v>
      </c>
      <c r="M155" s="460"/>
      <c r="N155" s="460"/>
      <c r="O155" s="460">
        <v>8800</v>
      </c>
      <c r="P155" s="460"/>
      <c r="Q155" s="719"/>
      <c r="R155" s="137"/>
    </row>
    <row r="156" spans="1:18" s="72" customFormat="1" ht="15">
      <c r="A156" s="224">
        <v>148</v>
      </c>
      <c r="B156" s="132"/>
      <c r="C156" s="227"/>
      <c r="D156" s="457" t="s">
        <v>1194</v>
      </c>
      <c r="E156" s="396"/>
      <c r="F156" s="386"/>
      <c r="G156" s="386"/>
      <c r="H156" s="382"/>
      <c r="I156" s="660">
        <f t="shared" si="32"/>
        <v>280</v>
      </c>
      <c r="J156" s="460"/>
      <c r="K156" s="460"/>
      <c r="L156" s="460">
        <v>280</v>
      </c>
      <c r="M156" s="460"/>
      <c r="N156" s="460"/>
      <c r="O156" s="460"/>
      <c r="P156" s="460"/>
      <c r="Q156" s="719"/>
      <c r="R156" s="137"/>
    </row>
    <row r="157" spans="1:19" s="74" customFormat="1" ht="15">
      <c r="A157" s="224">
        <v>149</v>
      </c>
      <c r="B157" s="1496"/>
      <c r="C157" s="1497"/>
      <c r="D157" s="458" t="s">
        <v>1067</v>
      </c>
      <c r="E157" s="707"/>
      <c r="F157" s="383"/>
      <c r="G157" s="383"/>
      <c r="H157" s="383"/>
      <c r="I157" s="711">
        <f>SUM(J157:Q157)</f>
        <v>220149</v>
      </c>
      <c r="J157" s="74">
        <f aca="true" t="shared" si="33" ref="J157:Q157">SUM(J151:J156)</f>
        <v>86901</v>
      </c>
      <c r="K157" s="74">
        <f t="shared" si="33"/>
        <v>22485</v>
      </c>
      <c r="L157" s="74">
        <f t="shared" si="33"/>
        <v>91726</v>
      </c>
      <c r="M157" s="74">
        <f t="shared" si="33"/>
        <v>0</v>
      </c>
      <c r="N157" s="74">
        <f t="shared" si="33"/>
        <v>530</v>
      </c>
      <c r="O157" s="74">
        <f t="shared" si="33"/>
        <v>18507</v>
      </c>
      <c r="P157" s="74">
        <f t="shared" si="33"/>
        <v>0</v>
      </c>
      <c r="Q157" s="75">
        <f t="shared" si="33"/>
        <v>0</v>
      </c>
      <c r="R157" s="74">
        <f>SUM(R151:R154)</f>
        <v>0</v>
      </c>
      <c r="S157" s="74">
        <f>SUM(S151:S154)</f>
        <v>0</v>
      </c>
    </row>
    <row r="158" spans="1:17" s="136" customFormat="1" ht="15">
      <c r="A158" s="224">
        <v>150</v>
      </c>
      <c r="B158" s="73"/>
      <c r="C158" s="76">
        <v>1</v>
      </c>
      <c r="D158" s="1668" t="s">
        <v>786</v>
      </c>
      <c r="E158" s="1668"/>
      <c r="F158" s="1668"/>
      <c r="G158" s="1668"/>
      <c r="H158" s="340">
        <v>0</v>
      </c>
      <c r="I158" s="660"/>
      <c r="Q158" s="306"/>
    </row>
    <row r="159" spans="1:18" s="846" customFormat="1" ht="15">
      <c r="A159" s="224">
        <v>151</v>
      </c>
      <c r="B159" s="837"/>
      <c r="C159" s="838"/>
      <c r="D159" s="854" t="s">
        <v>403</v>
      </c>
      <c r="E159" s="851"/>
      <c r="F159" s="852"/>
      <c r="G159" s="852"/>
      <c r="H159" s="852"/>
      <c r="I159" s="856">
        <f>SUM(J159:Q159)</f>
        <v>17664</v>
      </c>
      <c r="J159" s="857"/>
      <c r="K159" s="857"/>
      <c r="L159" s="857">
        <v>17664</v>
      </c>
      <c r="M159" s="857"/>
      <c r="N159" s="857"/>
      <c r="O159" s="857"/>
      <c r="P159" s="857"/>
      <c r="Q159" s="858"/>
      <c r="R159" s="840"/>
    </row>
    <row r="160" spans="1:18" s="71" customFormat="1" ht="15">
      <c r="A160" s="224">
        <v>152</v>
      </c>
      <c r="B160" s="73"/>
      <c r="C160" s="76"/>
      <c r="D160" s="446" t="s">
        <v>957</v>
      </c>
      <c r="E160" s="705"/>
      <c r="F160" s="382"/>
      <c r="G160" s="382"/>
      <c r="H160" s="382"/>
      <c r="I160" s="708">
        <f>SUM(J160:Q160)</f>
        <v>20164</v>
      </c>
      <c r="J160" s="393"/>
      <c r="K160" s="393"/>
      <c r="L160" s="393">
        <v>20164</v>
      </c>
      <c r="M160" s="393"/>
      <c r="N160" s="393"/>
      <c r="O160" s="393"/>
      <c r="P160" s="393"/>
      <c r="Q160" s="709"/>
      <c r="R160" s="136"/>
    </row>
    <row r="161" spans="1:18" s="72" customFormat="1" ht="15">
      <c r="A161" s="224">
        <v>153</v>
      </c>
      <c r="B161" s="132"/>
      <c r="C161" s="227"/>
      <c r="D161" s="447" t="s">
        <v>405</v>
      </c>
      <c r="E161" s="396"/>
      <c r="F161" s="386"/>
      <c r="G161" s="386"/>
      <c r="H161" s="382"/>
      <c r="I161" s="710">
        <f>SUM(J161:Q161)</f>
        <v>0</v>
      </c>
      <c r="Q161" s="112"/>
      <c r="R161" s="137"/>
    </row>
    <row r="162" spans="1:18" s="74" customFormat="1" ht="15">
      <c r="A162" s="224">
        <v>154</v>
      </c>
      <c r="B162" s="1496"/>
      <c r="C162" s="1497"/>
      <c r="D162" s="448" t="s">
        <v>1067</v>
      </c>
      <c r="E162" s="707"/>
      <c r="F162" s="383"/>
      <c r="G162" s="383"/>
      <c r="H162" s="383"/>
      <c r="I162" s="713">
        <f>SUM(J162:Q162)</f>
        <v>20164</v>
      </c>
      <c r="J162" s="74">
        <f aca="true" t="shared" si="34" ref="J162:Q162">SUM(J160:J161)</f>
        <v>0</v>
      </c>
      <c r="K162" s="74">
        <f t="shared" si="34"/>
        <v>0</v>
      </c>
      <c r="L162" s="74">
        <f t="shared" si="34"/>
        <v>20164</v>
      </c>
      <c r="M162" s="74">
        <f t="shared" si="34"/>
        <v>0</v>
      </c>
      <c r="N162" s="74">
        <f t="shared" si="34"/>
        <v>0</v>
      </c>
      <c r="O162" s="74">
        <f t="shared" si="34"/>
        <v>0</v>
      </c>
      <c r="P162" s="74">
        <f t="shared" si="34"/>
        <v>0</v>
      </c>
      <c r="Q162" s="75">
        <f t="shared" si="34"/>
        <v>0</v>
      </c>
      <c r="R162" s="228"/>
    </row>
    <row r="163" spans="1:17" s="136" customFormat="1" ht="15" customHeight="1">
      <c r="A163" s="224">
        <v>155</v>
      </c>
      <c r="B163" s="73"/>
      <c r="C163" s="76">
        <v>2</v>
      </c>
      <c r="D163" s="1668" t="s">
        <v>176</v>
      </c>
      <c r="E163" s="1668"/>
      <c r="F163" s="1668"/>
      <c r="G163" s="1668"/>
      <c r="H163" s="1668"/>
      <c r="I163" s="660"/>
      <c r="Q163" s="306"/>
    </row>
    <row r="164" spans="1:17" s="136" customFormat="1" ht="15" customHeight="1">
      <c r="A164" s="224">
        <v>156</v>
      </c>
      <c r="B164" s="73"/>
      <c r="C164" s="76"/>
      <c r="D164" s="1494" t="s">
        <v>957</v>
      </c>
      <c r="E164" s="1494"/>
      <c r="F164" s="1494"/>
      <c r="G164" s="1494"/>
      <c r="H164" s="1494"/>
      <c r="I164" s="708">
        <f>SUM(J164:Q164)</f>
        <v>1811</v>
      </c>
      <c r="J164" s="136">
        <v>1426</v>
      </c>
      <c r="K164" s="136">
        <v>385</v>
      </c>
      <c r="Q164" s="306"/>
    </row>
    <row r="165" spans="1:18" s="72" customFormat="1" ht="15">
      <c r="A165" s="224">
        <v>157</v>
      </c>
      <c r="B165" s="132"/>
      <c r="C165" s="227"/>
      <c r="D165" s="447" t="s">
        <v>405</v>
      </c>
      <c r="E165" s="396"/>
      <c r="F165" s="386"/>
      <c r="G165" s="386"/>
      <c r="H165" s="382"/>
      <c r="I165" s="710">
        <f>SUM(J165:Q165)</f>
        <v>0</v>
      </c>
      <c r="Q165" s="112"/>
      <c r="R165" s="137"/>
    </row>
    <row r="166" spans="1:19" s="74" customFormat="1" ht="15">
      <c r="A166" s="224">
        <v>158</v>
      </c>
      <c r="B166" s="1496"/>
      <c r="C166" s="1497"/>
      <c r="D166" s="448" t="s">
        <v>1067</v>
      </c>
      <c r="E166" s="707"/>
      <c r="F166" s="383"/>
      <c r="G166" s="383"/>
      <c r="H166" s="383"/>
      <c r="I166" s="713">
        <f>SUM(J166:Q166)</f>
        <v>1811</v>
      </c>
      <c r="J166" s="74">
        <f>SUM(J164:J165)</f>
        <v>1426</v>
      </c>
      <c r="K166" s="74">
        <f aca="true" t="shared" si="35" ref="K166:S166">SUM(K164:K165)</f>
        <v>385</v>
      </c>
      <c r="L166" s="74">
        <f t="shared" si="35"/>
        <v>0</v>
      </c>
      <c r="M166" s="74">
        <f t="shared" si="35"/>
        <v>0</v>
      </c>
      <c r="N166" s="74">
        <f t="shared" si="35"/>
        <v>0</v>
      </c>
      <c r="O166" s="74">
        <f t="shared" si="35"/>
        <v>0</v>
      </c>
      <c r="P166" s="74">
        <f t="shared" si="35"/>
        <v>0</v>
      </c>
      <c r="Q166" s="75">
        <f t="shared" si="35"/>
        <v>0</v>
      </c>
      <c r="R166" s="74">
        <f t="shared" si="35"/>
        <v>0</v>
      </c>
      <c r="S166" s="74">
        <f t="shared" si="35"/>
        <v>0</v>
      </c>
    </row>
    <row r="167" spans="1:17" s="136" customFormat="1" ht="15" customHeight="1">
      <c r="A167" s="224">
        <v>159</v>
      </c>
      <c r="B167" s="73"/>
      <c r="C167" s="76">
        <v>3</v>
      </c>
      <c r="D167" s="1668" t="s">
        <v>462</v>
      </c>
      <c r="E167" s="1668"/>
      <c r="F167" s="1668"/>
      <c r="G167" s="1668"/>
      <c r="H167" s="1668"/>
      <c r="I167" s="660"/>
      <c r="Q167" s="306"/>
    </row>
    <row r="168" spans="1:18" s="72" customFormat="1" ht="15">
      <c r="A168" s="224">
        <v>160</v>
      </c>
      <c r="B168" s="132"/>
      <c r="C168" s="227"/>
      <c r="D168" s="447" t="s">
        <v>405</v>
      </c>
      <c r="E168" s="396"/>
      <c r="F168" s="386"/>
      <c r="G168" s="386"/>
      <c r="H168" s="382">
        <v>0</v>
      </c>
      <c r="I168" s="710">
        <f>SUM(J168:Q168)</f>
        <v>4510</v>
      </c>
      <c r="L168" s="72">
        <v>4510</v>
      </c>
      <c r="Q168" s="112"/>
      <c r="R168" s="137"/>
    </row>
    <row r="169" spans="1:17" s="74" customFormat="1" ht="15">
      <c r="A169" s="224">
        <v>161</v>
      </c>
      <c r="B169" s="1496"/>
      <c r="C169" s="1497"/>
      <c r="D169" s="448" t="s">
        <v>1067</v>
      </c>
      <c r="E169" s="707"/>
      <c r="F169" s="383"/>
      <c r="G169" s="383"/>
      <c r="H169" s="383"/>
      <c r="I169" s="713">
        <f>SUM(J169:Q169)</f>
        <v>4510</v>
      </c>
      <c r="J169" s="74">
        <f>SUM(J168)</f>
        <v>0</v>
      </c>
      <c r="K169" s="74">
        <f>SUM(K168)</f>
        <v>0</v>
      </c>
      <c r="L169" s="74">
        <f>SUM(L168)</f>
        <v>4510</v>
      </c>
      <c r="M169" s="74">
        <f>SUM(M168)</f>
        <v>0</v>
      </c>
      <c r="N169" s="74">
        <f>SUM(N168)</f>
        <v>0</v>
      </c>
      <c r="O169" s="74">
        <f>SUM(O168)</f>
        <v>0</v>
      </c>
      <c r="P169" s="74">
        <f>SUM(P168)</f>
        <v>0</v>
      </c>
      <c r="Q169" s="75">
        <f>SUM(Q168)</f>
        <v>0</v>
      </c>
    </row>
    <row r="170" spans="1:18" s="137" customFormat="1" ht="30" customHeight="1">
      <c r="A170" s="224">
        <v>162</v>
      </c>
      <c r="B170" s="134">
        <v>11</v>
      </c>
      <c r="C170" s="135"/>
      <c r="D170" s="130" t="s">
        <v>182</v>
      </c>
      <c r="E170" s="700" t="s">
        <v>859</v>
      </c>
      <c r="F170" s="340">
        <v>95933</v>
      </c>
      <c r="G170" s="340">
        <v>77338</v>
      </c>
      <c r="H170" s="340">
        <v>98692</v>
      </c>
      <c r="I170" s="663"/>
      <c r="J170" s="74"/>
      <c r="K170" s="74"/>
      <c r="L170" s="74"/>
      <c r="M170" s="74"/>
      <c r="N170" s="74"/>
      <c r="O170" s="74"/>
      <c r="P170" s="74"/>
      <c r="Q170" s="75"/>
      <c r="R170" s="136">
        <f>(SUM(J171:Q171))-I171</f>
        <v>0</v>
      </c>
    </row>
    <row r="171" spans="1:18" s="846" customFormat="1" ht="15">
      <c r="A171" s="224">
        <v>163</v>
      </c>
      <c r="B171" s="837"/>
      <c r="C171" s="838"/>
      <c r="D171" s="863" t="s">
        <v>403</v>
      </c>
      <c r="E171" s="851"/>
      <c r="F171" s="852"/>
      <c r="G171" s="852"/>
      <c r="H171" s="852"/>
      <c r="I171" s="853">
        <f>SUM(J171:Q171)</f>
        <v>75506</v>
      </c>
      <c r="J171" s="840">
        <v>43475</v>
      </c>
      <c r="K171" s="840">
        <v>12174</v>
      </c>
      <c r="L171" s="840">
        <v>19857</v>
      </c>
      <c r="M171" s="841"/>
      <c r="N171" s="841"/>
      <c r="O171" s="841"/>
      <c r="P171" s="841"/>
      <c r="Q171" s="864"/>
      <c r="R171" s="840"/>
    </row>
    <row r="172" spans="1:18" s="71" customFormat="1" ht="15">
      <c r="A172" s="224">
        <v>164</v>
      </c>
      <c r="B172" s="73"/>
      <c r="C172" s="76"/>
      <c r="D172" s="1490" t="s">
        <v>957</v>
      </c>
      <c r="E172" s="705"/>
      <c r="F172" s="382"/>
      <c r="G172" s="382"/>
      <c r="H172" s="382"/>
      <c r="I172" s="660">
        <f>SUM(J172:Q172)</f>
        <v>86158</v>
      </c>
      <c r="J172" s="136">
        <v>47176</v>
      </c>
      <c r="K172" s="136">
        <v>13052</v>
      </c>
      <c r="L172" s="136">
        <v>24314</v>
      </c>
      <c r="M172" s="137"/>
      <c r="N172" s="136">
        <v>247</v>
      </c>
      <c r="O172" s="136">
        <v>1369</v>
      </c>
      <c r="P172" s="137"/>
      <c r="Q172" s="307"/>
      <c r="R172" s="136"/>
    </row>
    <row r="173" spans="1:18" s="72" customFormat="1" ht="15">
      <c r="A173" s="224">
        <v>165</v>
      </c>
      <c r="B173" s="132"/>
      <c r="C173" s="227"/>
      <c r="D173" s="724" t="s">
        <v>1074</v>
      </c>
      <c r="E173" s="396"/>
      <c r="F173" s="386"/>
      <c r="G173" s="386"/>
      <c r="H173" s="382"/>
      <c r="I173" s="706">
        <f>SUM(J173:Q173)</f>
        <v>130</v>
      </c>
      <c r="J173" s="460">
        <v>102</v>
      </c>
      <c r="K173" s="460">
        <v>28</v>
      </c>
      <c r="L173" s="460"/>
      <c r="M173" s="460"/>
      <c r="N173" s="460"/>
      <c r="O173" s="460"/>
      <c r="P173" s="460"/>
      <c r="Q173" s="719"/>
      <c r="R173" s="137"/>
    </row>
    <row r="174" spans="1:18" s="72" customFormat="1" ht="15">
      <c r="A174" s="224">
        <v>166</v>
      </c>
      <c r="B174" s="132"/>
      <c r="C174" s="227"/>
      <c r="D174" s="724" t="s">
        <v>1087</v>
      </c>
      <c r="E174" s="396"/>
      <c r="F174" s="386"/>
      <c r="G174" s="386"/>
      <c r="H174" s="382"/>
      <c r="I174" s="706">
        <f>SUM(J174:Q174)</f>
        <v>0</v>
      </c>
      <c r="J174" s="460"/>
      <c r="K174" s="460"/>
      <c r="L174" s="460">
        <v>-76</v>
      </c>
      <c r="M174" s="460"/>
      <c r="N174" s="460"/>
      <c r="O174" s="460">
        <v>76</v>
      </c>
      <c r="P174" s="460"/>
      <c r="Q174" s="719"/>
      <c r="R174" s="137"/>
    </row>
    <row r="175" spans="1:18" s="74" customFormat="1" ht="15">
      <c r="A175" s="224">
        <v>167</v>
      </c>
      <c r="B175" s="1496"/>
      <c r="C175" s="1497"/>
      <c r="D175" s="458" t="s">
        <v>1067</v>
      </c>
      <c r="E175" s="707"/>
      <c r="F175" s="383"/>
      <c r="G175" s="383"/>
      <c r="H175" s="383"/>
      <c r="I175" s="711">
        <f aca="true" t="shared" si="36" ref="I175:Q175">SUM(I172:I174)</f>
        <v>86288</v>
      </c>
      <c r="J175" s="228">
        <f t="shared" si="36"/>
        <v>47278</v>
      </c>
      <c r="K175" s="228">
        <f t="shared" si="36"/>
        <v>13080</v>
      </c>
      <c r="L175" s="228">
        <f t="shared" si="36"/>
        <v>24238</v>
      </c>
      <c r="M175" s="228">
        <f t="shared" si="36"/>
        <v>0</v>
      </c>
      <c r="N175" s="228">
        <f t="shared" si="36"/>
        <v>247</v>
      </c>
      <c r="O175" s="228">
        <f t="shared" si="36"/>
        <v>1445</v>
      </c>
      <c r="P175" s="228">
        <f t="shared" si="36"/>
        <v>0</v>
      </c>
      <c r="Q175" s="111">
        <f t="shared" si="36"/>
        <v>0</v>
      </c>
      <c r="R175" s="228"/>
    </row>
    <row r="176" spans="1:17" s="136" customFormat="1" ht="30">
      <c r="A176" s="993">
        <v>168</v>
      </c>
      <c r="B176" s="73"/>
      <c r="C176" s="76">
        <v>1</v>
      </c>
      <c r="D176" s="1494" t="s">
        <v>786</v>
      </c>
      <c r="E176" s="130"/>
      <c r="F176" s="130"/>
      <c r="G176" s="130"/>
      <c r="H176" s="340"/>
      <c r="I176" s="660"/>
      <c r="Q176" s="306"/>
    </row>
    <row r="177" spans="1:18" s="846" customFormat="1" ht="15">
      <c r="A177" s="224">
        <v>169</v>
      </c>
      <c r="B177" s="837"/>
      <c r="C177" s="838"/>
      <c r="D177" s="854" t="s">
        <v>403</v>
      </c>
      <c r="E177" s="851"/>
      <c r="F177" s="852"/>
      <c r="G177" s="852"/>
      <c r="H177" s="852"/>
      <c r="I177" s="856">
        <f>SUM(J177:Q177)</f>
        <v>9667</v>
      </c>
      <c r="J177" s="857"/>
      <c r="K177" s="857"/>
      <c r="L177" s="857">
        <v>9667</v>
      </c>
      <c r="M177" s="857"/>
      <c r="N177" s="857"/>
      <c r="O177" s="857"/>
      <c r="P177" s="857"/>
      <c r="Q177" s="858"/>
      <c r="R177" s="840"/>
    </row>
    <row r="178" spans="1:18" s="71" customFormat="1" ht="15">
      <c r="A178" s="224">
        <v>170</v>
      </c>
      <c r="B178" s="73"/>
      <c r="C178" s="76"/>
      <c r="D178" s="446" t="s">
        <v>957</v>
      </c>
      <c r="E178" s="705"/>
      <c r="F178" s="382"/>
      <c r="G178" s="382"/>
      <c r="H178" s="382"/>
      <c r="I178" s="708">
        <f>SUM(J178:Q178)</f>
        <v>9667</v>
      </c>
      <c r="J178" s="393"/>
      <c r="K178" s="393"/>
      <c r="L178" s="393">
        <v>9667</v>
      </c>
      <c r="M178" s="393"/>
      <c r="N178" s="393"/>
      <c r="O178" s="393"/>
      <c r="P178" s="393"/>
      <c r="Q178" s="709"/>
      <c r="R178" s="136"/>
    </row>
    <row r="179" spans="1:18" s="72" customFormat="1" ht="15">
      <c r="A179" s="224">
        <v>171</v>
      </c>
      <c r="B179" s="132"/>
      <c r="C179" s="227"/>
      <c r="D179" s="447" t="s">
        <v>405</v>
      </c>
      <c r="E179" s="396"/>
      <c r="F179" s="386"/>
      <c r="G179" s="386"/>
      <c r="H179" s="382"/>
      <c r="I179" s="710">
        <f>SUM(J179:Q179)</f>
        <v>0</v>
      </c>
      <c r="Q179" s="112"/>
      <c r="R179" s="137"/>
    </row>
    <row r="180" spans="1:18" s="74" customFormat="1" ht="15">
      <c r="A180" s="224">
        <v>172</v>
      </c>
      <c r="B180" s="1496"/>
      <c r="C180" s="1497"/>
      <c r="D180" s="448" t="s">
        <v>1067</v>
      </c>
      <c r="E180" s="707"/>
      <c r="F180" s="383"/>
      <c r="G180" s="383"/>
      <c r="H180" s="383"/>
      <c r="I180" s="713">
        <f>SUM(J180:Q180)</f>
        <v>9667</v>
      </c>
      <c r="J180" s="74">
        <f aca="true" t="shared" si="37" ref="J180:Q180">SUM(J178:J179)</f>
        <v>0</v>
      </c>
      <c r="K180" s="74">
        <f t="shared" si="37"/>
        <v>0</v>
      </c>
      <c r="L180" s="74">
        <f t="shared" si="37"/>
        <v>9667</v>
      </c>
      <c r="M180" s="74">
        <f t="shared" si="37"/>
        <v>0</v>
      </c>
      <c r="N180" s="74">
        <f t="shared" si="37"/>
        <v>0</v>
      </c>
      <c r="O180" s="74">
        <f t="shared" si="37"/>
        <v>0</v>
      </c>
      <c r="P180" s="74">
        <f t="shared" si="37"/>
        <v>0</v>
      </c>
      <c r="Q180" s="75">
        <f t="shared" si="37"/>
        <v>0</v>
      </c>
      <c r="R180" s="228"/>
    </row>
    <row r="181" spans="1:17" s="136" customFormat="1" ht="45">
      <c r="A181" s="993">
        <v>173</v>
      </c>
      <c r="B181" s="73"/>
      <c r="C181" s="76">
        <v>2</v>
      </c>
      <c r="D181" s="1494" t="s">
        <v>598</v>
      </c>
      <c r="E181" s="130"/>
      <c r="F181" s="130"/>
      <c r="G181" s="130"/>
      <c r="H181" s="340"/>
      <c r="I181" s="660"/>
      <c r="Q181" s="306"/>
    </row>
    <row r="182" spans="1:17" s="136" customFormat="1" ht="15">
      <c r="A182" s="224">
        <v>174</v>
      </c>
      <c r="B182" s="73"/>
      <c r="C182" s="76"/>
      <c r="D182" s="1494" t="s">
        <v>957</v>
      </c>
      <c r="E182" s="130"/>
      <c r="F182" s="130"/>
      <c r="G182" s="130"/>
      <c r="H182" s="340"/>
      <c r="I182" s="708">
        <f>SUM(J182:Q182)</f>
        <v>1950</v>
      </c>
      <c r="J182" s="136">
        <v>1535</v>
      </c>
      <c r="K182" s="136">
        <v>415</v>
      </c>
      <c r="Q182" s="306"/>
    </row>
    <row r="183" spans="1:18" s="72" customFormat="1" ht="15">
      <c r="A183" s="224">
        <v>175</v>
      </c>
      <c r="B183" s="132"/>
      <c r="C183" s="227"/>
      <c r="D183" s="447" t="s">
        <v>1082</v>
      </c>
      <c r="E183" s="396"/>
      <c r="F183" s="386"/>
      <c r="G183" s="386"/>
      <c r="H183" s="382"/>
      <c r="I183" s="710">
        <f>SUM(J183:Q183)</f>
        <v>617</v>
      </c>
      <c r="J183" s="72">
        <v>486</v>
      </c>
      <c r="K183" s="72">
        <v>131</v>
      </c>
      <c r="Q183" s="112"/>
      <c r="R183" s="137"/>
    </row>
    <row r="184" spans="1:19" s="74" customFormat="1" ht="15">
      <c r="A184" s="224">
        <v>176</v>
      </c>
      <c r="B184" s="1496"/>
      <c r="C184" s="1497"/>
      <c r="D184" s="448" t="s">
        <v>1067</v>
      </c>
      <c r="E184" s="707"/>
      <c r="F184" s="383"/>
      <c r="G184" s="383"/>
      <c r="H184" s="383"/>
      <c r="I184" s="713">
        <f>SUM(J184:Q184)</f>
        <v>2567</v>
      </c>
      <c r="J184" s="74">
        <f>SUM(J182:J183)</f>
        <v>2021</v>
      </c>
      <c r="K184" s="74">
        <f aca="true" t="shared" si="38" ref="K184:S184">SUM(K182:K183)</f>
        <v>546</v>
      </c>
      <c r="L184" s="74">
        <f t="shared" si="38"/>
        <v>0</v>
      </c>
      <c r="M184" s="74">
        <f t="shared" si="38"/>
        <v>0</v>
      </c>
      <c r="N184" s="74">
        <f t="shared" si="38"/>
        <v>0</v>
      </c>
      <c r="O184" s="74">
        <f t="shared" si="38"/>
        <v>0</v>
      </c>
      <c r="P184" s="74">
        <f t="shared" si="38"/>
        <v>0</v>
      </c>
      <c r="Q184" s="75">
        <f t="shared" si="38"/>
        <v>0</v>
      </c>
      <c r="R184" s="74">
        <f t="shared" si="38"/>
        <v>0</v>
      </c>
      <c r="S184" s="74">
        <f t="shared" si="38"/>
        <v>0</v>
      </c>
    </row>
    <row r="185" spans="1:18" s="137" customFormat="1" ht="21.75" customHeight="1">
      <c r="A185" s="224">
        <v>177</v>
      </c>
      <c r="B185" s="134">
        <v>12</v>
      </c>
      <c r="C185" s="135"/>
      <c r="D185" s="130" t="s">
        <v>852</v>
      </c>
      <c r="E185" s="700" t="s">
        <v>859</v>
      </c>
      <c r="F185" s="340">
        <v>0</v>
      </c>
      <c r="G185" s="340">
        <v>190822</v>
      </c>
      <c r="H185" s="340">
        <v>357972</v>
      </c>
      <c r="I185" s="663"/>
      <c r="J185" s="74"/>
      <c r="K185" s="74"/>
      <c r="L185" s="74"/>
      <c r="M185" s="74"/>
      <c r="N185" s="74"/>
      <c r="O185" s="74"/>
      <c r="P185" s="74"/>
      <c r="Q185" s="75"/>
      <c r="R185" s="136">
        <f>(SUM(J186:Q186))-I186</f>
        <v>0</v>
      </c>
    </row>
    <row r="186" spans="1:18" s="846" customFormat="1" ht="15">
      <c r="A186" s="224">
        <v>178</v>
      </c>
      <c r="B186" s="837"/>
      <c r="C186" s="838"/>
      <c r="D186" s="863" t="s">
        <v>403</v>
      </c>
      <c r="E186" s="851"/>
      <c r="F186" s="852"/>
      <c r="G186" s="852"/>
      <c r="H186" s="852"/>
      <c r="I186" s="853">
        <f aca="true" t="shared" si="39" ref="I186:I193">SUM(J186:Q186)</f>
        <v>356202</v>
      </c>
      <c r="J186" s="840">
        <v>125620</v>
      </c>
      <c r="K186" s="840">
        <v>36655</v>
      </c>
      <c r="L186" s="840">
        <v>168527</v>
      </c>
      <c r="M186" s="841"/>
      <c r="N186" s="841"/>
      <c r="O186" s="840">
        <v>25400</v>
      </c>
      <c r="P186" s="841"/>
      <c r="Q186" s="864"/>
      <c r="R186" s="840"/>
    </row>
    <row r="187" spans="1:18" s="71" customFormat="1" ht="15">
      <c r="A187" s="224">
        <v>179</v>
      </c>
      <c r="B187" s="73"/>
      <c r="C187" s="76"/>
      <c r="D187" s="1490" t="s">
        <v>957</v>
      </c>
      <c r="E187" s="705"/>
      <c r="F187" s="382"/>
      <c r="G187" s="382"/>
      <c r="H187" s="382"/>
      <c r="I187" s="660">
        <f t="shared" si="39"/>
        <v>398851</v>
      </c>
      <c r="J187" s="136">
        <v>139792</v>
      </c>
      <c r="K187" s="136">
        <v>38668</v>
      </c>
      <c r="L187" s="136">
        <v>195943</v>
      </c>
      <c r="M187" s="137"/>
      <c r="N187" s="136">
        <v>1883</v>
      </c>
      <c r="O187" s="136">
        <v>22565</v>
      </c>
      <c r="P187" s="137"/>
      <c r="Q187" s="307"/>
      <c r="R187" s="136"/>
    </row>
    <row r="188" spans="1:18" s="72" customFormat="1" ht="15">
      <c r="A188" s="224">
        <v>180</v>
      </c>
      <c r="B188" s="132"/>
      <c r="C188" s="227"/>
      <c r="D188" s="140" t="s">
        <v>1074</v>
      </c>
      <c r="E188" s="396"/>
      <c r="F188" s="386"/>
      <c r="G188" s="386"/>
      <c r="H188" s="382"/>
      <c r="I188" s="706">
        <f t="shared" si="39"/>
        <v>377</v>
      </c>
      <c r="J188" s="460">
        <v>297</v>
      </c>
      <c r="K188" s="460">
        <v>80</v>
      </c>
      <c r="L188" s="460"/>
      <c r="M188" s="460"/>
      <c r="N188" s="460"/>
      <c r="O188" s="460"/>
      <c r="P188" s="460"/>
      <c r="Q188" s="719"/>
      <c r="R188" s="137"/>
    </row>
    <row r="189" spans="1:18" s="72" customFormat="1" ht="15">
      <c r="A189" s="224">
        <v>181</v>
      </c>
      <c r="B189" s="132"/>
      <c r="C189" s="227"/>
      <c r="D189" s="457" t="s">
        <v>1133</v>
      </c>
      <c r="E189" s="396"/>
      <c r="F189" s="386"/>
      <c r="G189" s="386"/>
      <c r="H189" s="382"/>
      <c r="I189" s="706">
        <f t="shared" si="39"/>
        <v>954</v>
      </c>
      <c r="J189" s="460">
        <v>751</v>
      </c>
      <c r="K189" s="460">
        <v>203</v>
      </c>
      <c r="L189" s="460"/>
      <c r="M189" s="460"/>
      <c r="N189" s="460"/>
      <c r="O189" s="460"/>
      <c r="P189" s="460"/>
      <c r="Q189" s="719"/>
      <c r="R189" s="137"/>
    </row>
    <row r="190" spans="1:18" s="72" customFormat="1" ht="15">
      <c r="A190" s="224">
        <v>182</v>
      </c>
      <c r="B190" s="132"/>
      <c r="C190" s="227"/>
      <c r="D190" s="457" t="s">
        <v>1139</v>
      </c>
      <c r="E190" s="396"/>
      <c r="F190" s="386"/>
      <c r="G190" s="386"/>
      <c r="H190" s="382"/>
      <c r="I190" s="706">
        <f t="shared" si="39"/>
        <v>999</v>
      </c>
      <c r="J190" s="460"/>
      <c r="K190" s="460"/>
      <c r="L190" s="460">
        <v>951</v>
      </c>
      <c r="M190" s="460"/>
      <c r="N190" s="460"/>
      <c r="O190" s="460">
        <v>48</v>
      </c>
      <c r="P190" s="460"/>
      <c r="Q190" s="719"/>
      <c r="R190" s="137"/>
    </row>
    <row r="191" spans="1:18" s="72" customFormat="1" ht="15">
      <c r="A191" s="224">
        <v>183</v>
      </c>
      <c r="B191" s="132"/>
      <c r="C191" s="227"/>
      <c r="D191" s="457" t="s">
        <v>1130</v>
      </c>
      <c r="E191" s="396"/>
      <c r="F191" s="386"/>
      <c r="G191" s="386"/>
      <c r="H191" s="382"/>
      <c r="I191" s="706">
        <f t="shared" si="39"/>
        <v>921</v>
      </c>
      <c r="J191" s="460"/>
      <c r="K191" s="460"/>
      <c r="L191" s="460">
        <v>921</v>
      </c>
      <c r="M191" s="460"/>
      <c r="N191" s="460"/>
      <c r="O191" s="460"/>
      <c r="P191" s="460"/>
      <c r="Q191" s="719"/>
      <c r="R191" s="137"/>
    </row>
    <row r="192" spans="1:18" s="72" customFormat="1" ht="15">
      <c r="A192" s="224">
        <v>184</v>
      </c>
      <c r="B192" s="132"/>
      <c r="C192" s="227"/>
      <c r="D192" s="457" t="s">
        <v>1087</v>
      </c>
      <c r="E192" s="396"/>
      <c r="F192" s="386"/>
      <c r="G192" s="386"/>
      <c r="H192" s="382"/>
      <c r="I192" s="706">
        <f t="shared" si="39"/>
        <v>0</v>
      </c>
      <c r="J192" s="460"/>
      <c r="K192" s="460"/>
      <c r="L192" s="460">
        <v>-18</v>
      </c>
      <c r="M192" s="460"/>
      <c r="N192" s="460"/>
      <c r="O192" s="460">
        <v>18</v>
      </c>
      <c r="P192" s="460"/>
      <c r="Q192" s="719"/>
      <c r="R192" s="137"/>
    </row>
    <row r="193" spans="1:18" s="72" customFormat="1" ht="15">
      <c r="A193" s="224">
        <v>185</v>
      </c>
      <c r="B193" s="132"/>
      <c r="C193" s="227"/>
      <c r="D193" s="457" t="s">
        <v>1162</v>
      </c>
      <c r="E193" s="396"/>
      <c r="F193" s="386"/>
      <c r="G193" s="386"/>
      <c r="H193" s="382"/>
      <c r="I193" s="706">
        <f t="shared" si="39"/>
        <v>0</v>
      </c>
      <c r="J193" s="460"/>
      <c r="K193" s="460"/>
      <c r="L193" s="460">
        <v>-1200</v>
      </c>
      <c r="M193" s="460"/>
      <c r="N193" s="460"/>
      <c r="O193" s="460">
        <v>1200</v>
      </c>
      <c r="P193" s="460"/>
      <c r="Q193" s="719"/>
      <c r="R193" s="137"/>
    </row>
    <row r="194" spans="1:18" s="74" customFormat="1" ht="15">
      <c r="A194" s="224">
        <v>186</v>
      </c>
      <c r="B194" s="1496"/>
      <c r="C194" s="1497"/>
      <c r="D194" s="458" t="s">
        <v>1067</v>
      </c>
      <c r="E194" s="707"/>
      <c r="F194" s="383"/>
      <c r="G194" s="383"/>
      <c r="H194" s="383"/>
      <c r="I194" s="711">
        <f>SUM(J194:Q194)</f>
        <v>402102</v>
      </c>
      <c r="J194" s="74">
        <f aca="true" t="shared" si="40" ref="J194:Q194">SUM(J187:J193)</f>
        <v>140840</v>
      </c>
      <c r="K194" s="74">
        <f t="shared" si="40"/>
        <v>38951</v>
      </c>
      <c r="L194" s="74">
        <f t="shared" si="40"/>
        <v>196597</v>
      </c>
      <c r="M194" s="74">
        <f t="shared" si="40"/>
        <v>0</v>
      </c>
      <c r="N194" s="74">
        <f t="shared" si="40"/>
        <v>1883</v>
      </c>
      <c r="O194" s="74">
        <f t="shared" si="40"/>
        <v>23831</v>
      </c>
      <c r="P194" s="74">
        <f t="shared" si="40"/>
        <v>0</v>
      </c>
      <c r="Q194" s="75">
        <f t="shared" si="40"/>
        <v>0</v>
      </c>
      <c r="R194" s="228"/>
    </row>
    <row r="195" spans="1:18" s="136" customFormat="1" ht="30">
      <c r="A195" s="993">
        <v>187</v>
      </c>
      <c r="B195" s="73"/>
      <c r="C195" s="76">
        <v>1</v>
      </c>
      <c r="D195" s="1494" t="s">
        <v>206</v>
      </c>
      <c r="E195" s="130"/>
      <c r="F195" s="130">
        <v>0</v>
      </c>
      <c r="G195" s="130">
        <v>23407</v>
      </c>
      <c r="H195" s="340">
        <v>30242</v>
      </c>
      <c r="I195" s="660"/>
      <c r="Q195" s="306"/>
      <c r="R195" s="136">
        <f>(SUM(J196:Q196))-I196</f>
        <v>0</v>
      </c>
    </row>
    <row r="196" spans="1:18" s="846" customFormat="1" ht="15">
      <c r="A196" s="224">
        <v>188</v>
      </c>
      <c r="B196" s="837"/>
      <c r="C196" s="838"/>
      <c r="D196" s="854" t="s">
        <v>403</v>
      </c>
      <c r="E196" s="851"/>
      <c r="F196" s="852"/>
      <c r="G196" s="852"/>
      <c r="H196" s="852"/>
      <c r="I196" s="856">
        <f>SUM(J196:Q196)</f>
        <v>0</v>
      </c>
      <c r="J196" s="857"/>
      <c r="K196" s="857"/>
      <c r="L196" s="857"/>
      <c r="M196" s="857"/>
      <c r="N196" s="857"/>
      <c r="O196" s="857"/>
      <c r="P196" s="857"/>
      <c r="Q196" s="858"/>
      <c r="R196" s="840"/>
    </row>
    <row r="197" spans="1:18" s="71" customFormat="1" ht="15">
      <c r="A197" s="224">
        <v>189</v>
      </c>
      <c r="B197" s="73"/>
      <c r="C197" s="76"/>
      <c r="D197" s="446" t="s">
        <v>957</v>
      </c>
      <c r="E197" s="705"/>
      <c r="F197" s="382"/>
      <c r="G197" s="382"/>
      <c r="H197" s="382"/>
      <c r="I197" s="708">
        <f>SUM(J197:Q197)</f>
        <v>0</v>
      </c>
      <c r="J197" s="393"/>
      <c r="K197" s="393"/>
      <c r="L197" s="393"/>
      <c r="M197" s="393"/>
      <c r="N197" s="393"/>
      <c r="O197" s="393"/>
      <c r="P197" s="393"/>
      <c r="Q197" s="709"/>
      <c r="R197" s="136"/>
    </row>
    <row r="198" spans="1:18" s="72" customFormat="1" ht="15">
      <c r="A198" s="224">
        <v>190</v>
      </c>
      <c r="B198" s="132"/>
      <c r="C198" s="227"/>
      <c r="D198" s="447" t="s">
        <v>405</v>
      </c>
      <c r="E198" s="396"/>
      <c r="F198" s="386"/>
      <c r="G198" s="386"/>
      <c r="H198" s="382"/>
      <c r="I198" s="710">
        <f>SUM(J198:Q198)</f>
        <v>0</v>
      </c>
      <c r="Q198" s="112"/>
      <c r="R198" s="137"/>
    </row>
    <row r="199" spans="1:18" s="74" customFormat="1" ht="15">
      <c r="A199" s="224">
        <v>191</v>
      </c>
      <c r="B199" s="1496"/>
      <c r="C199" s="1497"/>
      <c r="D199" s="448" t="s">
        <v>1067</v>
      </c>
      <c r="E199" s="707"/>
      <c r="F199" s="383"/>
      <c r="G199" s="383"/>
      <c r="H199" s="383"/>
      <c r="I199" s="713">
        <f>SUM(J199:Q199)</f>
        <v>0</v>
      </c>
      <c r="J199" s="74">
        <f>SUM(J197:J198)</f>
        <v>0</v>
      </c>
      <c r="K199" s="74">
        <f aca="true" t="shared" si="41" ref="K199:Q199">SUM(K197:K198)</f>
        <v>0</v>
      </c>
      <c r="L199" s="74">
        <f t="shared" si="41"/>
        <v>0</v>
      </c>
      <c r="M199" s="74">
        <f t="shared" si="41"/>
        <v>0</v>
      </c>
      <c r="N199" s="74">
        <f t="shared" si="41"/>
        <v>0</v>
      </c>
      <c r="O199" s="74">
        <f t="shared" si="41"/>
        <v>0</v>
      </c>
      <c r="P199" s="74">
        <f t="shared" si="41"/>
        <v>0</v>
      </c>
      <c r="Q199" s="75">
        <f t="shared" si="41"/>
        <v>0</v>
      </c>
      <c r="R199" s="228"/>
    </row>
    <row r="200" spans="1:18" s="136" customFormat="1" ht="30">
      <c r="A200" s="993">
        <v>192</v>
      </c>
      <c r="B200" s="73"/>
      <c r="C200" s="76">
        <v>2</v>
      </c>
      <c r="D200" s="1494" t="s">
        <v>216</v>
      </c>
      <c r="E200" s="130"/>
      <c r="F200" s="130">
        <v>0</v>
      </c>
      <c r="G200" s="130">
        <v>14064</v>
      </c>
      <c r="H200" s="340">
        <v>15061</v>
      </c>
      <c r="I200" s="660"/>
      <c r="Q200" s="306"/>
      <c r="R200" s="136">
        <f>(SUM(J201:Q201))-I201</f>
        <v>0</v>
      </c>
    </row>
    <row r="201" spans="1:18" s="71" customFormat="1" ht="15">
      <c r="A201" s="224">
        <v>193</v>
      </c>
      <c r="B201" s="73"/>
      <c r="C201" s="76"/>
      <c r="D201" s="854" t="s">
        <v>403</v>
      </c>
      <c r="E201" s="705"/>
      <c r="F201" s="382"/>
      <c r="G201" s="382"/>
      <c r="H201" s="382"/>
      <c r="I201" s="708">
        <f>SUM(J201:Q201)</f>
        <v>0</v>
      </c>
      <c r="J201" s="393"/>
      <c r="K201" s="393"/>
      <c r="L201" s="393"/>
      <c r="M201" s="393"/>
      <c r="N201" s="393"/>
      <c r="O201" s="393"/>
      <c r="P201" s="393"/>
      <c r="Q201" s="709"/>
      <c r="R201" s="136"/>
    </row>
    <row r="202" spans="1:18" s="71" customFormat="1" ht="15">
      <c r="A202" s="224">
        <v>194</v>
      </c>
      <c r="B202" s="73"/>
      <c r="C202" s="76"/>
      <c r="D202" s="446" t="s">
        <v>957</v>
      </c>
      <c r="E202" s="705"/>
      <c r="F202" s="382"/>
      <c r="G202" s="382"/>
      <c r="H202" s="382"/>
      <c r="I202" s="708">
        <f>SUM(J202:Q202)</f>
        <v>0</v>
      </c>
      <c r="J202" s="393"/>
      <c r="K202" s="393"/>
      <c r="L202" s="393"/>
      <c r="M202" s="393"/>
      <c r="N202" s="393"/>
      <c r="O202" s="393"/>
      <c r="P202" s="393"/>
      <c r="Q202" s="709"/>
      <c r="R202" s="136"/>
    </row>
    <row r="203" spans="1:18" s="72" customFormat="1" ht="15">
      <c r="A203" s="224">
        <v>195</v>
      </c>
      <c r="B203" s="132"/>
      <c r="C203" s="227"/>
      <c r="D203" s="447" t="s">
        <v>405</v>
      </c>
      <c r="E203" s="396"/>
      <c r="F203" s="386"/>
      <c r="G203" s="386"/>
      <c r="H203" s="382"/>
      <c r="I203" s="710">
        <f>SUM(J203:Q203)</f>
        <v>0</v>
      </c>
      <c r="Q203" s="112"/>
      <c r="R203" s="137"/>
    </row>
    <row r="204" spans="1:19" s="74" customFormat="1" ht="15">
      <c r="A204" s="224">
        <v>196</v>
      </c>
      <c r="B204" s="1496"/>
      <c r="C204" s="1497"/>
      <c r="D204" s="448" t="s">
        <v>1067</v>
      </c>
      <c r="E204" s="707"/>
      <c r="F204" s="383"/>
      <c r="G204" s="383"/>
      <c r="H204" s="383"/>
      <c r="I204" s="713">
        <f>SUM(J204:Q204)</f>
        <v>0</v>
      </c>
      <c r="J204" s="74">
        <f>SUM(J202:J203)</f>
        <v>0</v>
      </c>
      <c r="K204" s="74">
        <f aca="true" t="shared" si="42" ref="K204:S204">SUM(K202:K203)</f>
        <v>0</v>
      </c>
      <c r="L204" s="74">
        <f t="shared" si="42"/>
        <v>0</v>
      </c>
      <c r="M204" s="74">
        <f t="shared" si="42"/>
        <v>0</v>
      </c>
      <c r="N204" s="74">
        <f t="shared" si="42"/>
        <v>0</v>
      </c>
      <c r="O204" s="74">
        <f t="shared" si="42"/>
        <v>0</v>
      </c>
      <c r="P204" s="74">
        <f t="shared" si="42"/>
        <v>0</v>
      </c>
      <c r="Q204" s="75">
        <f t="shared" si="42"/>
        <v>0</v>
      </c>
      <c r="R204" s="74">
        <f t="shared" si="42"/>
        <v>0</v>
      </c>
      <c r="S204" s="74">
        <f t="shared" si="42"/>
        <v>0</v>
      </c>
    </row>
    <row r="205" spans="1:18" s="136" customFormat="1" ht="30">
      <c r="A205" s="993">
        <v>197</v>
      </c>
      <c r="B205" s="73"/>
      <c r="C205" s="76">
        <v>3</v>
      </c>
      <c r="D205" s="1494" t="s">
        <v>160</v>
      </c>
      <c r="E205" s="130"/>
      <c r="F205" s="130">
        <v>0</v>
      </c>
      <c r="G205" s="130">
        <v>4933</v>
      </c>
      <c r="H205" s="340">
        <v>4958</v>
      </c>
      <c r="I205" s="660"/>
      <c r="Q205" s="306"/>
      <c r="R205" s="136">
        <f>(SUM(J206:Q206))-I206</f>
        <v>0</v>
      </c>
    </row>
    <row r="206" spans="1:18" s="846" customFormat="1" ht="15">
      <c r="A206" s="224">
        <v>198</v>
      </c>
      <c r="B206" s="837"/>
      <c r="C206" s="838"/>
      <c r="D206" s="854" t="s">
        <v>403</v>
      </c>
      <c r="E206" s="851"/>
      <c r="F206" s="852"/>
      <c r="G206" s="852"/>
      <c r="H206" s="852"/>
      <c r="I206" s="856">
        <f>SUM(J206:Q206)</f>
        <v>2683</v>
      </c>
      <c r="J206" s="857"/>
      <c r="K206" s="857"/>
      <c r="L206" s="857">
        <v>2683</v>
      </c>
      <c r="M206" s="857"/>
      <c r="N206" s="857"/>
      <c r="O206" s="857"/>
      <c r="P206" s="857"/>
      <c r="Q206" s="858"/>
      <c r="R206" s="840"/>
    </row>
    <row r="207" spans="1:18" s="71" customFormat="1" ht="15">
      <c r="A207" s="224">
        <v>199</v>
      </c>
      <c r="B207" s="73"/>
      <c r="C207" s="76"/>
      <c r="D207" s="446" t="s">
        <v>957</v>
      </c>
      <c r="E207" s="705"/>
      <c r="F207" s="382"/>
      <c r="G207" s="382"/>
      <c r="H207" s="382"/>
      <c r="I207" s="708">
        <f>SUM(J207:Q207)</f>
        <v>5265</v>
      </c>
      <c r="J207" s="393">
        <v>800</v>
      </c>
      <c r="K207" s="393">
        <v>215</v>
      </c>
      <c r="L207" s="393">
        <v>4250</v>
      </c>
      <c r="M207" s="393"/>
      <c r="N207" s="393"/>
      <c r="O207" s="393"/>
      <c r="P207" s="393"/>
      <c r="Q207" s="709"/>
      <c r="R207" s="136"/>
    </row>
    <row r="208" spans="1:18" s="72" customFormat="1" ht="15">
      <c r="A208" s="224">
        <v>200</v>
      </c>
      <c r="B208" s="132"/>
      <c r="C208" s="227"/>
      <c r="D208" s="447" t="s">
        <v>405</v>
      </c>
      <c r="E208" s="396"/>
      <c r="F208" s="386"/>
      <c r="G208" s="386"/>
      <c r="H208" s="382"/>
      <c r="I208" s="710">
        <f>SUM(J208:Q208)</f>
        <v>0</v>
      </c>
      <c r="Q208" s="112"/>
      <c r="R208" s="137"/>
    </row>
    <row r="209" spans="1:18" s="74" customFormat="1" ht="15">
      <c r="A209" s="224">
        <v>201</v>
      </c>
      <c r="B209" s="1496"/>
      <c r="C209" s="1497"/>
      <c r="D209" s="448" t="s">
        <v>1067</v>
      </c>
      <c r="E209" s="707"/>
      <c r="F209" s="383"/>
      <c r="G209" s="383"/>
      <c r="H209" s="383"/>
      <c r="I209" s="713">
        <f>SUM(J209:Q209)</f>
        <v>5265</v>
      </c>
      <c r="J209" s="74">
        <f>SUM(J207:J208)</f>
        <v>800</v>
      </c>
      <c r="K209" s="74">
        <f aca="true" t="shared" si="43" ref="K209:Q209">SUM(K207:K208)</f>
        <v>215</v>
      </c>
      <c r="L209" s="74">
        <f t="shared" si="43"/>
        <v>4250</v>
      </c>
      <c r="M209" s="74">
        <f t="shared" si="43"/>
        <v>0</v>
      </c>
      <c r="N209" s="74">
        <f t="shared" si="43"/>
        <v>0</v>
      </c>
      <c r="O209" s="74">
        <f t="shared" si="43"/>
        <v>0</v>
      </c>
      <c r="P209" s="74">
        <f t="shared" si="43"/>
        <v>0</v>
      </c>
      <c r="Q209" s="75">
        <f t="shared" si="43"/>
        <v>0</v>
      </c>
      <c r="R209" s="228"/>
    </row>
    <row r="210" spans="1:17" s="136" customFormat="1" ht="15">
      <c r="A210" s="224">
        <v>202</v>
      </c>
      <c r="B210" s="134"/>
      <c r="C210" s="135">
        <v>4</v>
      </c>
      <c r="D210" s="1494" t="s">
        <v>857</v>
      </c>
      <c r="E210" s="130"/>
      <c r="F210" s="130"/>
      <c r="G210" s="130"/>
      <c r="H210" s="340"/>
      <c r="I210" s="660"/>
      <c r="Q210" s="306"/>
    </row>
    <row r="211" spans="1:18" s="846" customFormat="1" ht="15">
      <c r="A211" s="224">
        <v>203</v>
      </c>
      <c r="B211" s="837"/>
      <c r="C211" s="838"/>
      <c r="D211" s="854" t="s">
        <v>403</v>
      </c>
      <c r="E211" s="851"/>
      <c r="F211" s="852"/>
      <c r="G211" s="852"/>
      <c r="H211" s="852"/>
      <c r="I211" s="856">
        <f>SUM(J211:Q211)</f>
        <v>4054</v>
      </c>
      <c r="J211" s="857">
        <v>3568</v>
      </c>
      <c r="K211" s="857">
        <v>482</v>
      </c>
      <c r="L211" s="857">
        <v>4</v>
      </c>
      <c r="M211" s="857"/>
      <c r="N211" s="857"/>
      <c r="O211" s="857"/>
      <c r="P211" s="857"/>
      <c r="Q211" s="858"/>
      <c r="R211" s="840"/>
    </row>
    <row r="212" spans="1:18" s="71" customFormat="1" ht="15">
      <c r="A212" s="224">
        <v>204</v>
      </c>
      <c r="B212" s="73"/>
      <c r="C212" s="76"/>
      <c r="D212" s="446" t="s">
        <v>957</v>
      </c>
      <c r="E212" s="705"/>
      <c r="F212" s="382"/>
      <c r="G212" s="382"/>
      <c r="H212" s="382"/>
      <c r="I212" s="708">
        <f>SUM(J212:Q212)</f>
        <v>7570</v>
      </c>
      <c r="J212" s="393">
        <v>6628</v>
      </c>
      <c r="K212" s="393">
        <v>895</v>
      </c>
      <c r="L212" s="393">
        <v>47</v>
      </c>
      <c r="M212" s="393"/>
      <c r="N212" s="393"/>
      <c r="O212" s="393"/>
      <c r="P212" s="393"/>
      <c r="Q212" s="709"/>
      <c r="R212" s="136"/>
    </row>
    <row r="213" spans="1:18" s="72" customFormat="1" ht="15">
      <c r="A213" s="224">
        <v>205</v>
      </c>
      <c r="B213" s="132"/>
      <c r="C213" s="227"/>
      <c r="D213" s="447" t="s">
        <v>405</v>
      </c>
      <c r="E213" s="396"/>
      <c r="F213" s="386"/>
      <c r="G213" s="386"/>
      <c r="H213" s="382"/>
      <c r="I213" s="710">
        <f>SUM(J213:Q213)</f>
        <v>527</v>
      </c>
      <c r="J213" s="72">
        <v>464</v>
      </c>
      <c r="K213" s="72">
        <v>63</v>
      </c>
      <c r="Q213" s="112"/>
      <c r="R213" s="137"/>
    </row>
    <row r="214" spans="1:18" s="74" customFormat="1" ht="15">
      <c r="A214" s="224">
        <v>206</v>
      </c>
      <c r="B214" s="1496"/>
      <c r="C214" s="1497"/>
      <c r="D214" s="448" t="s">
        <v>1067</v>
      </c>
      <c r="E214" s="707"/>
      <c r="F214" s="383"/>
      <c r="G214" s="383"/>
      <c r="H214" s="383"/>
      <c r="I214" s="713">
        <f>SUM(J214:Q214)</f>
        <v>8097</v>
      </c>
      <c r="J214" s="74">
        <f>SUM(J212:J213)</f>
        <v>7092</v>
      </c>
      <c r="K214" s="74">
        <f aca="true" t="shared" si="44" ref="K214:Q214">SUM(K212:K213)</f>
        <v>958</v>
      </c>
      <c r="L214" s="74">
        <f t="shared" si="44"/>
        <v>47</v>
      </c>
      <c r="M214" s="74">
        <f t="shared" si="44"/>
        <v>0</v>
      </c>
      <c r="N214" s="74">
        <f t="shared" si="44"/>
        <v>0</v>
      </c>
      <c r="O214" s="74">
        <f t="shared" si="44"/>
        <v>0</v>
      </c>
      <c r="P214" s="74">
        <f t="shared" si="44"/>
        <v>0</v>
      </c>
      <c r="Q214" s="75">
        <f t="shared" si="44"/>
        <v>0</v>
      </c>
      <c r="R214" s="228"/>
    </row>
    <row r="215" spans="1:18" s="137" customFormat="1" ht="21.75" customHeight="1">
      <c r="A215" s="224">
        <v>207</v>
      </c>
      <c r="B215" s="134">
        <v>13</v>
      </c>
      <c r="C215" s="135"/>
      <c r="D215" s="130" t="s">
        <v>853</v>
      </c>
      <c r="E215" s="700" t="s">
        <v>859</v>
      </c>
      <c r="F215" s="340">
        <v>0</v>
      </c>
      <c r="G215" s="340">
        <v>169755</v>
      </c>
      <c r="H215" s="340">
        <v>249867</v>
      </c>
      <c r="I215" s="663"/>
      <c r="J215" s="74"/>
      <c r="K215" s="74"/>
      <c r="L215" s="74"/>
      <c r="M215" s="74"/>
      <c r="N215" s="74"/>
      <c r="O215" s="74"/>
      <c r="P215" s="74"/>
      <c r="Q215" s="75"/>
      <c r="R215" s="136">
        <f>(SUM(J216:Q216))-I216</f>
        <v>0</v>
      </c>
    </row>
    <row r="216" spans="1:18" s="846" customFormat="1" ht="15">
      <c r="A216" s="224">
        <v>208</v>
      </c>
      <c r="B216" s="837"/>
      <c r="C216" s="838"/>
      <c r="D216" s="863" t="s">
        <v>403</v>
      </c>
      <c r="E216" s="851"/>
      <c r="F216" s="852"/>
      <c r="G216" s="852"/>
      <c r="H216" s="852"/>
      <c r="I216" s="853">
        <f>SUM(J216:Q216)</f>
        <v>237697</v>
      </c>
      <c r="J216" s="840">
        <v>108215</v>
      </c>
      <c r="K216" s="840">
        <v>33404</v>
      </c>
      <c r="L216" s="840">
        <v>91408</v>
      </c>
      <c r="M216" s="841"/>
      <c r="N216" s="841"/>
      <c r="O216" s="840">
        <v>4670</v>
      </c>
      <c r="P216" s="841"/>
      <c r="Q216" s="864"/>
      <c r="R216" s="840"/>
    </row>
    <row r="217" spans="1:18" s="71" customFormat="1" ht="15">
      <c r="A217" s="224">
        <v>209</v>
      </c>
      <c r="B217" s="73"/>
      <c r="C217" s="76"/>
      <c r="D217" s="1490" t="s">
        <v>957</v>
      </c>
      <c r="E217" s="705"/>
      <c r="F217" s="382"/>
      <c r="G217" s="382"/>
      <c r="H217" s="382"/>
      <c r="I217" s="660">
        <f>SUM(J217:Q217)</f>
        <v>340656</v>
      </c>
      <c r="J217" s="136">
        <v>127314</v>
      </c>
      <c r="K217" s="136">
        <v>36000</v>
      </c>
      <c r="L217" s="136">
        <v>142495</v>
      </c>
      <c r="M217" s="136"/>
      <c r="N217" s="136">
        <v>3000</v>
      </c>
      <c r="O217" s="136">
        <v>26347</v>
      </c>
      <c r="P217" s="136">
        <v>5500</v>
      </c>
      <c r="Q217" s="307"/>
      <c r="R217" s="136"/>
    </row>
    <row r="218" spans="1:18" s="72" customFormat="1" ht="15">
      <c r="A218" s="224">
        <v>210</v>
      </c>
      <c r="B218" s="132"/>
      <c r="C218" s="227"/>
      <c r="D218" s="140" t="s">
        <v>1043</v>
      </c>
      <c r="E218" s="396"/>
      <c r="F218" s="386"/>
      <c r="G218" s="386"/>
      <c r="H218" s="382"/>
      <c r="I218" s="706">
        <f>SUM(J218:Q218)</f>
        <v>261</v>
      </c>
      <c r="J218" s="460">
        <v>206</v>
      </c>
      <c r="K218" s="460">
        <v>55</v>
      </c>
      <c r="L218" s="460"/>
      <c r="M218" s="460"/>
      <c r="N218" s="460"/>
      <c r="O218" s="460"/>
      <c r="P218" s="460"/>
      <c r="Q218" s="719"/>
      <c r="R218" s="137"/>
    </row>
    <row r="219" spans="1:18" s="72" customFormat="1" ht="15">
      <c r="A219" s="224">
        <v>211</v>
      </c>
      <c r="B219" s="132"/>
      <c r="C219" s="227"/>
      <c r="D219" s="140" t="s">
        <v>1087</v>
      </c>
      <c r="E219" s="396"/>
      <c r="F219" s="386"/>
      <c r="G219" s="386"/>
      <c r="H219" s="382"/>
      <c r="I219" s="706">
        <f>SUM(J219:Q219)</f>
        <v>0</v>
      </c>
      <c r="J219" s="460"/>
      <c r="K219" s="460">
        <v>-400</v>
      </c>
      <c r="L219" s="460">
        <v>400</v>
      </c>
      <c r="M219" s="460"/>
      <c r="N219" s="460"/>
      <c r="O219" s="460"/>
      <c r="P219" s="460"/>
      <c r="Q219" s="719"/>
      <c r="R219" s="137"/>
    </row>
    <row r="220" spans="1:18" s="72" customFormat="1" ht="15">
      <c r="A220" s="224">
        <v>212</v>
      </c>
      <c r="B220" s="132"/>
      <c r="C220" s="227"/>
      <c r="D220" s="140" t="s">
        <v>1174</v>
      </c>
      <c r="E220" s="396"/>
      <c r="F220" s="386"/>
      <c r="G220" s="386"/>
      <c r="H220" s="382"/>
      <c r="I220" s="706">
        <f>SUM(J220:Q220)</f>
        <v>35000</v>
      </c>
      <c r="J220" s="460"/>
      <c r="K220" s="460"/>
      <c r="L220" s="460">
        <v>35000</v>
      </c>
      <c r="M220" s="460"/>
      <c r="N220" s="460"/>
      <c r="O220" s="460"/>
      <c r="P220" s="460"/>
      <c r="Q220" s="719"/>
      <c r="R220" s="137"/>
    </row>
    <row r="221" spans="1:18" s="74" customFormat="1" ht="15">
      <c r="A221" s="224">
        <v>213</v>
      </c>
      <c r="B221" s="1496"/>
      <c r="C221" s="1497"/>
      <c r="D221" s="448" t="s">
        <v>1067</v>
      </c>
      <c r="E221" s="707"/>
      <c r="F221" s="383"/>
      <c r="G221" s="383"/>
      <c r="H221" s="383"/>
      <c r="I221" s="713">
        <f>SUM(J221:Q221)</f>
        <v>375917</v>
      </c>
      <c r="J221" s="74">
        <f aca="true" t="shared" si="45" ref="J221:Q221">SUM(J217:J220)</f>
        <v>127520</v>
      </c>
      <c r="K221" s="74">
        <f t="shared" si="45"/>
        <v>35655</v>
      </c>
      <c r="L221" s="74">
        <f t="shared" si="45"/>
        <v>177895</v>
      </c>
      <c r="M221" s="74">
        <f t="shared" si="45"/>
        <v>0</v>
      </c>
      <c r="N221" s="74">
        <f t="shared" si="45"/>
        <v>3000</v>
      </c>
      <c r="O221" s="74">
        <f t="shared" si="45"/>
        <v>26347</v>
      </c>
      <c r="P221" s="74">
        <f t="shared" si="45"/>
        <v>5500</v>
      </c>
      <c r="Q221" s="75">
        <f t="shared" si="45"/>
        <v>0</v>
      </c>
      <c r="R221" s="228"/>
    </row>
    <row r="222" spans="1:18" s="136" customFormat="1" ht="30">
      <c r="A222" s="993">
        <v>214</v>
      </c>
      <c r="B222" s="73"/>
      <c r="C222" s="76">
        <v>1</v>
      </c>
      <c r="D222" s="1494" t="s">
        <v>161</v>
      </c>
      <c r="E222" s="130"/>
      <c r="F222" s="130">
        <v>0</v>
      </c>
      <c r="G222" s="130">
        <v>14350</v>
      </c>
      <c r="H222" s="340">
        <v>11614</v>
      </c>
      <c r="I222" s="660"/>
      <c r="Q222" s="306"/>
      <c r="R222" s="136">
        <f>(SUM(J223:Q223))-I223</f>
        <v>0</v>
      </c>
    </row>
    <row r="223" spans="1:18" s="846" customFormat="1" ht="15">
      <c r="A223" s="224">
        <v>215</v>
      </c>
      <c r="B223" s="837"/>
      <c r="C223" s="838"/>
      <c r="D223" s="854" t="s">
        <v>403</v>
      </c>
      <c r="E223" s="851"/>
      <c r="F223" s="852"/>
      <c r="G223" s="852"/>
      <c r="H223" s="852"/>
      <c r="I223" s="856">
        <f>SUM(J223:Q223)</f>
        <v>10500</v>
      </c>
      <c r="J223" s="857">
        <v>1100</v>
      </c>
      <c r="K223" s="857">
        <v>297</v>
      </c>
      <c r="L223" s="857">
        <v>9103</v>
      </c>
      <c r="M223" s="857"/>
      <c r="N223" s="857"/>
      <c r="O223" s="857"/>
      <c r="P223" s="857"/>
      <c r="Q223" s="858"/>
      <c r="R223" s="840"/>
    </row>
    <row r="224" spans="1:18" s="71" customFormat="1" ht="15">
      <c r="A224" s="224">
        <v>216</v>
      </c>
      <c r="B224" s="73"/>
      <c r="C224" s="76"/>
      <c r="D224" s="446" t="s">
        <v>957</v>
      </c>
      <c r="E224" s="705"/>
      <c r="F224" s="382"/>
      <c r="G224" s="382"/>
      <c r="H224" s="382"/>
      <c r="I224" s="708">
        <f>SUM(J224:Q224)</f>
        <v>13570</v>
      </c>
      <c r="J224" s="393">
        <v>1100</v>
      </c>
      <c r="K224" s="393">
        <v>297</v>
      </c>
      <c r="L224" s="393">
        <v>12173</v>
      </c>
      <c r="M224" s="393"/>
      <c r="N224" s="393"/>
      <c r="O224" s="393"/>
      <c r="P224" s="393"/>
      <c r="Q224" s="709"/>
      <c r="R224" s="136"/>
    </row>
    <row r="225" spans="1:18" s="72" customFormat="1" ht="15">
      <c r="A225" s="224">
        <v>217</v>
      </c>
      <c r="B225" s="132"/>
      <c r="C225" s="227"/>
      <c r="D225" s="447" t="s">
        <v>405</v>
      </c>
      <c r="E225" s="396"/>
      <c r="F225" s="386"/>
      <c r="G225" s="386"/>
      <c r="H225" s="382"/>
      <c r="I225" s="710">
        <f>SUM(J225:Q225)</f>
        <v>0</v>
      </c>
      <c r="Q225" s="112"/>
      <c r="R225" s="137"/>
    </row>
    <row r="226" spans="1:18" s="74" customFormat="1" ht="15">
      <c r="A226" s="224">
        <v>218</v>
      </c>
      <c r="B226" s="1496"/>
      <c r="C226" s="1497"/>
      <c r="D226" s="448" t="s">
        <v>1067</v>
      </c>
      <c r="E226" s="707"/>
      <c r="F226" s="383"/>
      <c r="G226" s="383"/>
      <c r="H226" s="383"/>
      <c r="I226" s="713">
        <f>SUM(J226:Q226)</f>
        <v>13570</v>
      </c>
      <c r="J226" s="74">
        <f>SUM(J224:J225)</f>
        <v>1100</v>
      </c>
      <c r="K226" s="74">
        <f aca="true" t="shared" si="46" ref="K226:Q226">SUM(K224:K225)</f>
        <v>297</v>
      </c>
      <c r="L226" s="74">
        <f t="shared" si="46"/>
        <v>12173</v>
      </c>
      <c r="M226" s="74">
        <f t="shared" si="46"/>
        <v>0</v>
      </c>
      <c r="N226" s="74">
        <f t="shared" si="46"/>
        <v>0</v>
      </c>
      <c r="O226" s="74">
        <f t="shared" si="46"/>
        <v>0</v>
      </c>
      <c r="P226" s="74">
        <f t="shared" si="46"/>
        <v>0</v>
      </c>
      <c r="Q226" s="75">
        <f t="shared" si="46"/>
        <v>0</v>
      </c>
      <c r="R226" s="228"/>
    </row>
    <row r="227" spans="1:18" s="136" customFormat="1" ht="33.75" customHeight="1">
      <c r="A227" s="993">
        <v>219</v>
      </c>
      <c r="B227" s="73"/>
      <c r="C227" s="76">
        <v>2</v>
      </c>
      <c r="D227" s="1494" t="s">
        <v>217</v>
      </c>
      <c r="E227" s="130"/>
      <c r="F227" s="130">
        <v>0</v>
      </c>
      <c r="G227" s="130">
        <v>24867</v>
      </c>
      <c r="H227" s="340">
        <v>14212</v>
      </c>
      <c r="I227" s="660"/>
      <c r="Q227" s="306"/>
      <c r="R227" s="136">
        <f>(SUM(J228:Q228))-I228</f>
        <v>0</v>
      </c>
    </row>
    <row r="228" spans="1:18" s="846" customFormat="1" ht="15">
      <c r="A228" s="224">
        <v>220</v>
      </c>
      <c r="B228" s="837"/>
      <c r="C228" s="838"/>
      <c r="D228" s="854" t="s">
        <v>403</v>
      </c>
      <c r="E228" s="851"/>
      <c r="F228" s="852"/>
      <c r="G228" s="852"/>
      <c r="H228" s="852"/>
      <c r="I228" s="856">
        <f>SUM(J228:Q228)</f>
        <v>0</v>
      </c>
      <c r="J228" s="857"/>
      <c r="K228" s="857"/>
      <c r="L228" s="857"/>
      <c r="M228" s="857"/>
      <c r="N228" s="857"/>
      <c r="O228" s="857"/>
      <c r="P228" s="857"/>
      <c r="Q228" s="858"/>
      <c r="R228" s="840"/>
    </row>
    <row r="229" spans="1:18" s="71" customFormat="1" ht="15">
      <c r="A229" s="224">
        <v>221</v>
      </c>
      <c r="B229" s="73"/>
      <c r="C229" s="76"/>
      <c r="D229" s="446" t="s">
        <v>957</v>
      </c>
      <c r="E229" s="705"/>
      <c r="F229" s="382"/>
      <c r="G229" s="382"/>
      <c r="H229" s="382"/>
      <c r="I229" s="708">
        <f>SUM(J229:Q229)</f>
        <v>0</v>
      </c>
      <c r="J229" s="393"/>
      <c r="K229" s="393"/>
      <c r="L229" s="393"/>
      <c r="M229" s="393"/>
      <c r="N229" s="393"/>
      <c r="O229" s="393"/>
      <c r="P229" s="393"/>
      <c r="Q229" s="709"/>
      <c r="R229" s="136"/>
    </row>
    <row r="230" spans="1:18" s="72" customFormat="1" ht="15">
      <c r="A230" s="224">
        <v>222</v>
      </c>
      <c r="B230" s="132"/>
      <c r="C230" s="227"/>
      <c r="D230" s="447" t="s">
        <v>405</v>
      </c>
      <c r="E230" s="396"/>
      <c r="F230" s="386"/>
      <c r="G230" s="386"/>
      <c r="H230" s="382"/>
      <c r="I230" s="710">
        <f>SUM(J230:Q230)</f>
        <v>0</v>
      </c>
      <c r="Q230" s="112"/>
      <c r="R230" s="137"/>
    </row>
    <row r="231" spans="1:18" s="74" customFormat="1" ht="15">
      <c r="A231" s="224">
        <v>223</v>
      </c>
      <c r="B231" s="1496"/>
      <c r="C231" s="1497"/>
      <c r="D231" s="448" t="s">
        <v>1067</v>
      </c>
      <c r="E231" s="707"/>
      <c r="F231" s="383"/>
      <c r="G231" s="383"/>
      <c r="H231" s="383"/>
      <c r="I231" s="713">
        <f>SUM(J231:Q231)</f>
        <v>0</v>
      </c>
      <c r="J231" s="74">
        <f>SUM(J229:J230)</f>
        <v>0</v>
      </c>
      <c r="K231" s="74">
        <f aca="true" t="shared" si="47" ref="K231:Q231">SUM(K229:K230)</f>
        <v>0</v>
      </c>
      <c r="L231" s="74">
        <f t="shared" si="47"/>
        <v>0</v>
      </c>
      <c r="M231" s="74">
        <f t="shared" si="47"/>
        <v>0</v>
      </c>
      <c r="N231" s="74">
        <f t="shared" si="47"/>
        <v>0</v>
      </c>
      <c r="O231" s="74">
        <f t="shared" si="47"/>
        <v>0</v>
      </c>
      <c r="P231" s="74">
        <f t="shared" si="47"/>
        <v>0</v>
      </c>
      <c r="Q231" s="75">
        <f t="shared" si="47"/>
        <v>0</v>
      </c>
      <c r="R231" s="228"/>
    </row>
    <row r="232" spans="1:18" s="136" customFormat="1" ht="33.75" customHeight="1">
      <c r="A232" s="993">
        <v>224</v>
      </c>
      <c r="B232" s="73"/>
      <c r="C232" s="76">
        <v>3</v>
      </c>
      <c r="D232" s="1494" t="s">
        <v>218</v>
      </c>
      <c r="E232" s="130"/>
      <c r="F232" s="130">
        <v>0</v>
      </c>
      <c r="G232" s="130">
        <v>14972</v>
      </c>
      <c r="H232" s="340">
        <v>0</v>
      </c>
      <c r="I232" s="660"/>
      <c r="Q232" s="306"/>
      <c r="R232" s="136">
        <f>(SUM(J233:Q233))-I233</f>
        <v>0</v>
      </c>
    </row>
    <row r="233" spans="1:18" s="846" customFormat="1" ht="15">
      <c r="A233" s="224">
        <v>225</v>
      </c>
      <c r="B233" s="837"/>
      <c r="C233" s="838"/>
      <c r="D233" s="854" t="s">
        <v>403</v>
      </c>
      <c r="E233" s="851"/>
      <c r="F233" s="852"/>
      <c r="G233" s="852"/>
      <c r="H233" s="852"/>
      <c r="I233" s="856">
        <f>SUM(J233:Q233)</f>
        <v>0</v>
      </c>
      <c r="J233" s="857"/>
      <c r="K233" s="857"/>
      <c r="L233" s="857"/>
      <c r="M233" s="857"/>
      <c r="N233" s="857"/>
      <c r="O233" s="857"/>
      <c r="P233" s="857"/>
      <c r="Q233" s="858"/>
      <c r="R233" s="840"/>
    </row>
    <row r="234" spans="1:18" s="71" customFormat="1" ht="15">
      <c r="A234" s="224">
        <v>226</v>
      </c>
      <c r="B234" s="73"/>
      <c r="C234" s="76"/>
      <c r="D234" s="446" t="s">
        <v>957</v>
      </c>
      <c r="E234" s="705"/>
      <c r="F234" s="382"/>
      <c r="G234" s="382"/>
      <c r="H234" s="382"/>
      <c r="I234" s="708">
        <f>SUM(J234:Q234)</f>
        <v>0</v>
      </c>
      <c r="J234" s="393"/>
      <c r="K234" s="393"/>
      <c r="L234" s="393"/>
      <c r="M234" s="393"/>
      <c r="N234" s="393"/>
      <c r="O234" s="393"/>
      <c r="P234" s="393"/>
      <c r="Q234" s="709"/>
      <c r="R234" s="136"/>
    </row>
    <row r="235" spans="1:18" s="72" customFormat="1" ht="15">
      <c r="A235" s="224">
        <v>227</v>
      </c>
      <c r="B235" s="132"/>
      <c r="C235" s="227"/>
      <c r="D235" s="447" t="s">
        <v>405</v>
      </c>
      <c r="E235" s="396"/>
      <c r="F235" s="386"/>
      <c r="G235" s="386"/>
      <c r="H235" s="382"/>
      <c r="I235" s="710">
        <f>SUM(J235:Q235)</f>
        <v>0</v>
      </c>
      <c r="Q235" s="112"/>
      <c r="R235" s="137"/>
    </row>
    <row r="236" spans="1:18" s="74" customFormat="1" ht="15">
      <c r="A236" s="224">
        <v>228</v>
      </c>
      <c r="B236" s="1496"/>
      <c r="C236" s="1497"/>
      <c r="D236" s="448" t="s">
        <v>1067</v>
      </c>
      <c r="E236" s="707"/>
      <c r="F236" s="383"/>
      <c r="G236" s="383"/>
      <c r="H236" s="383"/>
      <c r="I236" s="713">
        <f>SUM(J236:Q236)</f>
        <v>0</v>
      </c>
      <c r="J236" s="74">
        <f>SUM(J234:J235)</f>
        <v>0</v>
      </c>
      <c r="K236" s="74">
        <f aca="true" t="shared" si="48" ref="K236:Q236">SUM(K234:K235)</f>
        <v>0</v>
      </c>
      <c r="L236" s="74">
        <f t="shared" si="48"/>
        <v>0</v>
      </c>
      <c r="M236" s="74">
        <f t="shared" si="48"/>
        <v>0</v>
      </c>
      <c r="N236" s="74">
        <f t="shared" si="48"/>
        <v>0</v>
      </c>
      <c r="O236" s="74">
        <f t="shared" si="48"/>
        <v>0</v>
      </c>
      <c r="P236" s="74">
        <f t="shared" si="48"/>
        <v>0</v>
      </c>
      <c r="Q236" s="75">
        <f t="shared" si="48"/>
        <v>0</v>
      </c>
      <c r="R236" s="228"/>
    </row>
    <row r="237" spans="1:18" s="136" customFormat="1" ht="19.5" customHeight="1">
      <c r="A237" s="224">
        <v>229</v>
      </c>
      <c r="B237" s="134"/>
      <c r="C237" s="135">
        <v>4</v>
      </c>
      <c r="D237" s="1494" t="s">
        <v>857</v>
      </c>
      <c r="E237" s="130"/>
      <c r="F237" s="130">
        <v>0</v>
      </c>
      <c r="G237" s="130">
        <v>6021</v>
      </c>
      <c r="H237" s="340">
        <v>11120</v>
      </c>
      <c r="I237" s="660"/>
      <c r="Q237" s="306"/>
      <c r="R237" s="136">
        <f>(SUM(J238:Q238))-I238</f>
        <v>0</v>
      </c>
    </row>
    <row r="238" spans="1:18" s="846" customFormat="1" ht="15">
      <c r="A238" s="224">
        <v>230</v>
      </c>
      <c r="B238" s="837"/>
      <c r="C238" s="838"/>
      <c r="D238" s="854" t="s">
        <v>403</v>
      </c>
      <c r="E238" s="851"/>
      <c r="F238" s="852"/>
      <c r="G238" s="852"/>
      <c r="H238" s="852"/>
      <c r="I238" s="856">
        <f>SUM(J238:Q238)</f>
        <v>23403</v>
      </c>
      <c r="J238" s="857">
        <v>21197</v>
      </c>
      <c r="K238" s="857">
        <v>1890</v>
      </c>
      <c r="L238" s="857">
        <v>316</v>
      </c>
      <c r="M238" s="857"/>
      <c r="N238" s="857"/>
      <c r="O238" s="857"/>
      <c r="P238" s="857"/>
      <c r="Q238" s="858"/>
      <c r="R238" s="840"/>
    </row>
    <row r="239" spans="1:18" s="71" customFormat="1" ht="15">
      <c r="A239" s="224">
        <v>231</v>
      </c>
      <c r="B239" s="73"/>
      <c r="C239" s="76"/>
      <c r="D239" s="446" t="s">
        <v>957</v>
      </c>
      <c r="E239" s="705"/>
      <c r="F239" s="382"/>
      <c r="G239" s="382"/>
      <c r="H239" s="382"/>
      <c r="I239" s="708">
        <f>SUM(J239:Q239)</f>
        <v>24603</v>
      </c>
      <c r="J239" s="393">
        <v>22397</v>
      </c>
      <c r="K239" s="393">
        <v>1890</v>
      </c>
      <c r="L239" s="393">
        <v>316</v>
      </c>
      <c r="M239" s="393"/>
      <c r="N239" s="393"/>
      <c r="O239" s="393"/>
      <c r="P239" s="393"/>
      <c r="Q239" s="709"/>
      <c r="R239" s="136"/>
    </row>
    <row r="240" spans="1:18" s="72" customFormat="1" ht="15">
      <c r="A240" s="224">
        <v>232</v>
      </c>
      <c r="B240" s="132"/>
      <c r="C240" s="227"/>
      <c r="D240" s="447" t="s">
        <v>405</v>
      </c>
      <c r="E240" s="396"/>
      <c r="F240" s="386"/>
      <c r="G240" s="386"/>
      <c r="H240" s="382"/>
      <c r="I240" s="710">
        <f>SUM(J240:Q240)</f>
        <v>7000</v>
      </c>
      <c r="J240" s="72">
        <v>5000</v>
      </c>
      <c r="K240" s="72">
        <v>2000</v>
      </c>
      <c r="Q240" s="112"/>
      <c r="R240" s="137"/>
    </row>
    <row r="241" spans="1:18" s="74" customFormat="1" ht="15">
      <c r="A241" s="224">
        <v>233</v>
      </c>
      <c r="B241" s="1496"/>
      <c r="C241" s="1497"/>
      <c r="D241" s="448" t="s">
        <v>1067</v>
      </c>
      <c r="E241" s="707"/>
      <c r="F241" s="383"/>
      <c r="G241" s="383"/>
      <c r="H241" s="383"/>
      <c r="I241" s="713">
        <f>SUM(J241:Q241)</f>
        <v>31603</v>
      </c>
      <c r="J241" s="74">
        <f>SUM(J239:J240)</f>
        <v>27397</v>
      </c>
      <c r="K241" s="74">
        <f aca="true" t="shared" si="49" ref="K241:Q241">SUM(K239:K240)</f>
        <v>3890</v>
      </c>
      <c r="L241" s="74">
        <f t="shared" si="49"/>
        <v>316</v>
      </c>
      <c r="M241" s="74">
        <f t="shared" si="49"/>
        <v>0</v>
      </c>
      <c r="N241" s="74">
        <f t="shared" si="49"/>
        <v>0</v>
      </c>
      <c r="O241" s="74">
        <f t="shared" si="49"/>
        <v>0</v>
      </c>
      <c r="P241" s="74">
        <f t="shared" si="49"/>
        <v>0</v>
      </c>
      <c r="Q241" s="75">
        <f t="shared" si="49"/>
        <v>0</v>
      </c>
      <c r="R241" s="228"/>
    </row>
    <row r="242" spans="1:18" s="137" customFormat="1" ht="19.5" customHeight="1">
      <c r="A242" s="224">
        <v>234</v>
      </c>
      <c r="B242" s="134">
        <v>14</v>
      </c>
      <c r="C242" s="76"/>
      <c r="D242" s="130" t="s">
        <v>183</v>
      </c>
      <c r="E242" s="700" t="s">
        <v>799</v>
      </c>
      <c r="F242" s="340">
        <v>92786</v>
      </c>
      <c r="G242" s="340">
        <v>79893</v>
      </c>
      <c r="H242" s="340">
        <v>98683</v>
      </c>
      <c r="I242" s="663"/>
      <c r="J242" s="74"/>
      <c r="K242" s="74"/>
      <c r="L242" s="74"/>
      <c r="M242" s="74"/>
      <c r="N242" s="74"/>
      <c r="O242" s="74"/>
      <c r="P242" s="74"/>
      <c r="Q242" s="75"/>
      <c r="R242" s="136">
        <f>(SUM(J243:Q243))-I243</f>
        <v>0</v>
      </c>
    </row>
    <row r="243" spans="1:18" s="846" customFormat="1" ht="15">
      <c r="A243" s="224">
        <v>235</v>
      </c>
      <c r="B243" s="837"/>
      <c r="C243" s="838"/>
      <c r="D243" s="863" t="s">
        <v>403</v>
      </c>
      <c r="E243" s="851"/>
      <c r="F243" s="852"/>
      <c r="G243" s="852"/>
      <c r="H243" s="852"/>
      <c r="I243" s="853">
        <f>SUM(J243:Q243)</f>
        <v>80499</v>
      </c>
      <c r="J243" s="840">
        <v>38202</v>
      </c>
      <c r="K243" s="840">
        <v>10700</v>
      </c>
      <c r="L243" s="840">
        <v>31297</v>
      </c>
      <c r="M243" s="841"/>
      <c r="N243" s="841"/>
      <c r="O243" s="840">
        <v>300</v>
      </c>
      <c r="P243" s="841"/>
      <c r="Q243" s="864"/>
      <c r="R243" s="840"/>
    </row>
    <row r="244" spans="1:18" s="71" customFormat="1" ht="15">
      <c r="A244" s="224">
        <v>236</v>
      </c>
      <c r="B244" s="73"/>
      <c r="C244" s="76"/>
      <c r="D244" s="1490" t="s">
        <v>957</v>
      </c>
      <c r="E244" s="705"/>
      <c r="F244" s="382"/>
      <c r="G244" s="382"/>
      <c r="H244" s="382"/>
      <c r="I244" s="660">
        <f>SUM(J244:Q244)</f>
        <v>88042</v>
      </c>
      <c r="J244" s="136">
        <v>44286</v>
      </c>
      <c r="K244" s="136">
        <v>10760</v>
      </c>
      <c r="L244" s="136">
        <v>30904</v>
      </c>
      <c r="M244" s="137"/>
      <c r="N244" s="136">
        <v>180</v>
      </c>
      <c r="O244" s="136">
        <v>1912</v>
      </c>
      <c r="P244" s="137"/>
      <c r="Q244" s="307"/>
      <c r="R244" s="136"/>
    </row>
    <row r="245" spans="1:18" s="72" customFormat="1" ht="15">
      <c r="A245" s="224">
        <v>237</v>
      </c>
      <c r="B245" s="132"/>
      <c r="C245" s="227"/>
      <c r="D245" s="457" t="s">
        <v>1074</v>
      </c>
      <c r="E245" s="396"/>
      <c r="F245" s="386"/>
      <c r="G245" s="386"/>
      <c r="H245" s="382"/>
      <c r="I245" s="706">
        <f>SUM(J245:Q245)</f>
        <v>72</v>
      </c>
      <c r="J245" s="460">
        <v>57</v>
      </c>
      <c r="K245" s="460">
        <v>15</v>
      </c>
      <c r="L245" s="460"/>
      <c r="M245" s="460"/>
      <c r="N245" s="460"/>
      <c r="O245" s="460"/>
      <c r="P245" s="460"/>
      <c r="Q245" s="719"/>
      <c r="R245" s="137"/>
    </row>
    <row r="246" spans="1:18" s="72" customFormat="1" ht="15">
      <c r="A246" s="224">
        <v>238</v>
      </c>
      <c r="B246" s="132"/>
      <c r="C246" s="227"/>
      <c r="D246" s="457" t="s">
        <v>1087</v>
      </c>
      <c r="E246" s="396"/>
      <c r="F246" s="386"/>
      <c r="G246" s="386"/>
      <c r="H246" s="382"/>
      <c r="I246" s="706">
        <f>SUM(J246:Q246)</f>
        <v>9500</v>
      </c>
      <c r="J246" s="460"/>
      <c r="K246" s="460"/>
      <c r="L246" s="460">
        <v>9500</v>
      </c>
      <c r="M246" s="460"/>
      <c r="N246" s="460"/>
      <c r="O246" s="460"/>
      <c r="P246" s="460"/>
      <c r="Q246" s="719"/>
      <c r="R246" s="137"/>
    </row>
    <row r="247" spans="1:18" s="72" customFormat="1" ht="15">
      <c r="A247" s="224">
        <v>239</v>
      </c>
      <c r="B247" s="132"/>
      <c r="C247" s="227"/>
      <c r="D247" s="457" t="s">
        <v>1130</v>
      </c>
      <c r="E247" s="396"/>
      <c r="F247" s="386"/>
      <c r="G247" s="386"/>
      <c r="H247" s="382"/>
      <c r="I247" s="706">
        <f>SUM(J247:Q247)</f>
        <v>4750</v>
      </c>
      <c r="J247" s="460"/>
      <c r="K247" s="460"/>
      <c r="L247" s="460">
        <v>4750</v>
      </c>
      <c r="M247" s="460"/>
      <c r="N247" s="460"/>
      <c r="O247" s="460"/>
      <c r="P247" s="460"/>
      <c r="Q247" s="719"/>
      <c r="R247" s="137"/>
    </row>
    <row r="248" spans="1:18" s="74" customFormat="1" ht="15">
      <c r="A248" s="224">
        <v>240</v>
      </c>
      <c r="B248" s="1496"/>
      <c r="C248" s="1497"/>
      <c r="D248" s="458" t="s">
        <v>1067</v>
      </c>
      <c r="E248" s="707"/>
      <c r="F248" s="383"/>
      <c r="G248" s="383"/>
      <c r="H248" s="383"/>
      <c r="I248" s="711">
        <f>SUM(J248:Q248)</f>
        <v>102364</v>
      </c>
      <c r="J248" s="74">
        <f aca="true" t="shared" si="50" ref="J248:Q248">SUM(J244:J247)</f>
        <v>44343</v>
      </c>
      <c r="K248" s="74">
        <f t="shared" si="50"/>
        <v>10775</v>
      </c>
      <c r="L248" s="74">
        <f t="shared" si="50"/>
        <v>45154</v>
      </c>
      <c r="M248" s="74">
        <f t="shared" si="50"/>
        <v>0</v>
      </c>
      <c r="N248" s="74">
        <f t="shared" si="50"/>
        <v>180</v>
      </c>
      <c r="O248" s="74">
        <f t="shared" si="50"/>
        <v>1912</v>
      </c>
      <c r="P248" s="74">
        <f t="shared" si="50"/>
        <v>0</v>
      </c>
      <c r="Q248" s="75">
        <f t="shared" si="50"/>
        <v>0</v>
      </c>
      <c r="R248" s="228"/>
    </row>
    <row r="249" spans="1:18" s="74" customFormat="1" ht="45">
      <c r="A249" s="993">
        <v>241</v>
      </c>
      <c r="B249" s="1496"/>
      <c r="C249" s="76">
        <v>1</v>
      </c>
      <c r="D249" s="130" t="s">
        <v>176</v>
      </c>
      <c r="E249" s="705"/>
      <c r="F249" s="382"/>
      <c r="G249" s="382"/>
      <c r="H249" s="382"/>
      <c r="I249" s="711"/>
      <c r="Q249" s="75"/>
      <c r="R249" s="228"/>
    </row>
    <row r="250" spans="1:18" s="71" customFormat="1" ht="15">
      <c r="A250" s="224">
        <v>242</v>
      </c>
      <c r="B250" s="73"/>
      <c r="C250" s="76"/>
      <c r="D250" s="1490" t="s">
        <v>957</v>
      </c>
      <c r="E250" s="705"/>
      <c r="F250" s="382"/>
      <c r="G250" s="382"/>
      <c r="H250" s="382"/>
      <c r="I250" s="660">
        <f>SUM(J250:Q250)</f>
        <v>1270</v>
      </c>
      <c r="J250" s="136">
        <v>1012</v>
      </c>
      <c r="K250" s="136">
        <v>258</v>
      </c>
      <c r="L250" s="136"/>
      <c r="M250" s="137"/>
      <c r="N250" s="137"/>
      <c r="O250" s="136"/>
      <c r="P250" s="137"/>
      <c r="Q250" s="307"/>
      <c r="R250" s="136"/>
    </row>
    <row r="251" spans="1:18" s="72" customFormat="1" ht="15">
      <c r="A251" s="224">
        <v>243</v>
      </c>
      <c r="B251" s="132"/>
      <c r="C251" s="227"/>
      <c r="D251" s="457" t="s">
        <v>1082</v>
      </c>
      <c r="E251" s="396"/>
      <c r="F251" s="386"/>
      <c r="G251" s="386"/>
      <c r="H251" s="382"/>
      <c r="I251" s="706">
        <f>SUM(J251:Q251)</f>
        <v>-79</v>
      </c>
      <c r="J251" s="460">
        <v>-27</v>
      </c>
      <c r="K251" s="460">
        <v>-52</v>
      </c>
      <c r="L251" s="460"/>
      <c r="M251" s="460"/>
      <c r="N251" s="460"/>
      <c r="O251" s="460"/>
      <c r="P251" s="460"/>
      <c r="Q251" s="719"/>
      <c r="R251" s="137"/>
    </row>
    <row r="252" spans="1:19" s="74" customFormat="1" ht="15">
      <c r="A252" s="224">
        <v>244</v>
      </c>
      <c r="B252" s="1496"/>
      <c r="C252" s="1497"/>
      <c r="D252" s="458" t="s">
        <v>1067</v>
      </c>
      <c r="E252" s="707"/>
      <c r="F252" s="383"/>
      <c r="G252" s="383"/>
      <c r="H252" s="383"/>
      <c r="I252" s="711">
        <f>SUM(J252:Q252)</f>
        <v>1191</v>
      </c>
      <c r="J252" s="74">
        <f>SUM(J250:J251)</f>
        <v>985</v>
      </c>
      <c r="K252" s="74">
        <f aca="true" t="shared" si="51" ref="K252:S252">SUM(K250:K251)</f>
        <v>206</v>
      </c>
      <c r="L252" s="74">
        <f t="shared" si="51"/>
        <v>0</v>
      </c>
      <c r="M252" s="74">
        <f t="shared" si="51"/>
        <v>0</v>
      </c>
      <c r="N252" s="74">
        <f t="shared" si="51"/>
        <v>0</v>
      </c>
      <c r="O252" s="74">
        <f t="shared" si="51"/>
        <v>0</v>
      </c>
      <c r="P252" s="74">
        <f t="shared" si="51"/>
        <v>0</v>
      </c>
      <c r="Q252" s="75">
        <f t="shared" si="51"/>
        <v>0</v>
      </c>
      <c r="R252" s="74">
        <f t="shared" si="51"/>
        <v>0</v>
      </c>
      <c r="S252" s="74">
        <f t="shared" si="51"/>
        <v>0</v>
      </c>
    </row>
    <row r="253" spans="1:17" s="136" customFormat="1" ht="15">
      <c r="A253" s="224">
        <v>245</v>
      </c>
      <c r="B253" s="134"/>
      <c r="C253" s="135">
        <v>2</v>
      </c>
      <c r="D253" s="1668" t="s">
        <v>462</v>
      </c>
      <c r="E253" s="1668"/>
      <c r="F253" s="1668"/>
      <c r="G253" s="1668"/>
      <c r="H253" s="340"/>
      <c r="I253" s="660"/>
      <c r="Q253" s="306"/>
    </row>
    <row r="254" spans="1:18" s="72" customFormat="1" ht="15">
      <c r="A254" s="224">
        <v>246</v>
      </c>
      <c r="B254" s="132"/>
      <c r="C254" s="227"/>
      <c r="D254" s="447" t="s">
        <v>405</v>
      </c>
      <c r="E254" s="396"/>
      <c r="F254" s="386"/>
      <c r="G254" s="386"/>
      <c r="H254" s="382"/>
      <c r="I254" s="710">
        <f>SUM(J254:Q254)</f>
        <v>2050</v>
      </c>
      <c r="J254" s="72">
        <v>90</v>
      </c>
      <c r="L254" s="72">
        <v>1960</v>
      </c>
      <c r="Q254" s="112"/>
      <c r="R254" s="137"/>
    </row>
    <row r="255" spans="1:18" s="74" customFormat="1" ht="15">
      <c r="A255" s="224">
        <v>247</v>
      </c>
      <c r="B255" s="1496"/>
      <c r="C255" s="1497"/>
      <c r="D255" s="448" t="s">
        <v>1067</v>
      </c>
      <c r="E255" s="707"/>
      <c r="F255" s="383"/>
      <c r="G255" s="383"/>
      <c r="H255" s="383"/>
      <c r="I255" s="713">
        <f>SUM(J255:Q255)</f>
        <v>2050</v>
      </c>
      <c r="J255" s="74">
        <f>SUM(J254)</f>
        <v>90</v>
      </c>
      <c r="K255" s="74">
        <f aca="true" t="shared" si="52" ref="K255:Q255">SUM(K254)</f>
        <v>0</v>
      </c>
      <c r="L255" s="74">
        <f t="shared" si="52"/>
        <v>1960</v>
      </c>
      <c r="M255" s="74">
        <f t="shared" si="52"/>
        <v>0</v>
      </c>
      <c r="N255" s="74">
        <f t="shared" si="52"/>
        <v>0</v>
      </c>
      <c r="O255" s="74">
        <f t="shared" si="52"/>
        <v>0</v>
      </c>
      <c r="P255" s="74">
        <f t="shared" si="52"/>
        <v>0</v>
      </c>
      <c r="Q255" s="75">
        <f t="shared" si="52"/>
        <v>0</v>
      </c>
      <c r="R255" s="228"/>
    </row>
    <row r="256" spans="1:17" s="136" customFormat="1" ht="15">
      <c r="A256" s="224">
        <v>248</v>
      </c>
      <c r="B256" s="134"/>
      <c r="C256" s="135">
        <v>3</v>
      </c>
      <c r="D256" s="1494" t="s">
        <v>857</v>
      </c>
      <c r="E256" s="130"/>
      <c r="F256" s="130"/>
      <c r="G256" s="130"/>
      <c r="H256" s="340"/>
      <c r="I256" s="660"/>
      <c r="Q256" s="306"/>
    </row>
    <row r="257" spans="1:18" s="846" customFormat="1" ht="15">
      <c r="A257" s="224">
        <v>249</v>
      </c>
      <c r="B257" s="837"/>
      <c r="C257" s="838"/>
      <c r="D257" s="854" t="s">
        <v>403</v>
      </c>
      <c r="E257" s="851"/>
      <c r="F257" s="852"/>
      <c r="G257" s="852"/>
      <c r="H257" s="852"/>
      <c r="I257" s="856">
        <f>SUM(J257:Q257)</f>
        <v>1350</v>
      </c>
      <c r="J257" s="857">
        <v>1189</v>
      </c>
      <c r="K257" s="857">
        <v>161</v>
      </c>
      <c r="L257" s="857"/>
      <c r="M257" s="857"/>
      <c r="N257" s="857"/>
      <c r="O257" s="857"/>
      <c r="P257" s="857"/>
      <c r="Q257" s="858"/>
      <c r="R257" s="840"/>
    </row>
    <row r="258" spans="1:18" s="71" customFormat="1" ht="15">
      <c r="A258" s="224">
        <v>250</v>
      </c>
      <c r="B258" s="73"/>
      <c r="C258" s="76"/>
      <c r="D258" s="446" t="s">
        <v>957</v>
      </c>
      <c r="E258" s="705"/>
      <c r="F258" s="382"/>
      <c r="G258" s="382"/>
      <c r="H258" s="382"/>
      <c r="I258" s="708">
        <f>SUM(J258:Q258)</f>
        <v>1350</v>
      </c>
      <c r="J258" s="393">
        <v>1189</v>
      </c>
      <c r="K258" s="393">
        <v>161</v>
      </c>
      <c r="L258" s="393"/>
      <c r="M258" s="393"/>
      <c r="N258" s="393"/>
      <c r="O258" s="393"/>
      <c r="P258" s="393"/>
      <c r="Q258" s="709"/>
      <c r="R258" s="136"/>
    </row>
    <row r="259" spans="1:18" s="72" customFormat="1" ht="15">
      <c r="A259" s="224">
        <v>251</v>
      </c>
      <c r="B259" s="132"/>
      <c r="C259" s="227"/>
      <c r="D259" s="447" t="s">
        <v>405</v>
      </c>
      <c r="E259" s="396"/>
      <c r="F259" s="386"/>
      <c r="G259" s="386"/>
      <c r="H259" s="382"/>
      <c r="I259" s="710">
        <f>SUM(J259:Q259)</f>
        <v>1150</v>
      </c>
      <c r="J259" s="72">
        <v>1000</v>
      </c>
      <c r="K259" s="72">
        <v>150</v>
      </c>
      <c r="Q259" s="112"/>
      <c r="R259" s="137"/>
    </row>
    <row r="260" spans="1:18" s="74" customFormat="1" ht="15">
      <c r="A260" s="224">
        <v>252</v>
      </c>
      <c r="B260" s="1496"/>
      <c r="C260" s="1497"/>
      <c r="D260" s="448" t="s">
        <v>1067</v>
      </c>
      <c r="E260" s="707"/>
      <c r="F260" s="383"/>
      <c r="G260" s="383"/>
      <c r="H260" s="383"/>
      <c r="I260" s="713">
        <f>SUM(J260:Q260)</f>
        <v>2500</v>
      </c>
      <c r="J260" s="74">
        <f>SUM(J258:J259)</f>
        <v>2189</v>
      </c>
      <c r="K260" s="74">
        <f aca="true" t="shared" si="53" ref="K260:Q260">SUM(K258:K259)</f>
        <v>311</v>
      </c>
      <c r="L260" s="74">
        <f t="shared" si="53"/>
        <v>0</v>
      </c>
      <c r="M260" s="74">
        <f t="shared" si="53"/>
        <v>0</v>
      </c>
      <c r="N260" s="74">
        <f t="shared" si="53"/>
        <v>0</v>
      </c>
      <c r="O260" s="74">
        <f t="shared" si="53"/>
        <v>0</v>
      </c>
      <c r="P260" s="74">
        <f t="shared" si="53"/>
        <v>0</v>
      </c>
      <c r="Q260" s="75">
        <f t="shared" si="53"/>
        <v>0</v>
      </c>
      <c r="R260" s="228"/>
    </row>
    <row r="261" spans="1:18" s="137" customFormat="1" ht="30" customHeight="1">
      <c r="A261" s="224">
        <v>253</v>
      </c>
      <c r="B261" s="134">
        <v>15</v>
      </c>
      <c r="C261" s="135"/>
      <c r="D261" s="130" t="s">
        <v>364</v>
      </c>
      <c r="E261" s="700" t="s">
        <v>799</v>
      </c>
      <c r="F261" s="340">
        <v>725119</v>
      </c>
      <c r="G261" s="340">
        <v>663173</v>
      </c>
      <c r="H261" s="340">
        <v>764223</v>
      </c>
      <c r="I261" s="663"/>
      <c r="J261" s="74"/>
      <c r="K261" s="74"/>
      <c r="L261" s="74"/>
      <c r="M261" s="74"/>
      <c r="N261" s="74"/>
      <c r="O261" s="74"/>
      <c r="P261" s="74"/>
      <c r="Q261" s="75"/>
      <c r="R261" s="136">
        <f>(SUM(J262:Q262))-I262</f>
        <v>0</v>
      </c>
    </row>
    <row r="262" spans="1:18" s="846" customFormat="1" ht="15">
      <c r="A262" s="224">
        <v>254</v>
      </c>
      <c r="B262" s="837"/>
      <c r="C262" s="838"/>
      <c r="D262" s="863" t="s">
        <v>403</v>
      </c>
      <c r="E262" s="851"/>
      <c r="F262" s="852"/>
      <c r="G262" s="852"/>
      <c r="H262" s="852"/>
      <c r="I262" s="853">
        <f>SUM(J262:Q262)</f>
        <v>697889</v>
      </c>
      <c r="J262" s="840">
        <v>289577</v>
      </c>
      <c r="K262" s="840">
        <v>76718</v>
      </c>
      <c r="L262" s="840">
        <v>303184</v>
      </c>
      <c r="M262" s="841"/>
      <c r="N262" s="841"/>
      <c r="O262" s="840">
        <v>10170</v>
      </c>
      <c r="P262" s="840">
        <v>18240</v>
      </c>
      <c r="Q262" s="864"/>
      <c r="R262" s="840"/>
    </row>
    <row r="263" spans="1:18" s="71" customFormat="1" ht="15">
      <c r="A263" s="224">
        <v>255</v>
      </c>
      <c r="B263" s="73"/>
      <c r="C263" s="76"/>
      <c r="D263" s="1490" t="s">
        <v>957</v>
      </c>
      <c r="E263" s="705"/>
      <c r="F263" s="382"/>
      <c r="G263" s="382"/>
      <c r="H263" s="382"/>
      <c r="I263" s="660">
        <f>SUM(J263:Q263)</f>
        <v>778420</v>
      </c>
      <c r="J263" s="136">
        <v>290846</v>
      </c>
      <c r="K263" s="136">
        <v>73724</v>
      </c>
      <c r="L263" s="136">
        <v>396303</v>
      </c>
      <c r="M263" s="137"/>
      <c r="N263" s="136">
        <v>1746</v>
      </c>
      <c r="O263" s="136">
        <v>1677</v>
      </c>
      <c r="P263" s="136">
        <v>14124</v>
      </c>
      <c r="Q263" s="307"/>
      <c r="R263" s="136"/>
    </row>
    <row r="264" spans="1:18" s="72" customFormat="1" ht="15">
      <c r="A264" s="224">
        <v>256</v>
      </c>
      <c r="B264" s="132"/>
      <c r="C264" s="227"/>
      <c r="D264" s="140" t="s">
        <v>1074</v>
      </c>
      <c r="E264" s="396"/>
      <c r="F264" s="386"/>
      <c r="G264" s="386"/>
      <c r="H264" s="382"/>
      <c r="I264" s="706">
        <f>SUM(J264:Q264)</f>
        <v>321</v>
      </c>
      <c r="J264" s="460">
        <v>253</v>
      </c>
      <c r="K264" s="460">
        <v>68</v>
      </c>
      <c r="L264" s="460"/>
      <c r="M264" s="460"/>
      <c r="N264" s="460"/>
      <c r="O264" s="460"/>
      <c r="P264" s="460"/>
      <c r="Q264" s="719"/>
      <c r="R264" s="137"/>
    </row>
    <row r="265" spans="1:18" s="72" customFormat="1" ht="15">
      <c r="A265" s="224">
        <v>257</v>
      </c>
      <c r="B265" s="132"/>
      <c r="C265" s="227"/>
      <c r="D265" s="140" t="s">
        <v>1087</v>
      </c>
      <c r="E265" s="396"/>
      <c r="F265" s="386"/>
      <c r="G265" s="386"/>
      <c r="H265" s="382"/>
      <c r="I265" s="706">
        <f>SUM(J265:Q265)</f>
        <v>0</v>
      </c>
      <c r="J265" s="460"/>
      <c r="K265" s="460"/>
      <c r="L265" s="460">
        <v>-1151</v>
      </c>
      <c r="M265" s="460"/>
      <c r="N265" s="460"/>
      <c r="O265" s="460">
        <v>1151</v>
      </c>
      <c r="P265" s="460"/>
      <c r="Q265" s="719"/>
      <c r="R265" s="137"/>
    </row>
    <row r="266" spans="1:18" s="72" customFormat="1" ht="15">
      <c r="A266" s="224">
        <v>258</v>
      </c>
      <c r="B266" s="132"/>
      <c r="C266" s="227"/>
      <c r="D266" s="140" t="s">
        <v>1180</v>
      </c>
      <c r="E266" s="396"/>
      <c r="F266" s="386"/>
      <c r="G266" s="386"/>
      <c r="H266" s="382"/>
      <c r="I266" s="706">
        <f>SUM(J266:Q266)</f>
        <v>3576</v>
      </c>
      <c r="J266" s="460"/>
      <c r="K266" s="460"/>
      <c r="L266" s="460"/>
      <c r="M266" s="460"/>
      <c r="N266" s="460"/>
      <c r="O266" s="460"/>
      <c r="P266" s="460">
        <v>3576</v>
      </c>
      <c r="Q266" s="719"/>
      <c r="R266" s="137"/>
    </row>
    <row r="267" spans="1:18" s="74" customFormat="1" ht="15">
      <c r="A267" s="224">
        <v>259</v>
      </c>
      <c r="B267" s="1496"/>
      <c r="C267" s="1497"/>
      <c r="D267" s="458" t="s">
        <v>1067</v>
      </c>
      <c r="E267" s="707"/>
      <c r="F267" s="383"/>
      <c r="G267" s="383"/>
      <c r="H267" s="383"/>
      <c r="I267" s="711">
        <f>SUM(J267:Q267)</f>
        <v>782317</v>
      </c>
      <c r="J267" s="74">
        <f aca="true" t="shared" si="54" ref="J267:Q267">SUM(J263:J266)</f>
        <v>291099</v>
      </c>
      <c r="K267" s="74">
        <f t="shared" si="54"/>
        <v>73792</v>
      </c>
      <c r="L267" s="74">
        <f t="shared" si="54"/>
        <v>395152</v>
      </c>
      <c r="M267" s="74">
        <f t="shared" si="54"/>
        <v>0</v>
      </c>
      <c r="N267" s="74">
        <f t="shared" si="54"/>
        <v>1746</v>
      </c>
      <c r="O267" s="74">
        <f t="shared" si="54"/>
        <v>2828</v>
      </c>
      <c r="P267" s="74">
        <f t="shared" si="54"/>
        <v>17700</v>
      </c>
      <c r="Q267" s="75">
        <f t="shared" si="54"/>
        <v>0</v>
      </c>
      <c r="R267" s="228"/>
    </row>
    <row r="268" spans="1:17" s="136" customFormat="1" ht="15">
      <c r="A268" s="224">
        <v>260</v>
      </c>
      <c r="B268" s="134"/>
      <c r="C268" s="135">
        <v>1</v>
      </c>
      <c r="D268" s="1494" t="s">
        <v>857</v>
      </c>
      <c r="E268" s="130"/>
      <c r="F268" s="130"/>
      <c r="G268" s="130"/>
      <c r="H268" s="340"/>
      <c r="I268" s="660"/>
      <c r="Q268" s="306"/>
    </row>
    <row r="269" spans="1:18" s="846" customFormat="1" ht="15">
      <c r="A269" s="224">
        <v>261</v>
      </c>
      <c r="B269" s="837"/>
      <c r="C269" s="838"/>
      <c r="D269" s="854" t="s">
        <v>403</v>
      </c>
      <c r="E269" s="851"/>
      <c r="F269" s="852"/>
      <c r="G269" s="852"/>
      <c r="H269" s="852"/>
      <c r="I269" s="856">
        <f>SUM(J269:Q269)</f>
        <v>1251</v>
      </c>
      <c r="J269" s="857">
        <v>1102</v>
      </c>
      <c r="K269" s="857">
        <v>149</v>
      </c>
      <c r="L269" s="857"/>
      <c r="M269" s="857"/>
      <c r="N269" s="857"/>
      <c r="O269" s="857"/>
      <c r="P269" s="857"/>
      <c r="Q269" s="858"/>
      <c r="R269" s="840"/>
    </row>
    <row r="270" spans="1:18" s="71" customFormat="1" ht="15">
      <c r="A270" s="224">
        <v>262</v>
      </c>
      <c r="B270" s="73"/>
      <c r="C270" s="76"/>
      <c r="D270" s="446" t="s">
        <v>957</v>
      </c>
      <c r="E270" s="705"/>
      <c r="F270" s="382"/>
      <c r="G270" s="382"/>
      <c r="H270" s="382"/>
      <c r="I270" s="708">
        <f>SUM(J270:Q270)</f>
        <v>2260</v>
      </c>
      <c r="J270" s="393">
        <v>1992</v>
      </c>
      <c r="K270" s="393">
        <v>268</v>
      </c>
      <c r="L270" s="393"/>
      <c r="M270" s="393"/>
      <c r="N270" s="393"/>
      <c r="O270" s="393"/>
      <c r="P270" s="393"/>
      <c r="Q270" s="709"/>
      <c r="R270" s="136"/>
    </row>
    <row r="271" spans="1:18" s="72" customFormat="1" ht="15">
      <c r="A271" s="224">
        <v>263</v>
      </c>
      <c r="B271" s="132"/>
      <c r="C271" s="227"/>
      <c r="D271" s="447" t="s">
        <v>405</v>
      </c>
      <c r="E271" s="396"/>
      <c r="F271" s="386"/>
      <c r="G271" s="386"/>
      <c r="H271" s="382"/>
      <c r="I271" s="710">
        <f>SUM(J271:Q271)</f>
        <v>0</v>
      </c>
      <c r="Q271" s="112"/>
      <c r="R271" s="137"/>
    </row>
    <row r="272" spans="1:17" s="321" customFormat="1" ht="25.5" customHeight="1">
      <c r="A272" s="225">
        <v>264</v>
      </c>
      <c r="B272" s="318"/>
      <c r="C272" s="319"/>
      <c r="D272" s="472" t="s">
        <v>1067</v>
      </c>
      <c r="E272" s="712"/>
      <c r="F272" s="657"/>
      <c r="G272" s="657"/>
      <c r="H272" s="657"/>
      <c r="I272" s="713">
        <f>SUM(J272:Q272)</f>
        <v>2260</v>
      </c>
      <c r="J272" s="321">
        <f>SUM(J270:J271)</f>
        <v>1992</v>
      </c>
      <c r="K272" s="321">
        <f aca="true" t="shared" si="55" ref="K272:Q272">SUM(K270:K271)</f>
        <v>268</v>
      </c>
      <c r="L272" s="321">
        <f t="shared" si="55"/>
        <v>0</v>
      </c>
      <c r="M272" s="321">
        <f t="shared" si="55"/>
        <v>0</v>
      </c>
      <c r="N272" s="321">
        <f t="shared" si="55"/>
        <v>0</v>
      </c>
      <c r="O272" s="321">
        <f t="shared" si="55"/>
        <v>0</v>
      </c>
      <c r="P272" s="321">
        <f t="shared" si="55"/>
        <v>0</v>
      </c>
      <c r="Q272" s="110">
        <f t="shared" si="55"/>
        <v>0</v>
      </c>
    </row>
    <row r="273" spans="1:18" s="72" customFormat="1" ht="15">
      <c r="A273" s="224">
        <v>265</v>
      </c>
      <c r="B273" s="455"/>
      <c r="C273" s="449"/>
      <c r="D273" s="469" t="s">
        <v>796</v>
      </c>
      <c r="E273" s="720"/>
      <c r="F273" s="470">
        <f>SUM(F149:F261)</f>
        <v>1239652</v>
      </c>
      <c r="G273" s="470">
        <f>SUM(G149:G261)</f>
        <v>1451392</v>
      </c>
      <c r="H273" s="470">
        <f>SUM(H261,H242,H237,H232,H256,H227,H222,H215,H210,H205,H200,H195,H185,H176,H170,H158,H149)</f>
        <v>1829058</v>
      </c>
      <c r="I273" s="721"/>
      <c r="J273" s="722"/>
      <c r="K273" s="722"/>
      <c r="L273" s="722"/>
      <c r="M273" s="722"/>
      <c r="N273" s="722"/>
      <c r="O273" s="722"/>
      <c r="P273" s="722"/>
      <c r="Q273" s="316"/>
      <c r="R273" s="71"/>
    </row>
    <row r="274" spans="1:17" s="846" customFormat="1" ht="15">
      <c r="A274" s="224">
        <v>266</v>
      </c>
      <c r="B274" s="837"/>
      <c r="C274" s="838"/>
      <c r="D274" s="865" t="s">
        <v>403</v>
      </c>
      <c r="E274" s="851"/>
      <c r="F274" s="852"/>
      <c r="G274" s="852"/>
      <c r="H274" s="852"/>
      <c r="I274" s="855">
        <f>SUM(J274:Q274)</f>
        <v>1680884</v>
      </c>
      <c r="J274" s="846">
        <f aca="true" t="shared" si="56" ref="J274:Q274">SUM(J269,J262,J257,J243,J238,J233,J228,J223,J216,J211,J206,J201,J196,J186,J177,J171,J159,J150)</f>
        <v>696641</v>
      </c>
      <c r="K274" s="846">
        <f t="shared" si="56"/>
        <v>189633</v>
      </c>
      <c r="L274" s="846">
        <f t="shared" si="56"/>
        <v>719210</v>
      </c>
      <c r="M274" s="846">
        <f t="shared" si="56"/>
        <v>0</v>
      </c>
      <c r="N274" s="846">
        <f t="shared" si="56"/>
        <v>0</v>
      </c>
      <c r="O274" s="846">
        <f t="shared" si="56"/>
        <v>57160</v>
      </c>
      <c r="P274" s="846">
        <f t="shared" si="56"/>
        <v>18240</v>
      </c>
      <c r="Q274" s="847">
        <f t="shared" si="56"/>
        <v>0</v>
      </c>
    </row>
    <row r="275" spans="1:19" s="71" customFormat="1" ht="15">
      <c r="A275" s="224">
        <v>267</v>
      </c>
      <c r="B275" s="73"/>
      <c r="C275" s="76"/>
      <c r="D275" s="467" t="s">
        <v>957</v>
      </c>
      <c r="E275" s="705"/>
      <c r="F275" s="382"/>
      <c r="G275" s="382"/>
      <c r="H275" s="382"/>
      <c r="I275" s="661">
        <f>SUM(J275:Q275)</f>
        <v>2008811</v>
      </c>
      <c r="J275" s="71">
        <f aca="true" t="shared" si="57" ref="J275:Q275">SUM(J270,J263,J258,J244,J239,J234,J229,J224,J217,J212,J207,J202,J197,J187,J178,J172,J160,J151)+J250+J164+J182</f>
        <v>773241</v>
      </c>
      <c r="K275" s="71">
        <f t="shared" si="57"/>
        <v>199161</v>
      </c>
      <c r="L275" s="71">
        <f t="shared" si="57"/>
        <v>936822</v>
      </c>
      <c r="M275" s="71">
        <f t="shared" si="57"/>
        <v>0</v>
      </c>
      <c r="N275" s="71">
        <f t="shared" si="57"/>
        <v>7586</v>
      </c>
      <c r="O275" s="71">
        <f t="shared" si="57"/>
        <v>72377</v>
      </c>
      <c r="P275" s="71">
        <f t="shared" si="57"/>
        <v>19624</v>
      </c>
      <c r="Q275" s="78">
        <f t="shared" si="57"/>
        <v>0</v>
      </c>
      <c r="R275" s="71">
        <f>SUM(R270,R263,R258,R244,R239,R234,R229,R224,R217,R212,R207,R202,R197,R187,R178,R172,R160,R151)</f>
        <v>0</v>
      </c>
      <c r="S275" s="71">
        <f>SUM(S270,S263,S258,S244,S239,S234,S229,S224,S217,S212,S207,S202,S197,S187,S178,S172,S160,S151)</f>
        <v>0</v>
      </c>
    </row>
    <row r="276" spans="1:19" s="72" customFormat="1" ht="15">
      <c r="A276" s="224">
        <v>268</v>
      </c>
      <c r="B276" s="132"/>
      <c r="C276" s="227"/>
      <c r="D276" s="1669" t="s">
        <v>1227</v>
      </c>
      <c r="E276" s="1669"/>
      <c r="F276" s="1669"/>
      <c r="G276" s="1669"/>
      <c r="H276" s="382"/>
      <c r="I276" s="661">
        <f>SUM(J276:Q276)</f>
        <v>65581</v>
      </c>
      <c r="J276" s="72">
        <f>SUM(J271,J264:J264,J259,J245:J245,J240,J235,J230,J225,J218:J220,J213,J208,J203,J198,J188:J189,J179,J173:J173,J161,J152:J154)+J174+J246+J190+J251+J165+J265+J183+J156+J155+J266+J193+J192+J191+J247+J168+J254</f>
        <v>9832</v>
      </c>
      <c r="K276" s="72">
        <f aca="true" t="shared" si="58" ref="K276:S276">SUM(K271,K264:K264,K259,K245:K245,K240,K235,K230,K225,K218:K220,K213,K208,K203,K198,K188:K189,K179,K173:K173,K161,K152:K154)+K174+K246+K190+K251+K165+K265+K183+K156+K155+K266+K193+K192+K191+K247+K168+K254</f>
        <v>2653</v>
      </c>
      <c r="L276" s="72">
        <f t="shared" si="58"/>
        <v>47027</v>
      </c>
      <c r="M276" s="72">
        <f t="shared" si="58"/>
        <v>0</v>
      </c>
      <c r="N276" s="72">
        <f t="shared" si="58"/>
        <v>0</v>
      </c>
      <c r="O276" s="72">
        <f t="shared" si="58"/>
        <v>2493</v>
      </c>
      <c r="P276" s="72">
        <f t="shared" si="58"/>
        <v>3576</v>
      </c>
      <c r="Q276" s="112">
        <f t="shared" si="58"/>
        <v>0</v>
      </c>
      <c r="R276" s="72">
        <f t="shared" si="58"/>
        <v>0</v>
      </c>
      <c r="S276" s="72">
        <f t="shared" si="58"/>
        <v>0</v>
      </c>
    </row>
    <row r="277" spans="1:17" s="74" customFormat="1" ht="15.75" thickBot="1">
      <c r="A277" s="224">
        <v>269</v>
      </c>
      <c r="B277" s="451"/>
      <c r="C277" s="452"/>
      <c r="D277" s="459" t="s">
        <v>1067</v>
      </c>
      <c r="E277" s="715"/>
      <c r="F277" s="454"/>
      <c r="G277" s="454"/>
      <c r="H277" s="454"/>
      <c r="I277" s="664">
        <f>SUM(J277:Q277)</f>
        <v>2074392</v>
      </c>
      <c r="J277" s="481">
        <f>SUM(J275:J276)</f>
        <v>783073</v>
      </c>
      <c r="K277" s="481">
        <f aca="true" t="shared" si="59" ref="K277:Q277">SUM(K275:K276)</f>
        <v>201814</v>
      </c>
      <c r="L277" s="481">
        <f t="shared" si="59"/>
        <v>983849</v>
      </c>
      <c r="M277" s="481">
        <f t="shared" si="59"/>
        <v>0</v>
      </c>
      <c r="N277" s="481">
        <f t="shared" si="59"/>
        <v>7586</v>
      </c>
      <c r="O277" s="481">
        <f t="shared" si="59"/>
        <v>74870</v>
      </c>
      <c r="P277" s="481">
        <f t="shared" si="59"/>
        <v>23200</v>
      </c>
      <c r="Q277" s="484">
        <f t="shared" si="59"/>
        <v>0</v>
      </c>
    </row>
    <row r="278" spans="1:18" s="137" customFormat="1" ht="30" customHeight="1" thickTop="1">
      <c r="A278" s="224">
        <v>270</v>
      </c>
      <c r="B278" s="134">
        <v>16</v>
      </c>
      <c r="D278" s="729" t="s">
        <v>851</v>
      </c>
      <c r="E278" s="700" t="s">
        <v>859</v>
      </c>
      <c r="F278" s="340">
        <v>0</v>
      </c>
      <c r="G278" s="340">
        <v>1012393</v>
      </c>
      <c r="H278" s="340">
        <v>1093476</v>
      </c>
      <c r="I278" s="711"/>
      <c r="J278" s="228"/>
      <c r="K278" s="228"/>
      <c r="L278" s="228"/>
      <c r="M278" s="228"/>
      <c r="N278" s="228"/>
      <c r="O278" s="228"/>
      <c r="P278" s="228"/>
      <c r="Q278" s="111"/>
      <c r="R278" s="136">
        <f>(SUM(J279:Q279))-I279</f>
        <v>0</v>
      </c>
    </row>
    <row r="279" spans="1:17" s="846" customFormat="1" ht="15">
      <c r="A279" s="224">
        <v>271</v>
      </c>
      <c r="B279" s="837"/>
      <c r="C279" s="838"/>
      <c r="D279" s="865" t="s">
        <v>403</v>
      </c>
      <c r="E279" s="851"/>
      <c r="F279" s="852"/>
      <c r="G279" s="852"/>
      <c r="H279" s="852"/>
      <c r="I279" s="855">
        <f>SUM(J279:Q279)</f>
        <v>1021405</v>
      </c>
      <c r="J279" s="846">
        <v>226325</v>
      </c>
      <c r="K279" s="846">
        <v>70642</v>
      </c>
      <c r="L279" s="846">
        <v>721438</v>
      </c>
      <c r="M279" s="845"/>
      <c r="N279" s="845"/>
      <c r="O279" s="846">
        <v>3000</v>
      </c>
      <c r="P279" s="845"/>
      <c r="Q279" s="866"/>
    </row>
    <row r="280" spans="1:17" s="71" customFormat="1" ht="15">
      <c r="A280" s="224">
        <v>272</v>
      </c>
      <c r="B280" s="73"/>
      <c r="C280" s="76"/>
      <c r="D280" s="467" t="s">
        <v>957</v>
      </c>
      <c r="E280" s="705"/>
      <c r="F280" s="382"/>
      <c r="G280" s="382"/>
      <c r="H280" s="382"/>
      <c r="I280" s="661">
        <f>SUM(J280:Q280)</f>
        <v>1178775</v>
      </c>
      <c r="J280" s="71">
        <v>248587</v>
      </c>
      <c r="K280" s="71">
        <v>70522</v>
      </c>
      <c r="L280" s="71">
        <v>846966</v>
      </c>
      <c r="N280" s="71">
        <v>5500</v>
      </c>
      <c r="O280" s="71">
        <v>7200</v>
      </c>
      <c r="P280" s="72"/>
      <c r="Q280" s="112"/>
    </row>
    <row r="281" spans="1:17" s="72" customFormat="1" ht="15">
      <c r="A281" s="224">
        <v>273</v>
      </c>
      <c r="B281" s="132"/>
      <c r="C281" s="227"/>
      <c r="D281" s="471" t="s">
        <v>1074</v>
      </c>
      <c r="E281" s="396"/>
      <c r="F281" s="386"/>
      <c r="G281" s="386"/>
      <c r="H281" s="382"/>
      <c r="I281" s="662">
        <f>SUM(J281:Q281)</f>
        <v>683</v>
      </c>
      <c r="J281" s="72">
        <v>538</v>
      </c>
      <c r="K281" s="72">
        <v>145</v>
      </c>
      <c r="Q281" s="112"/>
    </row>
    <row r="282" spans="1:17" s="72" customFormat="1" ht="15">
      <c r="A282" s="224">
        <v>274</v>
      </c>
      <c r="B282" s="132"/>
      <c r="C282" s="227"/>
      <c r="D282" s="471" t="s">
        <v>1087</v>
      </c>
      <c r="E282" s="396"/>
      <c r="F282" s="386"/>
      <c r="G282" s="386"/>
      <c r="H282" s="382"/>
      <c r="I282" s="662">
        <f>SUM(J282:Q282)</f>
        <v>-9500</v>
      </c>
      <c r="L282" s="72">
        <v>-9500</v>
      </c>
      <c r="Q282" s="112"/>
    </row>
    <row r="283" spans="1:17" s="321" customFormat="1" ht="25.5" customHeight="1" thickBot="1">
      <c r="A283" s="225">
        <v>275</v>
      </c>
      <c r="B283" s="318"/>
      <c r="C283" s="319"/>
      <c r="D283" s="468" t="s">
        <v>1067</v>
      </c>
      <c r="E283" s="712"/>
      <c r="F283" s="657"/>
      <c r="G283" s="657"/>
      <c r="H283" s="657"/>
      <c r="I283" s="713">
        <f>SUM(J283:Q283)</f>
        <v>1169958</v>
      </c>
      <c r="J283" s="321">
        <f aca="true" t="shared" si="60" ref="J283:Q283">SUM(J280:J282)</f>
        <v>249125</v>
      </c>
      <c r="K283" s="321">
        <f t="shared" si="60"/>
        <v>70667</v>
      </c>
      <c r="L283" s="321">
        <f t="shared" si="60"/>
        <v>837466</v>
      </c>
      <c r="M283" s="321">
        <f t="shared" si="60"/>
        <v>0</v>
      </c>
      <c r="N283" s="321">
        <f t="shared" si="60"/>
        <v>5500</v>
      </c>
      <c r="O283" s="321">
        <f t="shared" si="60"/>
        <v>7200</v>
      </c>
      <c r="P283" s="321">
        <f t="shared" si="60"/>
        <v>0</v>
      </c>
      <c r="Q283" s="110">
        <f t="shared" si="60"/>
        <v>0</v>
      </c>
    </row>
    <row r="284" spans="1:18" s="137" customFormat="1" ht="15">
      <c r="A284" s="224">
        <v>276</v>
      </c>
      <c r="B284" s="873"/>
      <c r="C284" s="426"/>
      <c r="D284" s="874" t="s">
        <v>797</v>
      </c>
      <c r="E284" s="875"/>
      <c r="F284" s="341">
        <f>SUM(F111,F144,F273,F278)</f>
        <v>3170002</v>
      </c>
      <c r="G284" s="341">
        <f>SUM(G111,G144,G273,G278)</f>
        <v>4154634</v>
      </c>
      <c r="H284" s="341">
        <f>SUM(H111,H144,H273,H278)</f>
        <v>4785013</v>
      </c>
      <c r="I284" s="876"/>
      <c r="J284" s="877"/>
      <c r="K284" s="877"/>
      <c r="L284" s="877"/>
      <c r="M284" s="877"/>
      <c r="N284" s="877"/>
      <c r="O284" s="877"/>
      <c r="P284" s="877"/>
      <c r="Q284" s="878"/>
      <c r="R284" s="136"/>
    </row>
    <row r="285" spans="1:17" s="846" customFormat="1" ht="15">
      <c r="A285" s="224">
        <v>277</v>
      </c>
      <c r="B285" s="837"/>
      <c r="C285" s="838"/>
      <c r="D285" s="865" t="s">
        <v>403</v>
      </c>
      <c r="E285" s="851"/>
      <c r="F285" s="852"/>
      <c r="G285" s="852"/>
      <c r="H285" s="852"/>
      <c r="I285" s="855">
        <f>SUM(J285:Q285)</f>
        <v>4798951</v>
      </c>
      <c r="J285" s="846">
        <f aca="true" t="shared" si="61" ref="J285:Q285">SUM(J112,J145,J274,J279)</f>
        <v>2185684</v>
      </c>
      <c r="K285" s="846">
        <f t="shared" si="61"/>
        <v>623990</v>
      </c>
      <c r="L285" s="846">
        <f t="shared" si="61"/>
        <v>1896659</v>
      </c>
      <c r="M285" s="845">
        <f t="shared" si="61"/>
        <v>0</v>
      </c>
      <c r="N285" s="845">
        <f t="shared" si="61"/>
        <v>0</v>
      </c>
      <c r="O285" s="845">
        <f t="shared" si="61"/>
        <v>74378</v>
      </c>
      <c r="P285" s="845">
        <f t="shared" si="61"/>
        <v>18240</v>
      </c>
      <c r="Q285" s="866">
        <f t="shared" si="61"/>
        <v>0</v>
      </c>
    </row>
    <row r="286" spans="1:17" s="71" customFormat="1" ht="15">
      <c r="A286" s="224">
        <v>278</v>
      </c>
      <c r="B286" s="73"/>
      <c r="C286" s="76"/>
      <c r="D286" s="467" t="s">
        <v>957</v>
      </c>
      <c r="E286" s="705"/>
      <c r="F286" s="382"/>
      <c r="G286" s="382"/>
      <c r="H286" s="382"/>
      <c r="I286" s="661">
        <f>SUM(J286:Q286)</f>
        <v>5463139</v>
      </c>
      <c r="J286" s="71">
        <f aca="true" t="shared" si="62" ref="J286:Q286">SUM(J280,J275,J146,J113)</f>
        <v>2404785</v>
      </c>
      <c r="K286" s="71">
        <f t="shared" si="62"/>
        <v>648032</v>
      </c>
      <c r="L286" s="71">
        <f t="shared" si="62"/>
        <v>2237658</v>
      </c>
      <c r="M286" s="71">
        <f t="shared" si="62"/>
        <v>0</v>
      </c>
      <c r="N286" s="71">
        <f t="shared" si="62"/>
        <v>25796</v>
      </c>
      <c r="O286" s="71">
        <f t="shared" si="62"/>
        <v>127244</v>
      </c>
      <c r="P286" s="71">
        <f t="shared" si="62"/>
        <v>19624</v>
      </c>
      <c r="Q286" s="78">
        <f t="shared" si="62"/>
        <v>0</v>
      </c>
    </row>
    <row r="287" spans="1:17" s="72" customFormat="1" ht="15">
      <c r="A287" s="224">
        <v>279</v>
      </c>
      <c r="B287" s="132"/>
      <c r="C287" s="227"/>
      <c r="D287" s="1669" t="s">
        <v>1227</v>
      </c>
      <c r="E287" s="1669"/>
      <c r="F287" s="1669"/>
      <c r="G287" s="1669"/>
      <c r="H287" s="382"/>
      <c r="I287" s="662">
        <f>SUM(J287:Q287)</f>
        <v>62179</v>
      </c>
      <c r="J287" s="72">
        <f aca="true" t="shared" si="63" ref="J287:Q287">SUM(J281:J282,J276,J147)+J114</f>
        <v>3658</v>
      </c>
      <c r="K287" s="72">
        <f t="shared" si="63"/>
        <v>8725</v>
      </c>
      <c r="L287" s="72">
        <f t="shared" si="63"/>
        <v>38783</v>
      </c>
      <c r="M287" s="72">
        <f t="shared" si="63"/>
        <v>0</v>
      </c>
      <c r="N287" s="72">
        <f t="shared" si="63"/>
        <v>100</v>
      </c>
      <c r="O287" s="72">
        <f t="shared" si="63"/>
        <v>7337</v>
      </c>
      <c r="P287" s="72">
        <f t="shared" si="63"/>
        <v>3576</v>
      </c>
      <c r="Q287" s="112">
        <f t="shared" si="63"/>
        <v>0</v>
      </c>
    </row>
    <row r="288" spans="1:19" s="321" customFormat="1" ht="15.75" thickBot="1">
      <c r="A288" s="224">
        <v>280</v>
      </c>
      <c r="B288" s="867"/>
      <c r="C288" s="868"/>
      <c r="D288" s="869" t="s">
        <v>1067</v>
      </c>
      <c r="E288" s="870"/>
      <c r="F288" s="871"/>
      <c r="G288" s="871"/>
      <c r="H288" s="871"/>
      <c r="I288" s="992">
        <f>SUM(J288:Q288)</f>
        <v>5525318</v>
      </c>
      <c r="J288" s="872">
        <f>SUM(J286:J287)</f>
        <v>2408443</v>
      </c>
      <c r="K288" s="872">
        <f aca="true" t="shared" si="64" ref="K288:S288">SUM(K286:K287)</f>
        <v>656757</v>
      </c>
      <c r="L288" s="872">
        <f t="shared" si="64"/>
        <v>2276441</v>
      </c>
      <c r="M288" s="872">
        <f t="shared" si="64"/>
        <v>0</v>
      </c>
      <c r="N288" s="872">
        <f t="shared" si="64"/>
        <v>25896</v>
      </c>
      <c r="O288" s="872">
        <f t="shared" si="64"/>
        <v>134581</v>
      </c>
      <c r="P288" s="872">
        <f t="shared" si="64"/>
        <v>23200</v>
      </c>
      <c r="Q288" s="883">
        <f t="shared" si="64"/>
        <v>0</v>
      </c>
      <c r="R288" s="872">
        <f t="shared" si="64"/>
        <v>0</v>
      </c>
      <c r="S288" s="872">
        <f t="shared" si="64"/>
        <v>0</v>
      </c>
    </row>
    <row r="289" spans="1:20" s="326" customFormat="1" ht="30" customHeight="1">
      <c r="A289" s="224">
        <v>281</v>
      </c>
      <c r="B289" s="134">
        <v>17</v>
      </c>
      <c r="C289" s="1646" t="s">
        <v>365</v>
      </c>
      <c r="D289" s="1646"/>
      <c r="E289" s="325" t="s">
        <v>859</v>
      </c>
      <c r="F289" s="398"/>
      <c r="G289" s="398"/>
      <c r="H289" s="398"/>
      <c r="I289" s="660"/>
      <c r="J289" s="228"/>
      <c r="K289" s="228"/>
      <c r="L289" s="228"/>
      <c r="M289" s="228"/>
      <c r="N289" s="228"/>
      <c r="O289" s="228"/>
      <c r="P289" s="228"/>
      <c r="Q289" s="111"/>
      <c r="R289" s="133">
        <f>(SUM(J290:Q290))-I290</f>
        <v>0</v>
      </c>
      <c r="T289" s="228"/>
    </row>
    <row r="290" spans="1:18" s="133" customFormat="1" ht="15">
      <c r="A290" s="224">
        <v>282</v>
      </c>
      <c r="B290" s="134"/>
      <c r="C290" s="135">
        <v>1</v>
      </c>
      <c r="D290" s="1491" t="s">
        <v>412</v>
      </c>
      <c r="E290" s="700"/>
      <c r="F290" s="340">
        <v>1245388</v>
      </c>
      <c r="G290" s="340">
        <v>1068620</v>
      </c>
      <c r="H290" s="340">
        <v>1061858</v>
      </c>
      <c r="I290" s="660"/>
      <c r="J290" s="228"/>
      <c r="K290" s="228"/>
      <c r="L290" s="228"/>
      <c r="M290" s="228"/>
      <c r="N290" s="228"/>
      <c r="O290" s="228"/>
      <c r="P290" s="228"/>
      <c r="Q290" s="111"/>
      <c r="R290" s="133">
        <f>(SUM(J291:Q291))-I291</f>
        <v>0</v>
      </c>
    </row>
    <row r="291" spans="1:18" s="846" customFormat="1" ht="15">
      <c r="A291" s="224">
        <v>283</v>
      </c>
      <c r="B291" s="837"/>
      <c r="C291" s="838"/>
      <c r="D291" s="863" t="s">
        <v>403</v>
      </c>
      <c r="E291" s="851"/>
      <c r="F291" s="852"/>
      <c r="G291" s="852"/>
      <c r="H291" s="852"/>
      <c r="I291" s="853">
        <f>SUM(J291:Q291)</f>
        <v>1093581</v>
      </c>
      <c r="J291" s="840">
        <v>828536</v>
      </c>
      <c r="K291" s="840">
        <v>233832</v>
      </c>
      <c r="L291" s="840">
        <v>31213</v>
      </c>
      <c r="M291" s="841"/>
      <c r="N291" s="841"/>
      <c r="O291" s="841"/>
      <c r="P291" s="841"/>
      <c r="Q291" s="864"/>
      <c r="R291" s="840"/>
    </row>
    <row r="292" spans="1:18" s="71" customFormat="1" ht="15">
      <c r="A292" s="224">
        <v>284</v>
      </c>
      <c r="B292" s="73"/>
      <c r="C292" s="76"/>
      <c r="D292" s="1490" t="s">
        <v>957</v>
      </c>
      <c r="E292" s="705"/>
      <c r="F292" s="382"/>
      <c r="G292" s="382"/>
      <c r="H292" s="382"/>
      <c r="I292" s="660">
        <f>SUM(J292:Q292)</f>
        <v>1167298</v>
      </c>
      <c r="J292" s="136">
        <v>887857</v>
      </c>
      <c r="K292" s="136">
        <v>243228</v>
      </c>
      <c r="L292" s="136">
        <v>31213</v>
      </c>
      <c r="M292" s="137"/>
      <c r="N292" s="136">
        <v>5000</v>
      </c>
      <c r="O292" s="137"/>
      <c r="P292" s="137"/>
      <c r="Q292" s="307"/>
      <c r="R292" s="136"/>
    </row>
    <row r="293" spans="1:18" s="72" customFormat="1" ht="15">
      <c r="A293" s="224">
        <v>285</v>
      </c>
      <c r="B293" s="132"/>
      <c r="C293" s="227"/>
      <c r="D293" s="457" t="s">
        <v>405</v>
      </c>
      <c r="E293" s="396"/>
      <c r="F293" s="386"/>
      <c r="G293" s="386"/>
      <c r="H293" s="386"/>
      <c r="I293" s="706">
        <f>SUM(J293:Q293)</f>
        <v>653</v>
      </c>
      <c r="J293" s="460">
        <v>514</v>
      </c>
      <c r="K293" s="460">
        <v>139</v>
      </c>
      <c r="L293" s="460"/>
      <c r="M293" s="460"/>
      <c r="N293" s="460"/>
      <c r="O293" s="460"/>
      <c r="P293" s="460"/>
      <c r="Q293" s="719"/>
      <c r="R293" s="137"/>
    </row>
    <row r="294" spans="1:19" s="74" customFormat="1" ht="15">
      <c r="A294" s="224">
        <v>286</v>
      </c>
      <c r="B294" s="1496"/>
      <c r="C294" s="1497"/>
      <c r="D294" s="458" t="s">
        <v>1067</v>
      </c>
      <c r="E294" s="707"/>
      <c r="F294" s="383"/>
      <c r="G294" s="383"/>
      <c r="H294" s="383"/>
      <c r="I294" s="711">
        <f>SUM(J294:Q294)</f>
        <v>1167951</v>
      </c>
      <c r="J294" s="74">
        <f aca="true" t="shared" si="65" ref="J294:S294">SUM(J292:J293)</f>
        <v>888371</v>
      </c>
      <c r="K294" s="74">
        <f t="shared" si="65"/>
        <v>243367</v>
      </c>
      <c r="L294" s="74">
        <f t="shared" si="65"/>
        <v>31213</v>
      </c>
      <c r="M294" s="74">
        <f t="shared" si="65"/>
        <v>0</v>
      </c>
      <c r="N294" s="74">
        <f t="shared" si="65"/>
        <v>5000</v>
      </c>
      <c r="O294" s="74">
        <f t="shared" si="65"/>
        <v>0</v>
      </c>
      <c r="P294" s="74">
        <f t="shared" si="65"/>
        <v>0</v>
      </c>
      <c r="Q294" s="75">
        <f t="shared" si="65"/>
        <v>0</v>
      </c>
      <c r="R294" s="74">
        <f t="shared" si="65"/>
        <v>0</v>
      </c>
      <c r="S294" s="74">
        <f t="shared" si="65"/>
        <v>0</v>
      </c>
    </row>
    <row r="295" spans="1:18" s="79" customFormat="1" ht="15">
      <c r="A295" s="224">
        <v>287</v>
      </c>
      <c r="B295" s="73"/>
      <c r="C295" s="76"/>
      <c r="D295" s="395" t="s">
        <v>219</v>
      </c>
      <c r="E295" s="396"/>
      <c r="F295" s="382"/>
      <c r="G295" s="386">
        <v>131843</v>
      </c>
      <c r="H295" s="382"/>
      <c r="I295" s="661"/>
      <c r="J295" s="71"/>
      <c r="K295" s="71"/>
      <c r="L295" s="71"/>
      <c r="M295" s="71"/>
      <c r="N295" s="71"/>
      <c r="O295" s="71"/>
      <c r="P295" s="71"/>
      <c r="Q295" s="78"/>
      <c r="R295" s="79">
        <f>(SUM(J296:Q296))-I296</f>
        <v>0</v>
      </c>
    </row>
    <row r="296" spans="1:17" s="843" customFormat="1" ht="15">
      <c r="A296" s="224">
        <v>288</v>
      </c>
      <c r="B296" s="837"/>
      <c r="C296" s="838"/>
      <c r="D296" s="863" t="s">
        <v>403</v>
      </c>
      <c r="E296" s="879"/>
      <c r="F296" s="852"/>
      <c r="G296" s="880"/>
      <c r="H296" s="852"/>
      <c r="I296" s="855">
        <f>SUM(J296:Q296)</f>
        <v>0</v>
      </c>
      <c r="J296" s="846"/>
      <c r="K296" s="846"/>
      <c r="L296" s="846"/>
      <c r="M296" s="846"/>
      <c r="N296" s="846"/>
      <c r="O296" s="846"/>
      <c r="P296" s="846"/>
      <c r="Q296" s="847"/>
    </row>
    <row r="297" spans="1:17" s="79" customFormat="1" ht="15">
      <c r="A297" s="224">
        <v>289</v>
      </c>
      <c r="B297" s="73"/>
      <c r="C297" s="76"/>
      <c r="D297" s="1490" t="s">
        <v>957</v>
      </c>
      <c r="E297" s="396"/>
      <c r="F297" s="382"/>
      <c r="G297" s="386"/>
      <c r="H297" s="382"/>
      <c r="I297" s="661">
        <f>SUM(J297:Q297)</f>
        <v>0</v>
      </c>
      <c r="J297" s="71"/>
      <c r="K297" s="71"/>
      <c r="L297" s="71"/>
      <c r="M297" s="71"/>
      <c r="N297" s="71"/>
      <c r="O297" s="71"/>
      <c r="P297" s="71"/>
      <c r="Q297" s="78"/>
    </row>
    <row r="298" spans="1:17" s="131" customFormat="1" ht="15">
      <c r="A298" s="224">
        <v>290</v>
      </c>
      <c r="B298" s="132"/>
      <c r="C298" s="227"/>
      <c r="D298" s="457" t="s">
        <v>405</v>
      </c>
      <c r="E298" s="396"/>
      <c r="F298" s="386"/>
      <c r="G298" s="386"/>
      <c r="H298" s="386"/>
      <c r="I298" s="661">
        <f>SUM(J298:Q298)</f>
        <v>0</v>
      </c>
      <c r="J298" s="72"/>
      <c r="K298" s="72"/>
      <c r="L298" s="72"/>
      <c r="M298" s="72"/>
      <c r="N298" s="72"/>
      <c r="O298" s="72"/>
      <c r="P298" s="72"/>
      <c r="Q298" s="112"/>
    </row>
    <row r="299" spans="1:17" s="4" customFormat="1" ht="15">
      <c r="A299" s="224">
        <v>291</v>
      </c>
      <c r="B299" s="1496"/>
      <c r="C299" s="1497"/>
      <c r="D299" s="458" t="s">
        <v>1067</v>
      </c>
      <c r="E299" s="482"/>
      <c r="F299" s="383"/>
      <c r="G299" s="463"/>
      <c r="H299" s="383"/>
      <c r="I299" s="663">
        <f>SUM(I296:I298)</f>
        <v>0</v>
      </c>
      <c r="J299" s="74">
        <f>SUM(J297:J298)</f>
        <v>0</v>
      </c>
      <c r="K299" s="74">
        <f aca="true" t="shared" si="66" ref="K299:Q299">SUM(K297:K298)</f>
        <v>0</v>
      </c>
      <c r="L299" s="74">
        <f t="shared" si="66"/>
        <v>0</v>
      </c>
      <c r="M299" s="74">
        <f t="shared" si="66"/>
        <v>0</v>
      </c>
      <c r="N299" s="74">
        <f t="shared" si="66"/>
        <v>0</v>
      </c>
      <c r="O299" s="74">
        <f t="shared" si="66"/>
        <v>0</v>
      </c>
      <c r="P299" s="74">
        <f t="shared" si="66"/>
        <v>0</v>
      </c>
      <c r="Q299" s="75">
        <f t="shared" si="66"/>
        <v>0</v>
      </c>
    </row>
    <row r="300" spans="1:17" s="133" customFormat="1" ht="15">
      <c r="A300" s="224">
        <v>292</v>
      </c>
      <c r="B300" s="134"/>
      <c r="C300" s="135">
        <v>2</v>
      </c>
      <c r="D300" s="1491" t="s">
        <v>924</v>
      </c>
      <c r="E300" s="700"/>
      <c r="F300" s="340"/>
      <c r="G300" s="340"/>
      <c r="H300" s="340"/>
      <c r="I300" s="660"/>
      <c r="J300" s="228"/>
      <c r="K300" s="228"/>
      <c r="L300" s="228"/>
      <c r="M300" s="228"/>
      <c r="N300" s="228"/>
      <c r="O300" s="228"/>
      <c r="P300" s="228"/>
      <c r="Q300" s="111"/>
    </row>
    <row r="301" spans="1:18" s="846" customFormat="1" ht="15">
      <c r="A301" s="224">
        <v>293</v>
      </c>
      <c r="B301" s="837"/>
      <c r="C301" s="838"/>
      <c r="D301" s="863" t="s">
        <v>403</v>
      </c>
      <c r="E301" s="851"/>
      <c r="F301" s="852"/>
      <c r="G301" s="852"/>
      <c r="H301" s="852"/>
      <c r="I301" s="853">
        <f>SUM(J301:Q301)</f>
        <v>9173</v>
      </c>
      <c r="J301" s="840">
        <v>5660</v>
      </c>
      <c r="K301" s="840">
        <v>1784</v>
      </c>
      <c r="L301" s="840">
        <v>1729</v>
      </c>
      <c r="M301" s="841"/>
      <c r="N301" s="841"/>
      <c r="O301" s="841"/>
      <c r="P301" s="841"/>
      <c r="Q301" s="864"/>
      <c r="R301" s="840"/>
    </row>
    <row r="302" spans="1:18" s="71" customFormat="1" ht="15">
      <c r="A302" s="224">
        <v>294</v>
      </c>
      <c r="B302" s="73"/>
      <c r="C302" s="76"/>
      <c r="D302" s="1490" t="s">
        <v>957</v>
      </c>
      <c r="E302" s="705"/>
      <c r="F302" s="382"/>
      <c r="G302" s="382"/>
      <c r="H302" s="382"/>
      <c r="I302" s="660">
        <f>SUM(J302:Q302)</f>
        <v>11753</v>
      </c>
      <c r="J302" s="136">
        <v>7873</v>
      </c>
      <c r="K302" s="136">
        <v>2232</v>
      </c>
      <c r="L302" s="136">
        <v>1648</v>
      </c>
      <c r="M302" s="137"/>
      <c r="N302" s="137"/>
      <c r="O302" s="137"/>
      <c r="P302" s="137"/>
      <c r="Q302" s="307"/>
      <c r="R302" s="136"/>
    </row>
    <row r="303" spans="1:18" s="72" customFormat="1" ht="15">
      <c r="A303" s="224">
        <v>295</v>
      </c>
      <c r="B303" s="132"/>
      <c r="C303" s="227"/>
      <c r="D303" s="457" t="s">
        <v>1089</v>
      </c>
      <c r="E303" s="396"/>
      <c r="F303" s="386"/>
      <c r="G303" s="386"/>
      <c r="H303" s="386"/>
      <c r="I303" s="706">
        <f>SUM(J303:Q303)</f>
        <v>0</v>
      </c>
      <c r="J303" s="460">
        <v>-93</v>
      </c>
      <c r="K303" s="460"/>
      <c r="L303" s="460">
        <v>93</v>
      </c>
      <c r="M303" s="460"/>
      <c r="N303" s="460"/>
      <c r="O303" s="460"/>
      <c r="P303" s="460"/>
      <c r="Q303" s="719"/>
      <c r="R303" s="137"/>
    </row>
    <row r="304" spans="1:18" s="74" customFormat="1" ht="15">
      <c r="A304" s="224">
        <v>296</v>
      </c>
      <c r="B304" s="1496"/>
      <c r="C304" s="1497"/>
      <c r="D304" s="458" t="s">
        <v>1067</v>
      </c>
      <c r="E304" s="707"/>
      <c r="F304" s="383"/>
      <c r="G304" s="383"/>
      <c r="H304" s="383"/>
      <c r="I304" s="711">
        <f>SUM(J304:Q304)</f>
        <v>11753</v>
      </c>
      <c r="J304" s="74">
        <f>SUM(J302:J303)</f>
        <v>7780</v>
      </c>
      <c r="K304" s="74">
        <f aca="true" t="shared" si="67" ref="K304:Q304">SUM(K302:K303)</f>
        <v>2232</v>
      </c>
      <c r="L304" s="74">
        <f t="shared" si="67"/>
        <v>1741</v>
      </c>
      <c r="M304" s="74">
        <f t="shared" si="67"/>
        <v>0</v>
      </c>
      <c r="N304" s="74">
        <f t="shared" si="67"/>
        <v>0</v>
      </c>
      <c r="O304" s="74">
        <f t="shared" si="67"/>
        <v>0</v>
      </c>
      <c r="P304" s="74">
        <f t="shared" si="67"/>
        <v>0</v>
      </c>
      <c r="Q304" s="75">
        <f t="shared" si="67"/>
        <v>0</v>
      </c>
      <c r="R304" s="228"/>
    </row>
    <row r="305" spans="1:18" s="74" customFormat="1" ht="30">
      <c r="A305" s="993">
        <v>297</v>
      </c>
      <c r="B305" s="1496"/>
      <c r="C305" s="1497">
        <v>3</v>
      </c>
      <c r="D305" s="1491" t="s">
        <v>953</v>
      </c>
      <c r="E305" s="707"/>
      <c r="F305" s="383"/>
      <c r="G305" s="383"/>
      <c r="H305" s="383"/>
      <c r="I305" s="711"/>
      <c r="Q305" s="75"/>
      <c r="R305" s="228"/>
    </row>
    <row r="306" spans="1:18" s="74" customFormat="1" ht="15">
      <c r="A306" s="224">
        <v>298</v>
      </c>
      <c r="B306" s="1496"/>
      <c r="C306" s="1497"/>
      <c r="D306" s="1491" t="s">
        <v>957</v>
      </c>
      <c r="E306" s="707"/>
      <c r="F306" s="383"/>
      <c r="G306" s="383"/>
      <c r="H306" s="383"/>
      <c r="I306" s="660">
        <f>SUM(J306:Q306)</f>
        <v>10933</v>
      </c>
      <c r="J306" s="71">
        <v>7460</v>
      </c>
      <c r="K306" s="71">
        <v>2150</v>
      </c>
      <c r="L306" s="71">
        <v>1323</v>
      </c>
      <c r="M306" s="71"/>
      <c r="N306" s="71"/>
      <c r="O306" s="71"/>
      <c r="P306" s="71"/>
      <c r="Q306" s="78"/>
      <c r="R306" s="228"/>
    </row>
    <row r="307" spans="1:18" s="72" customFormat="1" ht="15">
      <c r="A307" s="224">
        <v>299</v>
      </c>
      <c r="B307" s="132"/>
      <c r="C307" s="227"/>
      <c r="D307" s="457" t="s">
        <v>405</v>
      </c>
      <c r="E307" s="396"/>
      <c r="F307" s="386"/>
      <c r="G307" s="386"/>
      <c r="H307" s="386"/>
      <c r="I307" s="706">
        <f>SUM(J307:Q307)</f>
        <v>0</v>
      </c>
      <c r="J307" s="460"/>
      <c r="K307" s="460"/>
      <c r="L307" s="460"/>
      <c r="M307" s="460"/>
      <c r="N307" s="460"/>
      <c r="O307" s="460"/>
      <c r="P307" s="460"/>
      <c r="Q307" s="719"/>
      <c r="R307" s="137"/>
    </row>
    <row r="308" spans="1:18" s="74" customFormat="1" ht="15">
      <c r="A308" s="224">
        <v>300</v>
      </c>
      <c r="B308" s="1496"/>
      <c r="C308" s="1497"/>
      <c r="D308" s="458" t="s">
        <v>1067</v>
      </c>
      <c r="E308" s="707"/>
      <c r="F308" s="383"/>
      <c r="G308" s="383"/>
      <c r="H308" s="383"/>
      <c r="I308" s="711">
        <f>SUM(J308:Q308)</f>
        <v>10933</v>
      </c>
      <c r="J308" s="74">
        <f>SUM(J306:J307)</f>
        <v>7460</v>
      </c>
      <c r="K308" s="74">
        <f aca="true" t="shared" si="68" ref="K308:Q308">SUM(K306:K307)</f>
        <v>2150</v>
      </c>
      <c r="L308" s="74">
        <f t="shared" si="68"/>
        <v>1323</v>
      </c>
      <c r="M308" s="74">
        <f t="shared" si="68"/>
        <v>0</v>
      </c>
      <c r="N308" s="74">
        <f t="shared" si="68"/>
        <v>0</v>
      </c>
      <c r="O308" s="74">
        <f t="shared" si="68"/>
        <v>0</v>
      </c>
      <c r="P308" s="74">
        <f t="shared" si="68"/>
        <v>0</v>
      </c>
      <c r="Q308" s="75">
        <f t="shared" si="68"/>
        <v>0</v>
      </c>
      <c r="R308" s="228"/>
    </row>
    <row r="309" spans="1:17" s="133" customFormat="1" ht="15">
      <c r="A309" s="224">
        <v>301</v>
      </c>
      <c r="B309" s="134"/>
      <c r="C309" s="135">
        <v>4</v>
      </c>
      <c r="D309" s="1491" t="s">
        <v>572</v>
      </c>
      <c r="E309" s="700"/>
      <c r="F309" s="340"/>
      <c r="G309" s="340"/>
      <c r="H309" s="340"/>
      <c r="I309" s="711"/>
      <c r="J309" s="228"/>
      <c r="K309" s="228"/>
      <c r="L309" s="228"/>
      <c r="M309" s="228"/>
      <c r="N309" s="228"/>
      <c r="O309" s="228"/>
      <c r="P309" s="228"/>
      <c r="Q309" s="111"/>
    </row>
    <row r="310" spans="1:17" s="133" customFormat="1" ht="15">
      <c r="A310" s="224">
        <v>302</v>
      </c>
      <c r="B310" s="134"/>
      <c r="C310" s="135"/>
      <c r="D310" s="1491" t="s">
        <v>957</v>
      </c>
      <c r="E310" s="700"/>
      <c r="F310" s="340"/>
      <c r="G310" s="340"/>
      <c r="H310" s="340"/>
      <c r="I310" s="660">
        <f>SUM(J310:Q310)</f>
        <v>10350</v>
      </c>
      <c r="J310" s="136">
        <v>7406</v>
      </c>
      <c r="K310" s="136">
        <v>2111</v>
      </c>
      <c r="L310" s="136">
        <v>833</v>
      </c>
      <c r="M310" s="136"/>
      <c r="N310" s="136"/>
      <c r="O310" s="136"/>
      <c r="P310" s="136"/>
      <c r="Q310" s="306"/>
    </row>
    <row r="311" spans="1:18" s="72" customFormat="1" ht="15">
      <c r="A311" s="224">
        <v>303</v>
      </c>
      <c r="B311" s="132"/>
      <c r="C311" s="227"/>
      <c r="D311" s="457" t="s">
        <v>1089</v>
      </c>
      <c r="E311" s="396"/>
      <c r="F311" s="386"/>
      <c r="G311" s="386"/>
      <c r="H311" s="386"/>
      <c r="I311" s="706">
        <f>SUM(J311:Q311)</f>
        <v>0</v>
      </c>
      <c r="J311" s="460">
        <v>-96</v>
      </c>
      <c r="K311" s="460"/>
      <c r="L311" s="460">
        <v>96</v>
      </c>
      <c r="M311" s="460"/>
      <c r="N311" s="460"/>
      <c r="O311" s="460"/>
      <c r="P311" s="460"/>
      <c r="Q311" s="719"/>
      <c r="R311" s="137"/>
    </row>
    <row r="312" spans="1:18" s="74" customFormat="1" ht="15">
      <c r="A312" s="224">
        <v>304</v>
      </c>
      <c r="B312" s="1496"/>
      <c r="C312" s="1497"/>
      <c r="D312" s="458" t="s">
        <v>1067</v>
      </c>
      <c r="E312" s="707"/>
      <c r="F312" s="383"/>
      <c r="G312" s="383"/>
      <c r="H312" s="383"/>
      <c r="I312" s="711">
        <f>SUM(J312:Q312)</f>
        <v>10350</v>
      </c>
      <c r="J312" s="74">
        <f>SUM(J310:J311)</f>
        <v>7310</v>
      </c>
      <c r="K312" s="74">
        <f aca="true" t="shared" si="69" ref="K312:Q312">SUM(K310:K311)</f>
        <v>2111</v>
      </c>
      <c r="L312" s="74">
        <f t="shared" si="69"/>
        <v>929</v>
      </c>
      <c r="M312" s="74">
        <f t="shared" si="69"/>
        <v>0</v>
      </c>
      <c r="N312" s="74">
        <f t="shared" si="69"/>
        <v>0</v>
      </c>
      <c r="O312" s="74">
        <f t="shared" si="69"/>
        <v>0</v>
      </c>
      <c r="P312" s="74">
        <f t="shared" si="69"/>
        <v>0</v>
      </c>
      <c r="Q312" s="75">
        <f t="shared" si="69"/>
        <v>0</v>
      </c>
      <c r="R312" s="228"/>
    </row>
    <row r="313" spans="1:18" s="133" customFormat="1" ht="15">
      <c r="A313" s="224">
        <v>305</v>
      </c>
      <c r="B313" s="134"/>
      <c r="C313" s="135">
        <v>5</v>
      </c>
      <c r="D313" s="1491" t="s">
        <v>413</v>
      </c>
      <c r="E313" s="700"/>
      <c r="F313" s="340">
        <v>140738</v>
      </c>
      <c r="G313" s="340">
        <v>149000</v>
      </c>
      <c r="H313" s="340">
        <v>109284</v>
      </c>
      <c r="I313" s="660"/>
      <c r="J313" s="228"/>
      <c r="K313" s="228"/>
      <c r="L313" s="228"/>
      <c r="M313" s="228"/>
      <c r="N313" s="228"/>
      <c r="O313" s="228"/>
      <c r="P313" s="228"/>
      <c r="Q313" s="111"/>
      <c r="R313" s="133">
        <f>(SUM(J314:Q314))-I314</f>
        <v>0</v>
      </c>
    </row>
    <row r="314" spans="1:18" s="846" customFormat="1" ht="15">
      <c r="A314" s="224">
        <v>306</v>
      </c>
      <c r="B314" s="837"/>
      <c r="C314" s="838"/>
      <c r="D314" s="863" t="s">
        <v>403</v>
      </c>
      <c r="E314" s="851"/>
      <c r="F314" s="852"/>
      <c r="G314" s="852"/>
      <c r="H314" s="852"/>
      <c r="I314" s="853">
        <f>SUM(J314:Q314)</f>
        <v>148400</v>
      </c>
      <c r="J314" s="840"/>
      <c r="K314" s="840"/>
      <c r="L314" s="840">
        <v>147975</v>
      </c>
      <c r="M314" s="841"/>
      <c r="N314" s="841"/>
      <c r="O314" s="841"/>
      <c r="P314" s="840">
        <v>425</v>
      </c>
      <c r="Q314" s="864"/>
      <c r="R314" s="840"/>
    </row>
    <row r="315" spans="1:18" s="71" customFormat="1" ht="15">
      <c r="A315" s="224">
        <v>307</v>
      </c>
      <c r="B315" s="73"/>
      <c r="C315" s="76"/>
      <c r="D315" s="1491" t="s">
        <v>957</v>
      </c>
      <c r="E315" s="705"/>
      <c r="F315" s="382"/>
      <c r="G315" s="382"/>
      <c r="H315" s="382"/>
      <c r="I315" s="660">
        <f>SUM(J315:Q315)</f>
        <v>160550</v>
      </c>
      <c r="J315" s="136">
        <v>2500</v>
      </c>
      <c r="K315" s="136">
        <v>1500</v>
      </c>
      <c r="L315" s="136">
        <v>154125</v>
      </c>
      <c r="M315" s="137"/>
      <c r="N315" s="137"/>
      <c r="O315" s="136">
        <v>2000</v>
      </c>
      <c r="P315" s="136">
        <v>425</v>
      </c>
      <c r="Q315" s="307"/>
      <c r="R315" s="136"/>
    </row>
    <row r="316" spans="1:18" s="72" customFormat="1" ht="15">
      <c r="A316" s="224">
        <v>308</v>
      </c>
      <c r="B316" s="132"/>
      <c r="C316" s="227"/>
      <c r="D316" s="457" t="s">
        <v>1080</v>
      </c>
      <c r="E316" s="396"/>
      <c r="F316" s="386"/>
      <c r="G316" s="386"/>
      <c r="H316" s="386"/>
      <c r="I316" s="706">
        <f>SUM(J316:Q316)</f>
        <v>0</v>
      </c>
      <c r="J316" s="460">
        <v>500</v>
      </c>
      <c r="K316" s="460">
        <v>50</v>
      </c>
      <c r="L316" s="460">
        <v>-550</v>
      </c>
      <c r="M316" s="460"/>
      <c r="N316" s="460"/>
      <c r="O316" s="460"/>
      <c r="P316" s="460"/>
      <c r="Q316" s="719"/>
      <c r="R316" s="137"/>
    </row>
    <row r="317" spans="1:18" s="74" customFormat="1" ht="15">
      <c r="A317" s="224">
        <v>309</v>
      </c>
      <c r="B317" s="1496"/>
      <c r="C317" s="1497"/>
      <c r="D317" s="458" t="s">
        <v>1067</v>
      </c>
      <c r="E317" s="707"/>
      <c r="F317" s="383"/>
      <c r="G317" s="383"/>
      <c r="H317" s="383"/>
      <c r="I317" s="711">
        <f>SUM(J317:Q317)</f>
        <v>160550</v>
      </c>
      <c r="J317" s="74">
        <f aca="true" t="shared" si="70" ref="J317:Q317">SUM(J315:J316)</f>
        <v>3000</v>
      </c>
      <c r="K317" s="74">
        <f t="shared" si="70"/>
        <v>1550</v>
      </c>
      <c r="L317" s="74">
        <f t="shared" si="70"/>
        <v>153575</v>
      </c>
      <c r="M317" s="74">
        <f t="shared" si="70"/>
        <v>0</v>
      </c>
      <c r="N317" s="74">
        <f t="shared" si="70"/>
        <v>0</v>
      </c>
      <c r="O317" s="74">
        <f t="shared" si="70"/>
        <v>2000</v>
      </c>
      <c r="P317" s="74">
        <f t="shared" si="70"/>
        <v>425</v>
      </c>
      <c r="Q317" s="75">
        <f t="shared" si="70"/>
        <v>0</v>
      </c>
      <c r="R317" s="228"/>
    </row>
    <row r="318" spans="1:18" s="133" customFormat="1" ht="15">
      <c r="A318" s="224">
        <v>310</v>
      </c>
      <c r="B318" s="134"/>
      <c r="C318" s="135">
        <v>6</v>
      </c>
      <c r="D318" s="1491" t="s">
        <v>414</v>
      </c>
      <c r="E318" s="700"/>
      <c r="F318" s="340">
        <v>76122</v>
      </c>
      <c r="G318" s="340">
        <v>74301</v>
      </c>
      <c r="H318" s="340">
        <v>72032</v>
      </c>
      <c r="I318" s="660"/>
      <c r="J318" s="228"/>
      <c r="K318" s="228"/>
      <c r="L318" s="228"/>
      <c r="M318" s="228"/>
      <c r="N318" s="228"/>
      <c r="O318" s="228"/>
      <c r="P318" s="228"/>
      <c r="Q318" s="111"/>
      <c r="R318" s="133">
        <f>(SUM(J319:Q319))-I319</f>
        <v>0</v>
      </c>
    </row>
    <row r="319" spans="1:18" s="846" customFormat="1" ht="15">
      <c r="A319" s="224">
        <v>311</v>
      </c>
      <c r="B319" s="837"/>
      <c r="C319" s="838"/>
      <c r="D319" s="863" t="s">
        <v>403</v>
      </c>
      <c r="E319" s="851"/>
      <c r="F319" s="852"/>
      <c r="G319" s="852"/>
      <c r="H319" s="852"/>
      <c r="I319" s="853">
        <f>SUM(J319:Q319)</f>
        <v>73216</v>
      </c>
      <c r="J319" s="840"/>
      <c r="K319" s="840"/>
      <c r="L319" s="840">
        <v>53383</v>
      </c>
      <c r="M319" s="841"/>
      <c r="N319" s="841"/>
      <c r="O319" s="840">
        <v>19833</v>
      </c>
      <c r="P319" s="841"/>
      <c r="Q319" s="864"/>
      <c r="R319" s="840"/>
    </row>
    <row r="320" spans="1:18" s="71" customFormat="1" ht="15">
      <c r="A320" s="224">
        <v>312</v>
      </c>
      <c r="B320" s="73"/>
      <c r="C320" s="76"/>
      <c r="D320" s="1491" t="s">
        <v>957</v>
      </c>
      <c r="E320" s="705"/>
      <c r="F320" s="382"/>
      <c r="G320" s="382"/>
      <c r="H320" s="382"/>
      <c r="I320" s="660">
        <f>SUM(J320:Q320)</f>
        <v>83670</v>
      </c>
      <c r="J320" s="136"/>
      <c r="K320" s="136"/>
      <c r="L320" s="136">
        <v>51759</v>
      </c>
      <c r="M320" s="137"/>
      <c r="N320" s="137"/>
      <c r="O320" s="136">
        <v>25887</v>
      </c>
      <c r="P320" s="136">
        <v>6024</v>
      </c>
      <c r="Q320" s="307"/>
      <c r="R320" s="136"/>
    </row>
    <row r="321" spans="1:18" s="72" customFormat="1" ht="15">
      <c r="A321" s="224">
        <v>313</v>
      </c>
      <c r="B321" s="132"/>
      <c r="C321" s="227"/>
      <c r="D321" s="457" t="s">
        <v>405</v>
      </c>
      <c r="E321" s="396"/>
      <c r="F321" s="386"/>
      <c r="G321" s="386"/>
      <c r="H321" s="386"/>
      <c r="I321" s="706">
        <f>SUM(J321:Q321)</f>
        <v>0</v>
      </c>
      <c r="J321" s="460"/>
      <c r="K321" s="460"/>
      <c r="L321" s="460"/>
      <c r="M321" s="460"/>
      <c r="N321" s="460"/>
      <c r="O321" s="460"/>
      <c r="P321" s="460"/>
      <c r="Q321" s="719"/>
      <c r="R321" s="137"/>
    </row>
    <row r="322" spans="1:18" s="74" customFormat="1" ht="15">
      <c r="A322" s="224">
        <v>314</v>
      </c>
      <c r="B322" s="1496"/>
      <c r="C322" s="1497"/>
      <c r="D322" s="458" t="s">
        <v>1067</v>
      </c>
      <c r="E322" s="707"/>
      <c r="F322" s="383"/>
      <c r="G322" s="383"/>
      <c r="H322" s="383"/>
      <c r="I322" s="711">
        <f>SUM(J322:Q322)</f>
        <v>83670</v>
      </c>
      <c r="J322" s="74">
        <f aca="true" t="shared" si="71" ref="J322:Q322">SUM(J320:J321)</f>
        <v>0</v>
      </c>
      <c r="K322" s="74">
        <f t="shared" si="71"/>
        <v>0</v>
      </c>
      <c r="L322" s="74">
        <f t="shared" si="71"/>
        <v>51759</v>
      </c>
      <c r="M322" s="74">
        <f t="shared" si="71"/>
        <v>0</v>
      </c>
      <c r="N322" s="74">
        <f t="shared" si="71"/>
        <v>0</v>
      </c>
      <c r="O322" s="74">
        <f t="shared" si="71"/>
        <v>25887</v>
      </c>
      <c r="P322" s="74">
        <f t="shared" si="71"/>
        <v>6024</v>
      </c>
      <c r="Q322" s="75">
        <f t="shared" si="71"/>
        <v>0</v>
      </c>
      <c r="R322" s="228"/>
    </row>
    <row r="323" spans="1:18" s="133" customFormat="1" ht="15">
      <c r="A323" s="224">
        <v>315</v>
      </c>
      <c r="B323" s="134"/>
      <c r="C323" s="135">
        <v>7</v>
      </c>
      <c r="D323" s="1491" t="s">
        <v>368</v>
      </c>
      <c r="E323" s="700"/>
      <c r="F323" s="340">
        <v>1961</v>
      </c>
      <c r="G323" s="340">
        <v>2500</v>
      </c>
      <c r="H323" s="340">
        <v>1906</v>
      </c>
      <c r="I323" s="660"/>
      <c r="J323" s="228"/>
      <c r="K323" s="228"/>
      <c r="L323" s="228"/>
      <c r="M323" s="228"/>
      <c r="N323" s="228"/>
      <c r="O323" s="228"/>
      <c r="P323" s="228"/>
      <c r="Q323" s="111"/>
      <c r="R323" s="133">
        <f>(SUM(J324:Q324))-I324</f>
        <v>0</v>
      </c>
    </row>
    <row r="324" spans="1:18" s="846" customFormat="1" ht="15">
      <c r="A324" s="224">
        <v>316</v>
      </c>
      <c r="B324" s="837"/>
      <c r="C324" s="838"/>
      <c r="D324" s="863" t="s">
        <v>403</v>
      </c>
      <c r="E324" s="851"/>
      <c r="F324" s="852"/>
      <c r="G324" s="852"/>
      <c r="H324" s="852"/>
      <c r="I324" s="853">
        <f>SUM(J324:Q324)</f>
        <v>4200</v>
      </c>
      <c r="J324" s="840"/>
      <c r="K324" s="840"/>
      <c r="L324" s="840">
        <v>4200</v>
      </c>
      <c r="M324" s="841"/>
      <c r="N324" s="841"/>
      <c r="O324" s="841"/>
      <c r="P324" s="841"/>
      <c r="Q324" s="864"/>
      <c r="R324" s="840"/>
    </row>
    <row r="325" spans="1:18" s="71" customFormat="1" ht="15">
      <c r="A325" s="224">
        <v>317</v>
      </c>
      <c r="B325" s="73"/>
      <c r="C325" s="76"/>
      <c r="D325" s="1491" t="s">
        <v>957</v>
      </c>
      <c r="E325" s="705"/>
      <c r="F325" s="382"/>
      <c r="G325" s="382"/>
      <c r="H325" s="382"/>
      <c r="I325" s="660">
        <f>SUM(J325:Q325)</f>
        <v>4200</v>
      </c>
      <c r="J325" s="136"/>
      <c r="K325" s="136"/>
      <c r="L325" s="136">
        <v>4200</v>
      </c>
      <c r="M325" s="137"/>
      <c r="N325" s="137"/>
      <c r="O325" s="137"/>
      <c r="P325" s="137"/>
      <c r="Q325" s="307"/>
      <c r="R325" s="136"/>
    </row>
    <row r="326" spans="1:18" s="72" customFormat="1" ht="15">
      <c r="A326" s="224">
        <v>318</v>
      </c>
      <c r="B326" s="132"/>
      <c r="C326" s="227"/>
      <c r="D326" s="457" t="s">
        <v>74</v>
      </c>
      <c r="E326" s="396"/>
      <c r="F326" s="386"/>
      <c r="G326" s="386"/>
      <c r="H326" s="386"/>
      <c r="I326" s="706">
        <f>SUM(J326:Q326)</f>
        <v>0</v>
      </c>
      <c r="J326" s="460"/>
      <c r="K326" s="460"/>
      <c r="L326" s="460"/>
      <c r="M326" s="460"/>
      <c r="N326" s="460"/>
      <c r="O326" s="460"/>
      <c r="P326" s="460"/>
      <c r="Q326" s="719"/>
      <c r="R326" s="137"/>
    </row>
    <row r="327" spans="1:18" s="74" customFormat="1" ht="15">
      <c r="A327" s="224">
        <v>319</v>
      </c>
      <c r="B327" s="1496"/>
      <c r="C327" s="1497"/>
      <c r="D327" s="458" t="s">
        <v>1067</v>
      </c>
      <c r="E327" s="707"/>
      <c r="F327" s="383"/>
      <c r="G327" s="383"/>
      <c r="H327" s="383"/>
      <c r="I327" s="711">
        <f>SUM(J327:Q327)</f>
        <v>4200</v>
      </c>
      <c r="J327" s="74">
        <f aca="true" t="shared" si="72" ref="J327:Q327">SUM(J325:J326)</f>
        <v>0</v>
      </c>
      <c r="K327" s="74">
        <f t="shared" si="72"/>
        <v>0</v>
      </c>
      <c r="L327" s="74">
        <f t="shared" si="72"/>
        <v>4200</v>
      </c>
      <c r="M327" s="74">
        <f t="shared" si="72"/>
        <v>0</v>
      </c>
      <c r="N327" s="74">
        <f t="shared" si="72"/>
        <v>0</v>
      </c>
      <c r="O327" s="74">
        <f t="shared" si="72"/>
        <v>0</v>
      </c>
      <c r="P327" s="74">
        <f t="shared" si="72"/>
        <v>0</v>
      </c>
      <c r="Q327" s="75">
        <f t="shared" si="72"/>
        <v>0</v>
      </c>
      <c r="R327" s="228"/>
    </row>
    <row r="328" spans="1:18" s="133" customFormat="1" ht="15">
      <c r="A328" s="224">
        <v>320</v>
      </c>
      <c r="B328" s="134"/>
      <c r="C328" s="135">
        <v>8</v>
      </c>
      <c r="D328" s="1491" t="s">
        <v>857</v>
      </c>
      <c r="E328" s="700"/>
      <c r="F328" s="340">
        <v>9451</v>
      </c>
      <c r="G328" s="340">
        <v>0</v>
      </c>
      <c r="H328" s="340">
        <v>417</v>
      </c>
      <c r="I328" s="660"/>
      <c r="J328" s="228"/>
      <c r="K328" s="228"/>
      <c r="L328" s="228"/>
      <c r="M328" s="228"/>
      <c r="N328" s="228"/>
      <c r="O328" s="228"/>
      <c r="P328" s="228"/>
      <c r="Q328" s="111"/>
      <c r="R328" s="133">
        <f>(SUM(J329:Q329))-I329</f>
        <v>0</v>
      </c>
    </row>
    <row r="329" spans="1:18" s="846" customFormat="1" ht="15">
      <c r="A329" s="224">
        <v>321</v>
      </c>
      <c r="B329" s="837"/>
      <c r="C329" s="838"/>
      <c r="D329" s="863" t="s">
        <v>403</v>
      </c>
      <c r="E329" s="851"/>
      <c r="F329" s="852"/>
      <c r="G329" s="852"/>
      <c r="H329" s="852"/>
      <c r="I329" s="853">
        <f>SUM(J329:Q329)</f>
        <v>0</v>
      </c>
      <c r="J329" s="840"/>
      <c r="K329" s="840"/>
      <c r="L329" s="840"/>
      <c r="M329" s="841"/>
      <c r="N329" s="841"/>
      <c r="O329" s="841"/>
      <c r="P329" s="841"/>
      <c r="Q329" s="864"/>
      <c r="R329" s="840"/>
    </row>
    <row r="330" spans="1:18" s="71" customFormat="1" ht="15">
      <c r="A330" s="224">
        <v>322</v>
      </c>
      <c r="B330" s="73"/>
      <c r="C330" s="76"/>
      <c r="D330" s="1491" t="s">
        <v>957</v>
      </c>
      <c r="E330" s="705"/>
      <c r="F330" s="382"/>
      <c r="G330" s="382"/>
      <c r="H330" s="382"/>
      <c r="I330" s="660">
        <f>SUM(J330:Q330)</f>
        <v>0</v>
      </c>
      <c r="J330" s="136"/>
      <c r="K330" s="136"/>
      <c r="L330" s="136"/>
      <c r="M330" s="137"/>
      <c r="N330" s="137"/>
      <c r="O330" s="137"/>
      <c r="P330" s="137"/>
      <c r="Q330" s="307"/>
      <c r="R330" s="136"/>
    </row>
    <row r="331" spans="1:18" s="72" customFormat="1" ht="15">
      <c r="A331" s="224">
        <v>323</v>
      </c>
      <c r="B331" s="132"/>
      <c r="C331" s="227"/>
      <c r="D331" s="457" t="s">
        <v>74</v>
      </c>
      <c r="E331" s="396"/>
      <c r="F331" s="386"/>
      <c r="G331" s="386"/>
      <c r="H331" s="386"/>
      <c r="I331" s="706">
        <f>SUM(J331:Q331)</f>
        <v>0</v>
      </c>
      <c r="J331" s="460"/>
      <c r="K331" s="460"/>
      <c r="L331" s="460"/>
      <c r="M331" s="460"/>
      <c r="N331" s="460"/>
      <c r="O331" s="460"/>
      <c r="P331" s="460"/>
      <c r="Q331" s="719"/>
      <c r="R331" s="137"/>
    </row>
    <row r="332" spans="1:19" s="74" customFormat="1" ht="15">
      <c r="A332" s="224">
        <v>324</v>
      </c>
      <c r="B332" s="1496"/>
      <c r="C332" s="1497"/>
      <c r="D332" s="458" t="s">
        <v>1067</v>
      </c>
      <c r="E332" s="707"/>
      <c r="F332" s="383"/>
      <c r="G332" s="383"/>
      <c r="H332" s="383"/>
      <c r="I332" s="711">
        <f>SUM(J332:Q332)</f>
        <v>0</v>
      </c>
      <c r="J332" s="74">
        <f>SUM(J330:J331)</f>
        <v>0</v>
      </c>
      <c r="K332" s="74">
        <f aca="true" t="shared" si="73" ref="K332:S332">SUM(K330:K331)</f>
        <v>0</v>
      </c>
      <c r="L332" s="74">
        <f t="shared" si="73"/>
        <v>0</v>
      </c>
      <c r="M332" s="74">
        <f t="shared" si="73"/>
        <v>0</v>
      </c>
      <c r="N332" s="74">
        <f t="shared" si="73"/>
        <v>0</v>
      </c>
      <c r="O332" s="74">
        <f t="shared" si="73"/>
        <v>0</v>
      </c>
      <c r="P332" s="74">
        <f t="shared" si="73"/>
        <v>0</v>
      </c>
      <c r="Q332" s="75">
        <f t="shared" si="73"/>
        <v>0</v>
      </c>
      <c r="R332" s="74">
        <f t="shared" si="73"/>
        <v>0</v>
      </c>
      <c r="S332" s="74">
        <f t="shared" si="73"/>
        <v>0</v>
      </c>
    </row>
    <row r="333" spans="1:18" s="133" customFormat="1" ht="31.5" customHeight="1">
      <c r="A333" s="993">
        <v>325</v>
      </c>
      <c r="B333" s="73"/>
      <c r="C333" s="76">
        <v>9</v>
      </c>
      <c r="D333" s="1491" t="s">
        <v>220</v>
      </c>
      <c r="E333" s="700"/>
      <c r="F333" s="340">
        <v>5609</v>
      </c>
      <c r="G333" s="340">
        <v>0</v>
      </c>
      <c r="H333" s="340">
        <v>3247</v>
      </c>
      <c r="I333" s="660"/>
      <c r="J333" s="228"/>
      <c r="K333" s="228"/>
      <c r="L333" s="228"/>
      <c r="M333" s="228"/>
      <c r="N333" s="228"/>
      <c r="O333" s="228"/>
      <c r="P333" s="228"/>
      <c r="Q333" s="111"/>
      <c r="R333" s="133">
        <f>(SUM(J334:Q334))-I334</f>
        <v>0</v>
      </c>
    </row>
    <row r="334" spans="1:18" s="846" customFormat="1" ht="15">
      <c r="A334" s="224">
        <v>326</v>
      </c>
      <c r="B334" s="837"/>
      <c r="C334" s="838"/>
      <c r="D334" s="863" t="s">
        <v>403</v>
      </c>
      <c r="E334" s="851"/>
      <c r="F334" s="852"/>
      <c r="G334" s="852"/>
      <c r="H334" s="852"/>
      <c r="I334" s="853">
        <f>SUM(J334:Q334)</f>
        <v>0</v>
      </c>
      <c r="J334" s="840"/>
      <c r="K334" s="840"/>
      <c r="L334" s="840"/>
      <c r="M334" s="841"/>
      <c r="N334" s="841"/>
      <c r="O334" s="841"/>
      <c r="P334" s="841"/>
      <c r="Q334" s="864"/>
      <c r="R334" s="840"/>
    </row>
    <row r="335" spans="1:18" s="71" customFormat="1" ht="15">
      <c r="A335" s="224">
        <v>327</v>
      </c>
      <c r="B335" s="73"/>
      <c r="C335" s="76"/>
      <c r="D335" s="1491" t="s">
        <v>957</v>
      </c>
      <c r="E335" s="705"/>
      <c r="F335" s="382"/>
      <c r="G335" s="382"/>
      <c r="H335" s="382"/>
      <c r="I335" s="660">
        <f>SUM(J335:Q335)</f>
        <v>0</v>
      </c>
      <c r="J335" s="136"/>
      <c r="K335" s="136"/>
      <c r="L335" s="136"/>
      <c r="M335" s="137"/>
      <c r="N335" s="137"/>
      <c r="O335" s="137"/>
      <c r="P335" s="137"/>
      <c r="Q335" s="307"/>
      <c r="R335" s="136"/>
    </row>
    <row r="336" spans="1:18" s="72" customFormat="1" ht="15">
      <c r="A336" s="224">
        <v>328</v>
      </c>
      <c r="B336" s="132"/>
      <c r="C336" s="227"/>
      <c r="D336" s="457" t="s">
        <v>74</v>
      </c>
      <c r="E336" s="396"/>
      <c r="F336" s="386"/>
      <c r="G336" s="386"/>
      <c r="H336" s="386"/>
      <c r="I336" s="706">
        <f>SUM(J336:Q336)</f>
        <v>0</v>
      </c>
      <c r="J336" s="460"/>
      <c r="K336" s="460"/>
      <c r="L336" s="460"/>
      <c r="M336" s="460"/>
      <c r="N336" s="460"/>
      <c r="O336" s="460"/>
      <c r="P336" s="460"/>
      <c r="Q336" s="719"/>
      <c r="R336" s="137"/>
    </row>
    <row r="337" spans="1:18" s="74" customFormat="1" ht="15">
      <c r="A337" s="224">
        <v>329</v>
      </c>
      <c r="B337" s="1496"/>
      <c r="C337" s="1497"/>
      <c r="D337" s="458" t="s">
        <v>1067</v>
      </c>
      <c r="E337" s="707"/>
      <c r="F337" s="383"/>
      <c r="G337" s="383"/>
      <c r="H337" s="383"/>
      <c r="I337" s="711">
        <f>SUM(J337:Q337)</f>
        <v>0</v>
      </c>
      <c r="J337" s="74">
        <f>SUM(J335:J336)</f>
        <v>0</v>
      </c>
      <c r="K337" s="74">
        <f aca="true" t="shared" si="74" ref="K337:Q337">SUM(K335:K336)</f>
        <v>0</v>
      </c>
      <c r="L337" s="74">
        <f t="shared" si="74"/>
        <v>0</v>
      </c>
      <c r="M337" s="74">
        <f t="shared" si="74"/>
        <v>0</v>
      </c>
      <c r="N337" s="74">
        <f t="shared" si="74"/>
        <v>0</v>
      </c>
      <c r="O337" s="74">
        <f t="shared" si="74"/>
        <v>0</v>
      </c>
      <c r="P337" s="74">
        <f t="shared" si="74"/>
        <v>0</v>
      </c>
      <c r="Q337" s="75">
        <f t="shared" si="74"/>
        <v>0</v>
      </c>
      <c r="R337" s="228"/>
    </row>
    <row r="338" spans="1:18" s="133" customFormat="1" ht="31.5" customHeight="1">
      <c r="A338" s="993">
        <v>330</v>
      </c>
      <c r="B338" s="73"/>
      <c r="C338" s="76">
        <v>10</v>
      </c>
      <c r="D338" s="1491" t="s">
        <v>221</v>
      </c>
      <c r="E338" s="700"/>
      <c r="F338" s="340">
        <v>1897</v>
      </c>
      <c r="G338" s="340">
        <v>0</v>
      </c>
      <c r="H338" s="340">
        <v>0</v>
      </c>
      <c r="I338" s="660"/>
      <c r="J338" s="228"/>
      <c r="K338" s="228"/>
      <c r="L338" s="228"/>
      <c r="M338" s="228"/>
      <c r="N338" s="228"/>
      <c r="O338" s="228"/>
      <c r="P338" s="228"/>
      <c r="Q338" s="111"/>
      <c r="R338" s="133">
        <f>(SUM(J339:Q339))-I339</f>
        <v>0</v>
      </c>
    </row>
    <row r="339" spans="1:18" s="846" customFormat="1" ht="15">
      <c r="A339" s="224">
        <v>331</v>
      </c>
      <c r="B339" s="837"/>
      <c r="C339" s="838"/>
      <c r="D339" s="863" t="s">
        <v>403</v>
      </c>
      <c r="E339" s="851"/>
      <c r="F339" s="852"/>
      <c r="G339" s="852"/>
      <c r="H339" s="852"/>
      <c r="I339" s="853">
        <f>SUM(J339:Q339)</f>
        <v>0</v>
      </c>
      <c r="J339" s="840"/>
      <c r="K339" s="840"/>
      <c r="L339" s="840"/>
      <c r="M339" s="841"/>
      <c r="N339" s="841"/>
      <c r="O339" s="841"/>
      <c r="P339" s="841"/>
      <c r="Q339" s="864"/>
      <c r="R339" s="840"/>
    </row>
    <row r="340" spans="1:18" s="71" customFormat="1" ht="15">
      <c r="A340" s="224">
        <v>332</v>
      </c>
      <c r="B340" s="73"/>
      <c r="C340" s="76"/>
      <c r="D340" s="1491" t="s">
        <v>957</v>
      </c>
      <c r="E340" s="705"/>
      <c r="F340" s="382"/>
      <c r="G340" s="382"/>
      <c r="H340" s="382"/>
      <c r="I340" s="660">
        <f>SUM(J340:Q340)</f>
        <v>0</v>
      </c>
      <c r="J340" s="136"/>
      <c r="K340" s="136"/>
      <c r="L340" s="136"/>
      <c r="M340" s="137"/>
      <c r="N340" s="137"/>
      <c r="O340" s="137"/>
      <c r="P340" s="137"/>
      <c r="Q340" s="307"/>
      <c r="R340" s="136"/>
    </row>
    <row r="341" spans="1:18" s="72" customFormat="1" ht="15">
      <c r="A341" s="224">
        <v>333</v>
      </c>
      <c r="B341" s="132"/>
      <c r="C341" s="227"/>
      <c r="D341" s="457" t="s">
        <v>74</v>
      </c>
      <c r="E341" s="396"/>
      <c r="F341" s="386"/>
      <c r="G341" s="386"/>
      <c r="H341" s="386"/>
      <c r="I341" s="706">
        <f>SUM(J341:Q341)</f>
        <v>0</v>
      </c>
      <c r="J341" s="460"/>
      <c r="K341" s="460"/>
      <c r="L341" s="460"/>
      <c r="M341" s="460"/>
      <c r="N341" s="460"/>
      <c r="O341" s="460"/>
      <c r="P341" s="460"/>
      <c r="Q341" s="719"/>
      <c r="R341" s="137"/>
    </row>
    <row r="342" spans="1:19" s="74" customFormat="1" ht="15">
      <c r="A342" s="224">
        <v>334</v>
      </c>
      <c r="B342" s="1496"/>
      <c r="C342" s="1497"/>
      <c r="D342" s="458" t="s">
        <v>1067</v>
      </c>
      <c r="E342" s="707"/>
      <c r="F342" s="383"/>
      <c r="G342" s="383"/>
      <c r="H342" s="383"/>
      <c r="I342" s="711">
        <f>SUM(J342:Q342)</f>
        <v>0</v>
      </c>
      <c r="J342" s="74">
        <f>SUM(J340:J341)</f>
        <v>0</v>
      </c>
      <c r="K342" s="74">
        <f aca="true" t="shared" si="75" ref="K342:S342">SUM(K340:K341)</f>
        <v>0</v>
      </c>
      <c r="L342" s="74">
        <f t="shared" si="75"/>
        <v>0</v>
      </c>
      <c r="M342" s="74">
        <f t="shared" si="75"/>
        <v>0</v>
      </c>
      <c r="N342" s="74">
        <f t="shared" si="75"/>
        <v>0</v>
      </c>
      <c r="O342" s="74">
        <f t="shared" si="75"/>
        <v>0</v>
      </c>
      <c r="P342" s="74">
        <f t="shared" si="75"/>
        <v>0</v>
      </c>
      <c r="Q342" s="75">
        <f t="shared" si="75"/>
        <v>0</v>
      </c>
      <c r="R342" s="74">
        <f t="shared" si="75"/>
        <v>0</v>
      </c>
      <c r="S342" s="74">
        <f t="shared" si="75"/>
        <v>0</v>
      </c>
    </row>
    <row r="343" spans="1:18" s="133" customFormat="1" ht="31.5" customHeight="1">
      <c r="A343" s="993">
        <v>335</v>
      </c>
      <c r="B343" s="73"/>
      <c r="C343" s="76">
        <v>11</v>
      </c>
      <c r="D343" s="1491" t="s">
        <v>222</v>
      </c>
      <c r="E343" s="700"/>
      <c r="F343" s="340"/>
      <c r="G343" s="340"/>
      <c r="H343" s="340">
        <v>3560</v>
      </c>
      <c r="I343" s="660"/>
      <c r="J343" s="228"/>
      <c r="K343" s="228"/>
      <c r="L343" s="228"/>
      <c r="M343" s="228"/>
      <c r="N343" s="228"/>
      <c r="O343" s="228"/>
      <c r="P343" s="228"/>
      <c r="Q343" s="111"/>
      <c r="R343" s="133">
        <f>(SUM(J344:Q344))-I344</f>
        <v>0</v>
      </c>
    </row>
    <row r="344" spans="1:18" s="846" customFormat="1" ht="15">
      <c r="A344" s="224">
        <v>336</v>
      </c>
      <c r="B344" s="837"/>
      <c r="C344" s="838"/>
      <c r="D344" s="863" t="s">
        <v>403</v>
      </c>
      <c r="E344" s="851"/>
      <c r="F344" s="852"/>
      <c r="G344" s="852"/>
      <c r="H344" s="852"/>
      <c r="I344" s="853">
        <f>SUM(J344:Q344)</f>
        <v>0</v>
      </c>
      <c r="J344" s="840"/>
      <c r="K344" s="840"/>
      <c r="L344" s="840"/>
      <c r="M344" s="841"/>
      <c r="N344" s="841"/>
      <c r="O344" s="841"/>
      <c r="P344" s="841"/>
      <c r="Q344" s="864"/>
      <c r="R344" s="840"/>
    </row>
    <row r="345" spans="1:18" s="71" customFormat="1" ht="15">
      <c r="A345" s="224">
        <v>337</v>
      </c>
      <c r="B345" s="73"/>
      <c r="C345" s="76"/>
      <c r="D345" s="1491" t="s">
        <v>957</v>
      </c>
      <c r="E345" s="705"/>
      <c r="F345" s="382"/>
      <c r="G345" s="382"/>
      <c r="H345" s="382"/>
      <c r="I345" s="660">
        <f>SUM(J345:Q345)</f>
        <v>5934</v>
      </c>
      <c r="J345" s="136">
        <v>4672</v>
      </c>
      <c r="K345" s="136">
        <v>1262</v>
      </c>
      <c r="L345" s="136"/>
      <c r="M345" s="137"/>
      <c r="N345" s="137"/>
      <c r="O345" s="137"/>
      <c r="P345" s="137"/>
      <c r="Q345" s="307"/>
      <c r="R345" s="136"/>
    </row>
    <row r="346" spans="1:18" s="72" customFormat="1" ht="15">
      <c r="A346" s="224">
        <v>338</v>
      </c>
      <c r="B346" s="132"/>
      <c r="C346" s="227"/>
      <c r="D346" s="457" t="s">
        <v>405</v>
      </c>
      <c r="E346" s="396"/>
      <c r="F346" s="386"/>
      <c r="G346" s="386"/>
      <c r="H346" s="386"/>
      <c r="I346" s="706">
        <f>SUM(J346:Q346)</f>
        <v>0</v>
      </c>
      <c r="J346" s="460"/>
      <c r="K346" s="460"/>
      <c r="L346" s="460"/>
      <c r="M346" s="460"/>
      <c r="N346" s="460"/>
      <c r="O346" s="460"/>
      <c r="P346" s="460"/>
      <c r="Q346" s="719"/>
      <c r="R346" s="137"/>
    </row>
    <row r="347" spans="1:19" s="74" customFormat="1" ht="15">
      <c r="A347" s="224">
        <v>339</v>
      </c>
      <c r="B347" s="1496"/>
      <c r="C347" s="1497"/>
      <c r="D347" s="458" t="s">
        <v>1067</v>
      </c>
      <c r="E347" s="707"/>
      <c r="F347" s="383"/>
      <c r="G347" s="383"/>
      <c r="H347" s="383"/>
      <c r="I347" s="711">
        <f>SUM(J347:Q347)</f>
        <v>5934</v>
      </c>
      <c r="J347" s="74">
        <f>SUM(J345:J346)</f>
        <v>4672</v>
      </c>
      <c r="K347" s="74">
        <f aca="true" t="shared" si="76" ref="K347:S347">SUM(K345:K346)</f>
        <v>1262</v>
      </c>
      <c r="L347" s="74">
        <f t="shared" si="76"/>
        <v>0</v>
      </c>
      <c r="M347" s="74">
        <f t="shared" si="76"/>
        <v>0</v>
      </c>
      <c r="N347" s="74">
        <f t="shared" si="76"/>
        <v>0</v>
      </c>
      <c r="O347" s="74">
        <f t="shared" si="76"/>
        <v>0</v>
      </c>
      <c r="P347" s="74">
        <f t="shared" si="76"/>
        <v>0</v>
      </c>
      <c r="Q347" s="75">
        <f t="shared" si="76"/>
        <v>0</v>
      </c>
      <c r="R347" s="74">
        <f t="shared" si="76"/>
        <v>0</v>
      </c>
      <c r="S347" s="74">
        <f t="shared" si="76"/>
        <v>0</v>
      </c>
    </row>
    <row r="348" spans="1:18" s="133" customFormat="1" ht="31.5" customHeight="1">
      <c r="A348" s="993">
        <v>340</v>
      </c>
      <c r="B348" s="73"/>
      <c r="C348" s="76">
        <v>12</v>
      </c>
      <c r="D348" s="1491" t="s">
        <v>223</v>
      </c>
      <c r="E348" s="700"/>
      <c r="F348" s="340"/>
      <c r="G348" s="340"/>
      <c r="H348" s="340">
        <v>584</v>
      </c>
      <c r="I348" s="660"/>
      <c r="J348" s="228"/>
      <c r="K348" s="228"/>
      <c r="L348" s="228"/>
      <c r="M348" s="228"/>
      <c r="N348" s="228"/>
      <c r="O348" s="228"/>
      <c r="P348" s="228"/>
      <c r="Q348" s="111"/>
      <c r="R348" s="133">
        <f>(SUM(J349:Q349))-I349</f>
        <v>0</v>
      </c>
    </row>
    <row r="349" spans="1:18" s="846" customFormat="1" ht="15">
      <c r="A349" s="224">
        <v>341</v>
      </c>
      <c r="B349" s="837"/>
      <c r="C349" s="838"/>
      <c r="D349" s="863" t="s">
        <v>403</v>
      </c>
      <c r="E349" s="851"/>
      <c r="F349" s="852"/>
      <c r="G349" s="852"/>
      <c r="H349" s="852"/>
      <c r="I349" s="853">
        <f>SUM(J349:Q349)</f>
        <v>0</v>
      </c>
      <c r="J349" s="840"/>
      <c r="K349" s="840"/>
      <c r="L349" s="840"/>
      <c r="M349" s="841"/>
      <c r="N349" s="841"/>
      <c r="O349" s="841"/>
      <c r="P349" s="841"/>
      <c r="Q349" s="864"/>
      <c r="R349" s="840"/>
    </row>
    <row r="350" spans="1:18" s="71" customFormat="1" ht="15">
      <c r="A350" s="224">
        <v>342</v>
      </c>
      <c r="B350" s="73"/>
      <c r="C350" s="76"/>
      <c r="D350" s="1491" t="s">
        <v>957</v>
      </c>
      <c r="E350" s="705"/>
      <c r="F350" s="382"/>
      <c r="G350" s="382"/>
      <c r="H350" s="382"/>
      <c r="I350" s="660">
        <f>SUM(J350:Q350)</f>
        <v>1192</v>
      </c>
      <c r="J350" s="136">
        <v>959</v>
      </c>
      <c r="K350" s="136">
        <v>233</v>
      </c>
      <c r="L350" s="136"/>
      <c r="M350" s="137"/>
      <c r="N350" s="137"/>
      <c r="O350" s="137"/>
      <c r="P350" s="137"/>
      <c r="Q350" s="307"/>
      <c r="R350" s="136"/>
    </row>
    <row r="351" spans="1:18" s="72" customFormat="1" ht="15">
      <c r="A351" s="224">
        <v>343</v>
      </c>
      <c r="B351" s="132"/>
      <c r="C351" s="227"/>
      <c r="D351" s="457" t="s">
        <v>1082</v>
      </c>
      <c r="E351" s="396"/>
      <c r="F351" s="386"/>
      <c r="G351" s="386"/>
      <c r="H351" s="386"/>
      <c r="I351" s="706">
        <f>SUM(J351:Q351)</f>
        <v>-1046</v>
      </c>
      <c r="J351" s="460">
        <v>-842</v>
      </c>
      <c r="K351" s="460">
        <v>-204</v>
      </c>
      <c r="L351" s="460"/>
      <c r="M351" s="460"/>
      <c r="N351" s="460"/>
      <c r="O351" s="460"/>
      <c r="P351" s="460"/>
      <c r="Q351" s="719"/>
      <c r="R351" s="137"/>
    </row>
    <row r="352" spans="1:18" s="74" customFormat="1" ht="15">
      <c r="A352" s="224">
        <v>344</v>
      </c>
      <c r="B352" s="1496"/>
      <c r="C352" s="1497"/>
      <c r="D352" s="458" t="s">
        <v>1067</v>
      </c>
      <c r="E352" s="707"/>
      <c r="F352" s="383"/>
      <c r="G352" s="383"/>
      <c r="H352" s="383"/>
      <c r="I352" s="711">
        <f>SUM(J352:Q352)</f>
        <v>146</v>
      </c>
      <c r="J352" s="74">
        <f>SUM(J350:J351)</f>
        <v>117</v>
      </c>
      <c r="K352" s="74">
        <f aca="true" t="shared" si="77" ref="K352:Q352">SUM(K350:K351)</f>
        <v>29</v>
      </c>
      <c r="L352" s="74">
        <f t="shared" si="77"/>
        <v>0</v>
      </c>
      <c r="M352" s="74">
        <f t="shared" si="77"/>
        <v>0</v>
      </c>
      <c r="N352" s="74">
        <f t="shared" si="77"/>
        <v>0</v>
      </c>
      <c r="O352" s="74">
        <f t="shared" si="77"/>
        <v>0</v>
      </c>
      <c r="P352" s="74">
        <f t="shared" si="77"/>
        <v>0</v>
      </c>
      <c r="Q352" s="75">
        <f t="shared" si="77"/>
        <v>0</v>
      </c>
      <c r="R352" s="228"/>
    </row>
    <row r="353" spans="1:18" s="133" customFormat="1" ht="36" customHeight="1">
      <c r="A353" s="993">
        <v>345</v>
      </c>
      <c r="B353" s="73"/>
      <c r="C353" s="76">
        <v>13</v>
      </c>
      <c r="D353" s="1491" t="s">
        <v>224</v>
      </c>
      <c r="E353" s="700"/>
      <c r="F353" s="340"/>
      <c r="G353" s="340"/>
      <c r="H353" s="340">
        <v>999</v>
      </c>
      <c r="I353" s="660"/>
      <c r="J353" s="228"/>
      <c r="K353" s="228"/>
      <c r="L353" s="228"/>
      <c r="M353" s="228"/>
      <c r="N353" s="228"/>
      <c r="O353" s="228"/>
      <c r="P353" s="228"/>
      <c r="Q353" s="111"/>
      <c r="R353" s="133">
        <f>(SUM(J354:Q354))-I354</f>
        <v>0</v>
      </c>
    </row>
    <row r="354" spans="1:18" s="846" customFormat="1" ht="15">
      <c r="A354" s="224">
        <v>346</v>
      </c>
      <c r="B354" s="837"/>
      <c r="C354" s="838"/>
      <c r="D354" s="863" t="s">
        <v>403</v>
      </c>
      <c r="E354" s="851"/>
      <c r="F354" s="852"/>
      <c r="G354" s="852"/>
      <c r="H354" s="852"/>
      <c r="I354" s="853">
        <f>SUM(J354:Q354)</f>
        <v>0</v>
      </c>
      <c r="J354" s="840"/>
      <c r="K354" s="840"/>
      <c r="L354" s="840"/>
      <c r="M354" s="841"/>
      <c r="N354" s="841"/>
      <c r="O354" s="841"/>
      <c r="P354" s="841"/>
      <c r="Q354" s="864"/>
      <c r="R354" s="840"/>
    </row>
    <row r="355" spans="1:18" s="71" customFormat="1" ht="15">
      <c r="A355" s="224">
        <v>347</v>
      </c>
      <c r="B355" s="73"/>
      <c r="C355" s="76"/>
      <c r="D355" s="1491" t="s">
        <v>957</v>
      </c>
      <c r="E355" s="705"/>
      <c r="F355" s="382"/>
      <c r="G355" s="382"/>
      <c r="H355" s="382"/>
      <c r="I355" s="660">
        <f>SUM(J355:Q355)</f>
        <v>1090</v>
      </c>
      <c r="J355" s="136">
        <v>858</v>
      </c>
      <c r="K355" s="136">
        <v>232</v>
      </c>
      <c r="L355" s="136"/>
      <c r="M355" s="137"/>
      <c r="N355" s="137"/>
      <c r="O355" s="137"/>
      <c r="P355" s="137"/>
      <c r="Q355" s="307"/>
      <c r="R355" s="136"/>
    </row>
    <row r="356" spans="1:18" s="72" customFormat="1" ht="15">
      <c r="A356" s="224">
        <v>348</v>
      </c>
      <c r="B356" s="132"/>
      <c r="C356" s="227"/>
      <c r="D356" s="457" t="s">
        <v>1082</v>
      </c>
      <c r="E356" s="396"/>
      <c r="F356" s="386"/>
      <c r="G356" s="386"/>
      <c r="H356" s="386"/>
      <c r="I356" s="706">
        <f>SUM(J356:Q356)</f>
        <v>269</v>
      </c>
      <c r="J356" s="460">
        <v>212</v>
      </c>
      <c r="K356" s="460">
        <v>57</v>
      </c>
      <c r="L356" s="460"/>
      <c r="M356" s="460"/>
      <c r="N356" s="460"/>
      <c r="O356" s="460"/>
      <c r="P356" s="460"/>
      <c r="Q356" s="719"/>
      <c r="R356" s="137"/>
    </row>
    <row r="357" spans="1:19" s="74" customFormat="1" ht="15">
      <c r="A357" s="224">
        <v>349</v>
      </c>
      <c r="B357" s="1496"/>
      <c r="C357" s="1497"/>
      <c r="D357" s="458" t="s">
        <v>1067</v>
      </c>
      <c r="E357" s="707"/>
      <c r="F357" s="383"/>
      <c r="G357" s="383"/>
      <c r="H357" s="383"/>
      <c r="I357" s="711">
        <f>SUM(J357:Q357)</f>
        <v>1359</v>
      </c>
      <c r="J357" s="74">
        <f>SUM(J355:J356)</f>
        <v>1070</v>
      </c>
      <c r="K357" s="74">
        <f aca="true" t="shared" si="78" ref="K357:S357">SUM(K355:K356)</f>
        <v>289</v>
      </c>
      <c r="L357" s="74">
        <f t="shared" si="78"/>
        <v>0</v>
      </c>
      <c r="M357" s="74">
        <f t="shared" si="78"/>
        <v>0</v>
      </c>
      <c r="N357" s="74">
        <f t="shared" si="78"/>
        <v>0</v>
      </c>
      <c r="O357" s="74">
        <f t="shared" si="78"/>
        <v>0</v>
      </c>
      <c r="P357" s="74">
        <f t="shared" si="78"/>
        <v>0</v>
      </c>
      <c r="Q357" s="75">
        <f t="shared" si="78"/>
        <v>0</v>
      </c>
      <c r="R357" s="74">
        <f t="shared" si="78"/>
        <v>0</v>
      </c>
      <c r="S357" s="74">
        <f t="shared" si="78"/>
        <v>0</v>
      </c>
    </row>
    <row r="358" spans="1:18" s="133" customFormat="1" ht="30" customHeight="1">
      <c r="A358" s="993">
        <v>350</v>
      </c>
      <c r="B358" s="73"/>
      <c r="C358" s="76">
        <v>14</v>
      </c>
      <c r="D358" s="1637" t="s">
        <v>225</v>
      </c>
      <c r="E358" s="1637"/>
      <c r="F358" s="1637"/>
      <c r="G358" s="1637"/>
      <c r="H358" s="340">
        <v>909</v>
      </c>
      <c r="I358" s="660"/>
      <c r="J358" s="228"/>
      <c r="K358" s="228"/>
      <c r="L358" s="228"/>
      <c r="M358" s="228"/>
      <c r="N358" s="228"/>
      <c r="O358" s="228"/>
      <c r="P358" s="228"/>
      <c r="Q358" s="111"/>
      <c r="R358" s="133">
        <f>(SUM(J359:Q359))-I359</f>
        <v>0</v>
      </c>
    </row>
    <row r="359" spans="1:18" s="846" customFormat="1" ht="15">
      <c r="A359" s="224">
        <v>351</v>
      </c>
      <c r="B359" s="837"/>
      <c r="C359" s="838"/>
      <c r="D359" s="863" t="s">
        <v>403</v>
      </c>
      <c r="E359" s="851"/>
      <c r="F359" s="852"/>
      <c r="G359" s="852"/>
      <c r="H359" s="852"/>
      <c r="I359" s="853">
        <f>SUM(J359:Q359)</f>
        <v>0</v>
      </c>
      <c r="J359" s="840"/>
      <c r="K359" s="840"/>
      <c r="L359" s="840"/>
      <c r="M359" s="841"/>
      <c r="N359" s="841"/>
      <c r="O359" s="841"/>
      <c r="P359" s="841"/>
      <c r="Q359" s="864"/>
      <c r="R359" s="840"/>
    </row>
    <row r="360" spans="1:18" s="71" customFormat="1" ht="15">
      <c r="A360" s="224">
        <v>352</v>
      </c>
      <c r="B360" s="73"/>
      <c r="C360" s="76"/>
      <c r="D360" s="1491" t="s">
        <v>957</v>
      </c>
      <c r="E360" s="705"/>
      <c r="F360" s="382"/>
      <c r="G360" s="382"/>
      <c r="H360" s="382"/>
      <c r="I360" s="660">
        <f>SUM(J360:Q360)</f>
        <v>2902</v>
      </c>
      <c r="J360" s="136">
        <v>2285</v>
      </c>
      <c r="K360" s="136">
        <v>617</v>
      </c>
      <c r="L360" s="136"/>
      <c r="M360" s="137"/>
      <c r="N360" s="137"/>
      <c r="O360" s="137"/>
      <c r="P360" s="137"/>
      <c r="Q360" s="307"/>
      <c r="R360" s="136"/>
    </row>
    <row r="361" spans="1:18" s="72" customFormat="1" ht="15">
      <c r="A361" s="224">
        <v>353</v>
      </c>
      <c r="B361" s="132"/>
      <c r="C361" s="227"/>
      <c r="D361" s="457" t="s">
        <v>405</v>
      </c>
      <c r="E361" s="396"/>
      <c r="F361" s="386"/>
      <c r="G361" s="386"/>
      <c r="H361" s="386"/>
      <c r="I361" s="706">
        <f>SUM(J361:Q361)</f>
        <v>0</v>
      </c>
      <c r="J361" s="460"/>
      <c r="K361" s="460"/>
      <c r="L361" s="460"/>
      <c r="M361" s="460"/>
      <c r="N361" s="460"/>
      <c r="O361" s="460"/>
      <c r="P361" s="460"/>
      <c r="Q361" s="719"/>
      <c r="R361" s="137"/>
    </row>
    <row r="362" spans="1:19" s="74" customFormat="1" ht="15">
      <c r="A362" s="224">
        <v>354</v>
      </c>
      <c r="B362" s="1496"/>
      <c r="C362" s="1497"/>
      <c r="D362" s="458" t="s">
        <v>1067</v>
      </c>
      <c r="E362" s="707"/>
      <c r="F362" s="383"/>
      <c r="G362" s="383"/>
      <c r="H362" s="383"/>
      <c r="I362" s="711">
        <f>SUM(J362:Q362)</f>
        <v>2902</v>
      </c>
      <c r="J362" s="74">
        <f>SUM(J360:J361)</f>
        <v>2285</v>
      </c>
      <c r="K362" s="74">
        <f aca="true" t="shared" si="79" ref="K362:S362">SUM(K360:K361)</f>
        <v>617</v>
      </c>
      <c r="L362" s="74">
        <f t="shared" si="79"/>
        <v>0</v>
      </c>
      <c r="M362" s="74">
        <f t="shared" si="79"/>
        <v>0</v>
      </c>
      <c r="N362" s="74">
        <f t="shared" si="79"/>
        <v>0</v>
      </c>
      <c r="O362" s="74">
        <f t="shared" si="79"/>
        <v>0</v>
      </c>
      <c r="P362" s="74">
        <f t="shared" si="79"/>
        <v>0</v>
      </c>
      <c r="Q362" s="75">
        <f t="shared" si="79"/>
        <v>0</v>
      </c>
      <c r="R362" s="74">
        <f t="shared" si="79"/>
        <v>0</v>
      </c>
      <c r="S362" s="74">
        <f t="shared" si="79"/>
        <v>0</v>
      </c>
    </row>
    <row r="363" spans="1:17" s="133" customFormat="1" ht="36" customHeight="1">
      <c r="A363" s="993">
        <v>355</v>
      </c>
      <c r="B363" s="73"/>
      <c r="C363" s="76">
        <v>15</v>
      </c>
      <c r="D363" s="1491" t="s">
        <v>236</v>
      </c>
      <c r="E363" s="700"/>
      <c r="F363" s="340"/>
      <c r="G363" s="340"/>
      <c r="H363" s="340">
        <v>2105</v>
      </c>
      <c r="I363" s="660"/>
      <c r="J363" s="228"/>
      <c r="K363" s="228"/>
      <c r="L363" s="228"/>
      <c r="M363" s="228"/>
      <c r="N363" s="228"/>
      <c r="O363" s="228"/>
      <c r="P363" s="228"/>
      <c r="Q363" s="111"/>
    </row>
    <row r="364" spans="1:18" s="846" customFormat="1" ht="15">
      <c r="A364" s="224">
        <v>356</v>
      </c>
      <c r="B364" s="837"/>
      <c r="C364" s="838"/>
      <c r="D364" s="863" t="s">
        <v>403</v>
      </c>
      <c r="E364" s="851"/>
      <c r="F364" s="852"/>
      <c r="G364" s="852"/>
      <c r="H364" s="852"/>
      <c r="I364" s="853">
        <f>SUM(J364:Q364)</f>
        <v>0</v>
      </c>
      <c r="J364" s="840"/>
      <c r="K364" s="840"/>
      <c r="L364" s="840"/>
      <c r="M364" s="841"/>
      <c r="N364" s="841"/>
      <c r="O364" s="841"/>
      <c r="P364" s="841"/>
      <c r="Q364" s="864"/>
      <c r="R364" s="840"/>
    </row>
    <row r="365" spans="1:18" s="71" customFormat="1" ht="15">
      <c r="A365" s="224">
        <v>357</v>
      </c>
      <c r="B365" s="73"/>
      <c r="C365" s="76"/>
      <c r="D365" s="1491" t="s">
        <v>957</v>
      </c>
      <c r="E365" s="705"/>
      <c r="F365" s="382"/>
      <c r="G365" s="382"/>
      <c r="H365" s="382"/>
      <c r="I365" s="660">
        <f aca="true" t="shared" si="80" ref="I365:I371">SUM(J365:Q365)</f>
        <v>0</v>
      </c>
      <c r="J365" s="136"/>
      <c r="K365" s="136"/>
      <c r="L365" s="136"/>
      <c r="M365" s="137"/>
      <c r="N365" s="137"/>
      <c r="O365" s="137"/>
      <c r="P365" s="137"/>
      <c r="Q365" s="307"/>
      <c r="R365" s="136"/>
    </row>
    <row r="366" spans="1:18" s="72" customFormat="1" ht="15">
      <c r="A366" s="224">
        <v>358</v>
      </c>
      <c r="B366" s="132"/>
      <c r="C366" s="227"/>
      <c r="D366" s="457" t="s">
        <v>74</v>
      </c>
      <c r="E366" s="396"/>
      <c r="F366" s="386"/>
      <c r="G366" s="386"/>
      <c r="H366" s="386"/>
      <c r="I366" s="706">
        <f t="shared" si="80"/>
        <v>0</v>
      </c>
      <c r="J366" s="460"/>
      <c r="K366" s="460"/>
      <c r="L366" s="460"/>
      <c r="M366" s="460"/>
      <c r="N366" s="460"/>
      <c r="O366" s="460"/>
      <c r="P366" s="460"/>
      <c r="Q366" s="719"/>
      <c r="R366" s="137"/>
    </row>
    <row r="367" spans="1:18" s="74" customFormat="1" ht="15">
      <c r="A367" s="224">
        <v>359</v>
      </c>
      <c r="B367" s="1496"/>
      <c r="C367" s="1497"/>
      <c r="D367" s="458" t="s">
        <v>1067</v>
      </c>
      <c r="E367" s="707"/>
      <c r="F367" s="383"/>
      <c r="G367" s="383"/>
      <c r="H367" s="383"/>
      <c r="I367" s="711">
        <f t="shared" si="80"/>
        <v>0</v>
      </c>
      <c r="J367" s="74">
        <f>SUM(J365:J366)</f>
        <v>0</v>
      </c>
      <c r="K367" s="74">
        <f aca="true" t="shared" si="81" ref="K367:Q367">SUM(K365:K366)</f>
        <v>0</v>
      </c>
      <c r="L367" s="74">
        <f t="shared" si="81"/>
        <v>0</v>
      </c>
      <c r="M367" s="74">
        <f t="shared" si="81"/>
        <v>0</v>
      </c>
      <c r="N367" s="74">
        <f t="shared" si="81"/>
        <v>0</v>
      </c>
      <c r="O367" s="74">
        <f t="shared" si="81"/>
        <v>0</v>
      </c>
      <c r="P367" s="74">
        <f t="shared" si="81"/>
        <v>0</v>
      </c>
      <c r="Q367" s="75">
        <f t="shared" si="81"/>
        <v>0</v>
      </c>
      <c r="R367" s="228"/>
    </row>
    <row r="368" spans="1:17" s="133" customFormat="1" ht="21.75" customHeight="1">
      <c r="A368" s="224">
        <v>360</v>
      </c>
      <c r="B368" s="134"/>
      <c r="C368" s="135">
        <v>16</v>
      </c>
      <c r="D368" s="1637" t="s">
        <v>72</v>
      </c>
      <c r="E368" s="1637"/>
      <c r="F368" s="1637"/>
      <c r="G368" s="1637"/>
      <c r="H368" s="1637"/>
      <c r="I368" s="660"/>
      <c r="J368" s="228"/>
      <c r="K368" s="228"/>
      <c r="L368" s="228"/>
      <c r="M368" s="228"/>
      <c r="N368" s="228"/>
      <c r="O368" s="228"/>
      <c r="P368" s="228"/>
      <c r="Q368" s="111"/>
    </row>
    <row r="369" spans="1:17" s="133" customFormat="1" ht="15">
      <c r="A369" s="224">
        <v>361</v>
      </c>
      <c r="B369" s="134"/>
      <c r="C369" s="135"/>
      <c r="D369" s="1491" t="s">
        <v>957</v>
      </c>
      <c r="E369" s="1491"/>
      <c r="F369" s="1491"/>
      <c r="G369" s="1491"/>
      <c r="H369" s="1491"/>
      <c r="I369" s="660">
        <f t="shared" si="80"/>
        <v>5262</v>
      </c>
      <c r="J369" s="136">
        <v>4143</v>
      </c>
      <c r="K369" s="136">
        <v>1119</v>
      </c>
      <c r="L369" s="228"/>
      <c r="M369" s="228"/>
      <c r="N369" s="228"/>
      <c r="O369" s="228"/>
      <c r="P369" s="228"/>
      <c r="Q369" s="111"/>
    </row>
    <row r="370" spans="1:18" s="72" customFormat="1" ht="15">
      <c r="A370" s="224">
        <v>362</v>
      </c>
      <c r="B370" s="132"/>
      <c r="C370" s="227"/>
      <c r="D370" s="457" t="s">
        <v>74</v>
      </c>
      <c r="E370" s="396"/>
      <c r="F370" s="386"/>
      <c r="G370" s="386"/>
      <c r="H370" s="386"/>
      <c r="I370" s="706">
        <f t="shared" si="80"/>
        <v>0</v>
      </c>
      <c r="J370" s="460"/>
      <c r="K370" s="460"/>
      <c r="L370" s="460"/>
      <c r="M370" s="460"/>
      <c r="N370" s="460"/>
      <c r="O370" s="460"/>
      <c r="P370" s="460"/>
      <c r="Q370" s="719"/>
      <c r="R370" s="137"/>
    </row>
    <row r="371" spans="1:18" s="74" customFormat="1" ht="15">
      <c r="A371" s="224">
        <v>363</v>
      </c>
      <c r="B371" s="1496"/>
      <c r="C371" s="1497"/>
      <c r="D371" s="458" t="s">
        <v>1067</v>
      </c>
      <c r="E371" s="707"/>
      <c r="F371" s="383"/>
      <c r="G371" s="383"/>
      <c r="H371" s="383"/>
      <c r="I371" s="711">
        <f t="shared" si="80"/>
        <v>5262</v>
      </c>
      <c r="J371" s="74">
        <f>SUM(J369:J370)</f>
        <v>4143</v>
      </c>
      <c r="K371" s="74">
        <f aca="true" t="shared" si="82" ref="K371:Q371">SUM(K369:K370)</f>
        <v>1119</v>
      </c>
      <c r="L371" s="74">
        <f t="shared" si="82"/>
        <v>0</v>
      </c>
      <c r="M371" s="74">
        <f t="shared" si="82"/>
        <v>0</v>
      </c>
      <c r="N371" s="74">
        <f t="shared" si="82"/>
        <v>0</v>
      </c>
      <c r="O371" s="74">
        <f t="shared" si="82"/>
        <v>0</v>
      </c>
      <c r="P371" s="74">
        <f t="shared" si="82"/>
        <v>0</v>
      </c>
      <c r="Q371" s="75">
        <f t="shared" si="82"/>
        <v>0</v>
      </c>
      <c r="R371" s="228"/>
    </row>
    <row r="372" spans="1:17" s="133" customFormat="1" ht="15">
      <c r="A372" s="224">
        <v>364</v>
      </c>
      <c r="B372" s="73"/>
      <c r="C372" s="76">
        <v>17</v>
      </c>
      <c r="D372" s="1637" t="s">
        <v>237</v>
      </c>
      <c r="E372" s="1637"/>
      <c r="F372" s="1637"/>
      <c r="G372" s="1637"/>
      <c r="H372" s="340">
        <v>1712</v>
      </c>
      <c r="I372" s="660"/>
      <c r="J372" s="228"/>
      <c r="K372" s="228"/>
      <c r="L372" s="228"/>
      <c r="M372" s="228"/>
      <c r="N372" s="228"/>
      <c r="O372" s="228"/>
      <c r="P372" s="228"/>
      <c r="Q372" s="111"/>
    </row>
    <row r="373" spans="1:18" s="846" customFormat="1" ht="15">
      <c r="A373" s="224">
        <v>365</v>
      </c>
      <c r="B373" s="837"/>
      <c r="C373" s="838"/>
      <c r="D373" s="863" t="s">
        <v>403</v>
      </c>
      <c r="E373" s="851"/>
      <c r="F373" s="852"/>
      <c r="G373" s="852"/>
      <c r="H373" s="852"/>
      <c r="I373" s="853">
        <f>SUM(J373:Q373)</f>
        <v>0</v>
      </c>
      <c r="J373" s="840"/>
      <c r="K373" s="840"/>
      <c r="L373" s="840"/>
      <c r="M373" s="841"/>
      <c r="N373" s="841"/>
      <c r="O373" s="841"/>
      <c r="P373" s="841"/>
      <c r="Q373" s="864"/>
      <c r="R373" s="840"/>
    </row>
    <row r="374" spans="1:18" s="71" customFormat="1" ht="15">
      <c r="A374" s="224">
        <v>366</v>
      </c>
      <c r="B374" s="73"/>
      <c r="C374" s="76"/>
      <c r="D374" s="1491" t="s">
        <v>957</v>
      </c>
      <c r="E374" s="705"/>
      <c r="F374" s="382"/>
      <c r="G374" s="382"/>
      <c r="H374" s="382"/>
      <c r="I374" s="660">
        <f>SUM(J374:Q374)</f>
        <v>1617</v>
      </c>
      <c r="J374" s="136">
        <v>1273</v>
      </c>
      <c r="K374" s="136">
        <v>344</v>
      </c>
      <c r="L374" s="136"/>
      <c r="M374" s="137"/>
      <c r="N374" s="137"/>
      <c r="O374" s="137"/>
      <c r="P374" s="137"/>
      <c r="Q374" s="307"/>
      <c r="R374" s="136"/>
    </row>
    <row r="375" spans="1:18" s="72" customFormat="1" ht="15">
      <c r="A375" s="224">
        <v>367</v>
      </c>
      <c r="B375" s="132"/>
      <c r="C375" s="227"/>
      <c r="D375" s="457" t="s">
        <v>74</v>
      </c>
      <c r="E375" s="396"/>
      <c r="F375" s="386"/>
      <c r="G375" s="386"/>
      <c r="H375" s="386"/>
      <c r="I375" s="706">
        <f>SUM(J375:Q375)</f>
        <v>0</v>
      </c>
      <c r="J375" s="460"/>
      <c r="K375" s="460"/>
      <c r="L375" s="460"/>
      <c r="M375" s="460"/>
      <c r="N375" s="460"/>
      <c r="O375" s="460"/>
      <c r="P375" s="460"/>
      <c r="Q375" s="719"/>
      <c r="R375" s="137"/>
    </row>
    <row r="376" spans="1:18" s="74" customFormat="1" ht="15">
      <c r="A376" s="224">
        <v>368</v>
      </c>
      <c r="B376" s="1496"/>
      <c r="C376" s="1497"/>
      <c r="D376" s="458" t="s">
        <v>1067</v>
      </c>
      <c r="E376" s="707"/>
      <c r="F376" s="383"/>
      <c r="G376" s="383"/>
      <c r="H376" s="383"/>
      <c r="I376" s="711">
        <f>SUM(J376:Q376)</f>
        <v>1617</v>
      </c>
      <c r="J376" s="74">
        <f>SUM(J374:J375)</f>
        <v>1273</v>
      </c>
      <c r="K376" s="74">
        <f aca="true" t="shared" si="83" ref="K376:Q376">SUM(K374:K375)</f>
        <v>344</v>
      </c>
      <c r="L376" s="74">
        <f t="shared" si="83"/>
        <v>0</v>
      </c>
      <c r="M376" s="74">
        <f t="shared" si="83"/>
        <v>0</v>
      </c>
      <c r="N376" s="74">
        <f t="shared" si="83"/>
        <v>0</v>
      </c>
      <c r="O376" s="74">
        <f t="shared" si="83"/>
        <v>0</v>
      </c>
      <c r="P376" s="74">
        <f t="shared" si="83"/>
        <v>0</v>
      </c>
      <c r="Q376" s="75">
        <f t="shared" si="83"/>
        <v>0</v>
      </c>
      <c r="R376" s="228"/>
    </row>
    <row r="377" spans="1:17" s="133" customFormat="1" ht="30" customHeight="1">
      <c r="A377" s="993">
        <v>369</v>
      </c>
      <c r="B377" s="73"/>
      <c r="C377" s="76">
        <v>18</v>
      </c>
      <c r="D377" s="1637" t="s">
        <v>238</v>
      </c>
      <c r="E377" s="1637"/>
      <c r="F377" s="1637"/>
      <c r="G377" s="1637"/>
      <c r="H377" s="340">
        <v>864</v>
      </c>
      <c r="I377" s="660"/>
      <c r="J377" s="228"/>
      <c r="K377" s="228"/>
      <c r="L377" s="228"/>
      <c r="M377" s="228"/>
      <c r="N377" s="228"/>
      <c r="O377" s="228"/>
      <c r="P377" s="228"/>
      <c r="Q377" s="111"/>
    </row>
    <row r="378" spans="1:18" s="846" customFormat="1" ht="15">
      <c r="A378" s="224">
        <v>370</v>
      </c>
      <c r="B378" s="837"/>
      <c r="C378" s="838"/>
      <c r="D378" s="863" t="s">
        <v>403</v>
      </c>
      <c r="E378" s="851"/>
      <c r="F378" s="852"/>
      <c r="G378" s="852"/>
      <c r="H378" s="852"/>
      <c r="I378" s="853">
        <f>SUM(J378:Q378)</f>
        <v>0</v>
      </c>
      <c r="J378" s="840"/>
      <c r="K378" s="840"/>
      <c r="L378" s="840"/>
      <c r="M378" s="841"/>
      <c r="N378" s="841"/>
      <c r="O378" s="841"/>
      <c r="P378" s="841"/>
      <c r="Q378" s="864"/>
      <c r="R378" s="840"/>
    </row>
    <row r="379" spans="1:18" s="71" customFormat="1" ht="15">
      <c r="A379" s="224">
        <v>371</v>
      </c>
      <c r="B379" s="73"/>
      <c r="C379" s="76"/>
      <c r="D379" s="1491" t="s">
        <v>957</v>
      </c>
      <c r="E379" s="705"/>
      <c r="F379" s="382"/>
      <c r="G379" s="382"/>
      <c r="H379" s="382"/>
      <c r="I379" s="660">
        <f>SUM(J379:Q379)</f>
        <v>1522</v>
      </c>
      <c r="J379" s="136">
        <v>1198</v>
      </c>
      <c r="K379" s="136">
        <v>324</v>
      </c>
      <c r="L379" s="136"/>
      <c r="M379" s="137"/>
      <c r="N379" s="137"/>
      <c r="O379" s="137"/>
      <c r="P379" s="137"/>
      <c r="Q379" s="307"/>
      <c r="R379" s="136"/>
    </row>
    <row r="380" spans="1:18" s="72" customFormat="1" ht="15">
      <c r="A380" s="224">
        <v>372</v>
      </c>
      <c r="B380" s="132"/>
      <c r="C380" s="227"/>
      <c r="D380" s="457" t="s">
        <v>405</v>
      </c>
      <c r="E380" s="396"/>
      <c r="F380" s="386"/>
      <c r="G380" s="386"/>
      <c r="H380" s="386"/>
      <c r="I380" s="706">
        <f>SUM(J380:Q380)</f>
        <v>0</v>
      </c>
      <c r="J380" s="460"/>
      <c r="K380" s="460"/>
      <c r="L380" s="460"/>
      <c r="M380" s="460"/>
      <c r="N380" s="460"/>
      <c r="O380" s="460"/>
      <c r="P380" s="460"/>
      <c r="Q380" s="719"/>
      <c r="R380" s="137"/>
    </row>
    <row r="381" spans="1:18" s="74" customFormat="1" ht="15">
      <c r="A381" s="224">
        <v>373</v>
      </c>
      <c r="B381" s="1496"/>
      <c r="C381" s="1497"/>
      <c r="D381" s="458" t="s">
        <v>1067</v>
      </c>
      <c r="E381" s="707"/>
      <c r="F381" s="383"/>
      <c r="G381" s="383"/>
      <c r="H381" s="383"/>
      <c r="I381" s="711">
        <f>SUM(J381:Q381)</f>
        <v>1522</v>
      </c>
      <c r="J381" s="74">
        <f>SUM(J379:J380)</f>
        <v>1198</v>
      </c>
      <c r="K381" s="74">
        <f aca="true" t="shared" si="84" ref="K381:Q381">SUM(K379:K380)</f>
        <v>324</v>
      </c>
      <c r="L381" s="74">
        <f t="shared" si="84"/>
        <v>0</v>
      </c>
      <c r="M381" s="74">
        <f t="shared" si="84"/>
        <v>0</v>
      </c>
      <c r="N381" s="74">
        <f t="shared" si="84"/>
        <v>0</v>
      </c>
      <c r="O381" s="74">
        <f t="shared" si="84"/>
        <v>0</v>
      </c>
      <c r="P381" s="74">
        <f t="shared" si="84"/>
        <v>0</v>
      </c>
      <c r="Q381" s="75">
        <f t="shared" si="84"/>
        <v>0</v>
      </c>
      <c r="R381" s="228"/>
    </row>
    <row r="382" spans="1:18" s="133" customFormat="1" ht="30" customHeight="1">
      <c r="A382" s="993">
        <v>374</v>
      </c>
      <c r="B382" s="73"/>
      <c r="C382" s="76">
        <v>19</v>
      </c>
      <c r="D382" s="1637" t="s">
        <v>239</v>
      </c>
      <c r="E382" s="1637"/>
      <c r="F382" s="1637"/>
      <c r="G382" s="1637"/>
      <c r="H382" s="340">
        <v>2869</v>
      </c>
      <c r="I382" s="660"/>
      <c r="J382" s="228"/>
      <c r="K382" s="228"/>
      <c r="L382" s="228"/>
      <c r="M382" s="228"/>
      <c r="N382" s="228"/>
      <c r="O382" s="228"/>
      <c r="P382" s="228"/>
      <c r="Q382" s="111"/>
      <c r="R382" s="133">
        <f>(SUM(J383:Q383))-I383</f>
        <v>0</v>
      </c>
    </row>
    <row r="383" spans="1:18" s="846" customFormat="1" ht="15">
      <c r="A383" s="224">
        <v>375</v>
      </c>
      <c r="B383" s="837"/>
      <c r="C383" s="838"/>
      <c r="D383" s="863" t="s">
        <v>403</v>
      </c>
      <c r="E383" s="851"/>
      <c r="F383" s="852"/>
      <c r="G383" s="852"/>
      <c r="H383" s="852"/>
      <c r="I383" s="853">
        <f>SUM(J383:Q383)</f>
        <v>0</v>
      </c>
      <c r="J383" s="840"/>
      <c r="K383" s="840"/>
      <c r="L383" s="840"/>
      <c r="M383" s="841"/>
      <c r="N383" s="841"/>
      <c r="O383" s="841"/>
      <c r="P383" s="841"/>
      <c r="Q383" s="864"/>
      <c r="R383" s="840"/>
    </row>
    <row r="384" spans="1:18" s="71" customFormat="1" ht="15">
      <c r="A384" s="224">
        <v>376</v>
      </c>
      <c r="B384" s="73"/>
      <c r="C384" s="76"/>
      <c r="D384" s="1491" t="s">
        <v>957</v>
      </c>
      <c r="E384" s="705"/>
      <c r="F384" s="382"/>
      <c r="G384" s="382"/>
      <c r="H384" s="382"/>
      <c r="I384" s="660">
        <f>SUM(J384:Q384)</f>
        <v>12131</v>
      </c>
      <c r="J384" s="136">
        <v>1194</v>
      </c>
      <c r="K384" s="136">
        <v>245</v>
      </c>
      <c r="L384" s="136">
        <v>10692</v>
      </c>
      <c r="M384" s="137"/>
      <c r="N384" s="137"/>
      <c r="O384" s="137"/>
      <c r="P384" s="137"/>
      <c r="Q384" s="307"/>
      <c r="R384" s="136"/>
    </row>
    <row r="385" spans="1:18" s="72" customFormat="1" ht="15">
      <c r="A385" s="224">
        <v>377</v>
      </c>
      <c r="B385" s="132"/>
      <c r="C385" s="227"/>
      <c r="D385" s="457" t="s">
        <v>74</v>
      </c>
      <c r="E385" s="396"/>
      <c r="F385" s="386"/>
      <c r="G385" s="386"/>
      <c r="H385" s="386"/>
      <c r="I385" s="706">
        <f>SUM(J385:Q385)</f>
        <v>0</v>
      </c>
      <c r="J385" s="460"/>
      <c r="K385" s="460"/>
      <c r="L385" s="460"/>
      <c r="M385" s="460"/>
      <c r="N385" s="460"/>
      <c r="O385" s="460"/>
      <c r="P385" s="460"/>
      <c r="Q385" s="719"/>
      <c r="R385" s="137"/>
    </row>
    <row r="386" spans="1:18" s="74" customFormat="1" ht="15">
      <c r="A386" s="224">
        <v>378</v>
      </c>
      <c r="B386" s="1496"/>
      <c r="C386" s="1497"/>
      <c r="D386" s="458" t="s">
        <v>1067</v>
      </c>
      <c r="E386" s="707"/>
      <c r="F386" s="383"/>
      <c r="G386" s="383"/>
      <c r="H386" s="383"/>
      <c r="I386" s="663">
        <f>SUM(J386:Q386)</f>
        <v>12131</v>
      </c>
      <c r="J386" s="74">
        <f aca="true" t="shared" si="85" ref="J386:Q386">SUM(J384:J385)</f>
        <v>1194</v>
      </c>
      <c r="K386" s="74">
        <f t="shared" si="85"/>
        <v>245</v>
      </c>
      <c r="L386" s="74">
        <f t="shared" si="85"/>
        <v>10692</v>
      </c>
      <c r="M386" s="74">
        <f t="shared" si="85"/>
        <v>0</v>
      </c>
      <c r="N386" s="74">
        <f t="shared" si="85"/>
        <v>0</v>
      </c>
      <c r="O386" s="74">
        <f t="shared" si="85"/>
        <v>0</v>
      </c>
      <c r="P386" s="74">
        <f t="shared" si="85"/>
        <v>0</v>
      </c>
      <c r="Q386" s="75">
        <f t="shared" si="85"/>
        <v>0</v>
      </c>
      <c r="R386" s="228"/>
    </row>
    <row r="387" spans="1:18" s="4" customFormat="1" ht="15">
      <c r="A387" s="224">
        <v>379</v>
      </c>
      <c r="B387" s="455"/>
      <c r="C387" s="1692" t="s">
        <v>798</v>
      </c>
      <c r="D387" s="1692"/>
      <c r="E387" s="478"/>
      <c r="F387" s="470">
        <f>SUM(F290:F382)</f>
        <v>1481166</v>
      </c>
      <c r="G387" s="470">
        <f>SUM(G290:G382)</f>
        <v>1426264</v>
      </c>
      <c r="H387" s="470">
        <f>SUM(H290:H382)</f>
        <v>1262346</v>
      </c>
      <c r="I387" s="714"/>
      <c r="J387" s="450"/>
      <c r="K387" s="450"/>
      <c r="L387" s="450"/>
      <c r="M387" s="450"/>
      <c r="N387" s="450"/>
      <c r="O387" s="450"/>
      <c r="P387" s="450"/>
      <c r="Q387" s="698"/>
      <c r="R387" s="79">
        <f>(SUM(J388:Q388))-I388</f>
        <v>0</v>
      </c>
    </row>
    <row r="388" spans="1:17" s="843" customFormat="1" ht="15">
      <c r="A388" s="224">
        <v>380</v>
      </c>
      <c r="B388" s="837"/>
      <c r="C388" s="881"/>
      <c r="D388" s="865" t="s">
        <v>403</v>
      </c>
      <c r="E388" s="882"/>
      <c r="F388" s="852"/>
      <c r="G388" s="852"/>
      <c r="H388" s="852"/>
      <c r="I388" s="855">
        <f>SUM(J388:Q388)</f>
        <v>1328570</v>
      </c>
      <c r="J388" s="846">
        <f aca="true" t="shared" si="86" ref="J388:Q388">SUM(J383,J378,J373,J364,J359,J354,J349,J344,J339,J334,J329,J324,J319,J314,J301,J296,J291)</f>
        <v>834196</v>
      </c>
      <c r="K388" s="846">
        <f t="shared" si="86"/>
        <v>235616</v>
      </c>
      <c r="L388" s="846">
        <f t="shared" si="86"/>
        <v>238500</v>
      </c>
      <c r="M388" s="846">
        <f t="shared" si="86"/>
        <v>0</v>
      </c>
      <c r="N388" s="846">
        <f t="shared" si="86"/>
        <v>0</v>
      </c>
      <c r="O388" s="846">
        <f t="shared" si="86"/>
        <v>19833</v>
      </c>
      <c r="P388" s="846">
        <f t="shared" si="86"/>
        <v>425</v>
      </c>
      <c r="Q388" s="847">
        <f t="shared" si="86"/>
        <v>0</v>
      </c>
    </row>
    <row r="389" spans="1:17" s="79" customFormat="1" ht="15">
      <c r="A389" s="224">
        <v>381</v>
      </c>
      <c r="B389" s="73"/>
      <c r="C389" s="473"/>
      <c r="D389" s="467" t="s">
        <v>957</v>
      </c>
      <c r="E389" s="474"/>
      <c r="F389" s="382"/>
      <c r="G389" s="382"/>
      <c r="H389" s="382"/>
      <c r="I389" s="661">
        <f>SUM(J389:Q389)</f>
        <v>1480404</v>
      </c>
      <c r="J389" s="71">
        <f>SUM(J384,J379,J374,J369,J365,J360,J355,J350,J345,J340,J335,J330,J325,J320,J315,J310,J302,J297,J292)+J306</f>
        <v>929678</v>
      </c>
      <c r="K389" s="71">
        <f aca="true" t="shared" si="87" ref="K389:Q389">SUM(K384,K379,K374,K369,K365,K360,K355,K350,K345,K340,K335,K330,K325,K320,K315,K310,K302,K297,K292)+K306</f>
        <v>255597</v>
      </c>
      <c r="L389" s="71">
        <f t="shared" si="87"/>
        <v>255793</v>
      </c>
      <c r="M389" s="71">
        <f t="shared" si="87"/>
        <v>0</v>
      </c>
      <c r="N389" s="71">
        <f t="shared" si="87"/>
        <v>5000</v>
      </c>
      <c r="O389" s="71">
        <f t="shared" si="87"/>
        <v>27887</v>
      </c>
      <c r="P389" s="71">
        <f t="shared" si="87"/>
        <v>6449</v>
      </c>
      <c r="Q389" s="78">
        <f t="shared" si="87"/>
        <v>0</v>
      </c>
    </row>
    <row r="390" spans="1:19" s="477" customFormat="1" ht="15">
      <c r="A390" s="224">
        <v>382</v>
      </c>
      <c r="B390" s="132"/>
      <c r="C390" s="475"/>
      <c r="D390" s="140" t="s">
        <v>1229</v>
      </c>
      <c r="E390" s="476"/>
      <c r="F390" s="463"/>
      <c r="G390" s="463"/>
      <c r="H390" s="463"/>
      <c r="I390" s="662">
        <f>SUM(J390:Q390)</f>
        <v>-124</v>
      </c>
      <c r="J390" s="72">
        <f>SUM(J385,J380,J375,J366,J361,J356,J351,J346,J341,J336,J331,J326:J326,J321:J321,J316:J316,J303:J303,J298,J293:J293)+J370+J311+J307</f>
        <v>195</v>
      </c>
      <c r="K390" s="72">
        <f aca="true" t="shared" si="88" ref="K390:S390">SUM(K385,K380,K375,K366,K361,K356,K351,K346,K341,K336,K331,K326:K326,K321:K321,K316:K316,K303:K303,K298,K293:K293)+K370+K311+K307</f>
        <v>42</v>
      </c>
      <c r="L390" s="72">
        <f t="shared" si="88"/>
        <v>-361</v>
      </c>
      <c r="M390" s="72">
        <f t="shared" si="88"/>
        <v>0</v>
      </c>
      <c r="N390" s="72">
        <f t="shared" si="88"/>
        <v>0</v>
      </c>
      <c r="O390" s="72">
        <f t="shared" si="88"/>
        <v>0</v>
      </c>
      <c r="P390" s="72">
        <f t="shared" si="88"/>
        <v>0</v>
      </c>
      <c r="Q390" s="112">
        <f t="shared" si="88"/>
        <v>0</v>
      </c>
      <c r="R390" s="72">
        <f t="shared" si="88"/>
        <v>0</v>
      </c>
      <c r="S390" s="72">
        <f t="shared" si="88"/>
        <v>0</v>
      </c>
    </row>
    <row r="391" spans="1:17" s="4" customFormat="1" ht="15.75" thickBot="1">
      <c r="A391" s="224">
        <v>383</v>
      </c>
      <c r="B391" s="451"/>
      <c r="C391" s="479"/>
      <c r="D391" s="459" t="s">
        <v>1067</v>
      </c>
      <c r="E391" s="480"/>
      <c r="F391" s="454"/>
      <c r="G391" s="454"/>
      <c r="H391" s="454"/>
      <c r="I391" s="664">
        <f>SUM(J391:Q391)</f>
        <v>1480280</v>
      </c>
      <c r="J391" s="481">
        <f>SUM(J389:J390)</f>
        <v>929873</v>
      </c>
      <c r="K391" s="481">
        <f aca="true" t="shared" si="89" ref="K391:Q391">SUM(K389:K390)</f>
        <v>255639</v>
      </c>
      <c r="L391" s="481">
        <f t="shared" si="89"/>
        <v>255432</v>
      </c>
      <c r="M391" s="481">
        <f t="shared" si="89"/>
        <v>0</v>
      </c>
      <c r="N391" s="481">
        <f t="shared" si="89"/>
        <v>5000</v>
      </c>
      <c r="O391" s="481">
        <f t="shared" si="89"/>
        <v>27887</v>
      </c>
      <c r="P391" s="481">
        <f t="shared" si="89"/>
        <v>6449</v>
      </c>
      <c r="Q391" s="484">
        <f t="shared" si="89"/>
        <v>0</v>
      </c>
    </row>
    <row r="392" spans="1:18" s="4" customFormat="1" ht="15.75" thickTop="1">
      <c r="A392" s="224">
        <v>384</v>
      </c>
      <c r="B392" s="1690" t="s">
        <v>431</v>
      </c>
      <c r="C392" s="1691"/>
      <c r="D392" s="1691"/>
      <c r="E392" s="1497"/>
      <c r="F392" s="383">
        <f>SUM(F284,F387)</f>
        <v>4651168</v>
      </c>
      <c r="G392" s="383">
        <f>SUM(G284,G387)</f>
        <v>5580898</v>
      </c>
      <c r="H392" s="383">
        <f>SUM(H284,H387)</f>
        <v>6047359</v>
      </c>
      <c r="I392" s="661"/>
      <c r="J392" s="74"/>
      <c r="K392" s="74"/>
      <c r="L392" s="74"/>
      <c r="M392" s="74"/>
      <c r="N392" s="74"/>
      <c r="O392" s="74"/>
      <c r="P392" s="74"/>
      <c r="Q392" s="75"/>
      <c r="R392" s="79">
        <f>(SUM(J393:Q393))-I393</f>
        <v>0</v>
      </c>
    </row>
    <row r="393" spans="1:17" s="843" customFormat="1" ht="15">
      <c r="A393" s="224">
        <v>385</v>
      </c>
      <c r="B393" s="837"/>
      <c r="C393" s="838"/>
      <c r="D393" s="865" t="s">
        <v>403</v>
      </c>
      <c r="E393" s="838"/>
      <c r="F393" s="852"/>
      <c r="G393" s="852"/>
      <c r="H393" s="852"/>
      <c r="I393" s="855">
        <f>SUM(J393:Q393)</f>
        <v>6127521</v>
      </c>
      <c r="J393" s="846">
        <f aca="true" t="shared" si="90" ref="J393:Q393">SUM(J285,J388)</f>
        <v>3019880</v>
      </c>
      <c r="K393" s="846">
        <f t="shared" si="90"/>
        <v>859606</v>
      </c>
      <c r="L393" s="846">
        <f t="shared" si="90"/>
        <v>2135159</v>
      </c>
      <c r="M393" s="846">
        <f t="shared" si="90"/>
        <v>0</v>
      </c>
      <c r="N393" s="846">
        <f t="shared" si="90"/>
        <v>0</v>
      </c>
      <c r="O393" s="846">
        <f t="shared" si="90"/>
        <v>94211</v>
      </c>
      <c r="P393" s="846">
        <f t="shared" si="90"/>
        <v>18665</v>
      </c>
      <c r="Q393" s="847">
        <f t="shared" si="90"/>
        <v>0</v>
      </c>
    </row>
    <row r="394" spans="1:17" s="79" customFormat="1" ht="15">
      <c r="A394" s="224">
        <v>386</v>
      </c>
      <c r="B394" s="73"/>
      <c r="C394" s="76"/>
      <c r="D394" s="467" t="s">
        <v>957</v>
      </c>
      <c r="E394" s="76"/>
      <c r="F394" s="382"/>
      <c r="G394" s="382"/>
      <c r="H394" s="382"/>
      <c r="I394" s="661">
        <f>SUM(J394:Q394)</f>
        <v>6943543</v>
      </c>
      <c r="J394" s="71">
        <f aca="true" t="shared" si="91" ref="J394:Q395">SUM(J389,J286)</f>
        <v>3334463</v>
      </c>
      <c r="K394" s="71">
        <f t="shared" si="91"/>
        <v>903629</v>
      </c>
      <c r="L394" s="71">
        <f t="shared" si="91"/>
        <v>2493451</v>
      </c>
      <c r="M394" s="71">
        <f t="shared" si="91"/>
        <v>0</v>
      </c>
      <c r="N394" s="71">
        <f t="shared" si="91"/>
        <v>30796</v>
      </c>
      <c r="O394" s="71">
        <f t="shared" si="91"/>
        <v>155131</v>
      </c>
      <c r="P394" s="71">
        <f t="shared" si="91"/>
        <v>26073</v>
      </c>
      <c r="Q394" s="78">
        <f t="shared" si="91"/>
        <v>0</v>
      </c>
    </row>
    <row r="395" spans="1:17" s="131" customFormat="1" ht="15">
      <c r="A395" s="224">
        <v>387</v>
      </c>
      <c r="B395" s="132"/>
      <c r="C395" s="227"/>
      <c r="D395" s="1669" t="s">
        <v>1227</v>
      </c>
      <c r="E395" s="1669"/>
      <c r="F395" s="1669"/>
      <c r="G395" s="1669"/>
      <c r="H395" s="386"/>
      <c r="I395" s="662">
        <f>SUM(J395:Q395)</f>
        <v>62055</v>
      </c>
      <c r="J395" s="72">
        <f t="shared" si="91"/>
        <v>3853</v>
      </c>
      <c r="K395" s="72">
        <f t="shared" si="91"/>
        <v>8767</v>
      </c>
      <c r="L395" s="72">
        <f t="shared" si="91"/>
        <v>38422</v>
      </c>
      <c r="M395" s="72">
        <f t="shared" si="91"/>
        <v>0</v>
      </c>
      <c r="N395" s="72">
        <f t="shared" si="91"/>
        <v>100</v>
      </c>
      <c r="O395" s="72">
        <f t="shared" si="91"/>
        <v>7337</v>
      </c>
      <c r="P395" s="72">
        <f t="shared" si="91"/>
        <v>3576</v>
      </c>
      <c r="Q395" s="112">
        <f t="shared" si="91"/>
        <v>0</v>
      </c>
    </row>
    <row r="396" spans="1:17" s="4" customFormat="1" ht="15.75" thickBot="1">
      <c r="A396" s="224">
        <v>388</v>
      </c>
      <c r="B396" s="456"/>
      <c r="C396" s="461"/>
      <c r="D396" s="462" t="s">
        <v>1067</v>
      </c>
      <c r="E396" s="461"/>
      <c r="F396" s="659"/>
      <c r="G396" s="659"/>
      <c r="H396" s="659"/>
      <c r="I396" s="663">
        <f>SUM(J396:Q396)</f>
        <v>7005598</v>
      </c>
      <c r="J396" s="3">
        <f>SUM(J394:J395)</f>
        <v>3338316</v>
      </c>
      <c r="K396" s="3">
        <f aca="true" t="shared" si="92" ref="K396:Q396">SUM(K394:K395)</f>
        <v>912396</v>
      </c>
      <c r="L396" s="3">
        <f t="shared" si="92"/>
        <v>2531873</v>
      </c>
      <c r="M396" s="3">
        <f t="shared" si="92"/>
        <v>0</v>
      </c>
      <c r="N396" s="3">
        <f t="shared" si="92"/>
        <v>30896</v>
      </c>
      <c r="O396" s="3">
        <f t="shared" si="92"/>
        <v>162468</v>
      </c>
      <c r="P396" s="3">
        <f t="shared" si="92"/>
        <v>29649</v>
      </c>
      <c r="Q396" s="8">
        <f t="shared" si="92"/>
        <v>0</v>
      </c>
    </row>
    <row r="397" spans="1:18" s="4" customFormat="1" ht="15.75" thickBot="1">
      <c r="A397" s="224">
        <v>389</v>
      </c>
      <c r="B397" s="1493"/>
      <c r="C397" s="1689" t="s">
        <v>207</v>
      </c>
      <c r="D397" s="1689"/>
      <c r="E397" s="1495"/>
      <c r="F397" s="400">
        <v>5939050</v>
      </c>
      <c r="G397" s="400">
        <v>128434</v>
      </c>
      <c r="H397" s="400">
        <v>0</v>
      </c>
      <c r="I397" s="665"/>
      <c r="J397" s="229"/>
      <c r="K397" s="229"/>
      <c r="L397" s="229"/>
      <c r="M397" s="229"/>
      <c r="N397" s="229"/>
      <c r="O397" s="229"/>
      <c r="P397" s="229"/>
      <c r="Q397" s="312"/>
      <c r="R397" s="79" t="e">
        <f>(SUM(#REF!))-#REF!</f>
        <v>#REF!</v>
      </c>
    </row>
    <row r="398" spans="1:18" s="4" customFormat="1" ht="15.75" thickBot="1">
      <c r="A398" s="224">
        <v>390</v>
      </c>
      <c r="B398" s="1695" t="s">
        <v>431</v>
      </c>
      <c r="C398" s="1696"/>
      <c r="D398" s="1696"/>
      <c r="E398" s="1498"/>
      <c r="F398" s="384">
        <f>SUM(F392:F397)</f>
        <v>10590218</v>
      </c>
      <c r="G398" s="384">
        <f>SUM(G392:G397)</f>
        <v>5709332</v>
      </c>
      <c r="H398" s="384">
        <f>SUM(H392:H397)</f>
        <v>6047359</v>
      </c>
      <c r="I398" s="666"/>
      <c r="J398" s="397"/>
      <c r="K398" s="397"/>
      <c r="L398" s="397"/>
      <c r="M398" s="397"/>
      <c r="N398" s="397"/>
      <c r="O398" s="397"/>
      <c r="P398" s="397"/>
      <c r="Q398" s="385"/>
      <c r="R398" s="79">
        <f>(SUM(J399:Q399))-I399</f>
        <v>0</v>
      </c>
    </row>
    <row r="399" spans="1:17" s="79" customFormat="1" ht="19.5" customHeight="1" hidden="1">
      <c r="A399" s="224">
        <v>391</v>
      </c>
      <c r="B399" s="73"/>
      <c r="C399" s="76">
        <v>7</v>
      </c>
      <c r="D399" s="77" t="s">
        <v>820</v>
      </c>
      <c r="E399" s="705"/>
      <c r="F399" s="382">
        <v>189589</v>
      </c>
      <c r="G399" s="382"/>
      <c r="H399" s="382"/>
      <c r="I399" s="661">
        <f aca="true" t="shared" si="93" ref="I399:Q399">SUM(I393:I397)</f>
        <v>20138717</v>
      </c>
      <c r="J399" s="74">
        <f t="shared" si="93"/>
        <v>9696512</v>
      </c>
      <c r="K399" s="74">
        <f t="shared" si="93"/>
        <v>2684398</v>
      </c>
      <c r="L399" s="74">
        <f t="shared" si="93"/>
        <v>7198905</v>
      </c>
      <c r="M399" s="74">
        <f t="shared" si="93"/>
        <v>0</v>
      </c>
      <c r="N399" s="74">
        <f t="shared" si="93"/>
        <v>61792</v>
      </c>
      <c r="O399" s="74">
        <f t="shared" si="93"/>
        <v>419147</v>
      </c>
      <c r="P399" s="74">
        <f t="shared" si="93"/>
        <v>77963</v>
      </c>
      <c r="Q399" s="75">
        <f t="shared" si="93"/>
        <v>0</v>
      </c>
    </row>
    <row r="400" spans="1:17" s="79" customFormat="1" ht="19.5" customHeight="1" hidden="1">
      <c r="A400" s="224">
        <v>392</v>
      </c>
      <c r="B400" s="73"/>
      <c r="C400" s="76">
        <v>8</v>
      </c>
      <c r="D400" s="77" t="s">
        <v>821</v>
      </c>
      <c r="E400" s="705"/>
      <c r="F400" s="382">
        <v>236889</v>
      </c>
      <c r="G400" s="382"/>
      <c r="H400" s="382"/>
      <c r="I400" s="661"/>
      <c r="J400" s="71"/>
      <c r="K400" s="71"/>
      <c r="L400" s="71"/>
      <c r="M400" s="71"/>
      <c r="N400" s="71"/>
      <c r="O400" s="71"/>
      <c r="P400" s="71"/>
      <c r="Q400" s="78"/>
    </row>
    <row r="401" spans="1:17" s="79" customFormat="1" ht="19.5" customHeight="1" hidden="1">
      <c r="A401" s="224">
        <v>393</v>
      </c>
      <c r="B401" s="73"/>
      <c r="C401" s="76">
        <v>9</v>
      </c>
      <c r="D401" s="77" t="s">
        <v>822</v>
      </c>
      <c r="E401" s="705"/>
      <c r="F401" s="382">
        <v>294235</v>
      </c>
      <c r="G401" s="382"/>
      <c r="H401" s="382"/>
      <c r="I401" s="661"/>
      <c r="J401" s="71"/>
      <c r="K401" s="71"/>
      <c r="L401" s="71"/>
      <c r="M401" s="71"/>
      <c r="N401" s="71"/>
      <c r="O401" s="71"/>
      <c r="P401" s="71"/>
      <c r="Q401" s="78"/>
    </row>
    <row r="402" spans="1:17" s="79" customFormat="1" ht="19.5" customHeight="1" hidden="1">
      <c r="A402" s="224">
        <v>394</v>
      </c>
      <c r="B402" s="73"/>
      <c r="C402" s="76">
        <v>10</v>
      </c>
      <c r="D402" s="77" t="s">
        <v>823</v>
      </c>
      <c r="E402" s="705"/>
      <c r="F402" s="382">
        <v>354237</v>
      </c>
      <c r="G402" s="382"/>
      <c r="H402" s="382"/>
      <c r="I402" s="661"/>
      <c r="J402" s="71"/>
      <c r="K402" s="71"/>
      <c r="L402" s="71"/>
      <c r="M402" s="71"/>
      <c r="N402" s="71"/>
      <c r="O402" s="71"/>
      <c r="P402" s="71"/>
      <c r="Q402" s="78"/>
    </row>
    <row r="403" spans="1:17" s="79" customFormat="1" ht="19.5" customHeight="1" hidden="1">
      <c r="A403" s="224">
        <v>395</v>
      </c>
      <c r="B403" s="73"/>
      <c r="C403" s="76">
        <v>11</v>
      </c>
      <c r="D403" s="77" t="s">
        <v>825</v>
      </c>
      <c r="E403" s="705"/>
      <c r="F403" s="382">
        <v>306784</v>
      </c>
      <c r="G403" s="382"/>
      <c r="H403" s="382"/>
      <c r="I403" s="661"/>
      <c r="J403" s="71"/>
      <c r="K403" s="71"/>
      <c r="L403" s="71"/>
      <c r="M403" s="71"/>
      <c r="N403" s="71"/>
      <c r="O403" s="71"/>
      <c r="P403" s="71"/>
      <c r="Q403" s="78"/>
    </row>
    <row r="404" spans="1:17" s="131" customFormat="1" ht="19.5" customHeight="1" hidden="1">
      <c r="A404" s="224">
        <v>396</v>
      </c>
      <c r="B404" s="132"/>
      <c r="C404" s="227"/>
      <c r="D404" s="140" t="s">
        <v>826</v>
      </c>
      <c r="E404" s="396"/>
      <c r="F404" s="386">
        <v>30407</v>
      </c>
      <c r="G404" s="386"/>
      <c r="H404" s="382"/>
      <c r="I404" s="661"/>
      <c r="J404" s="71"/>
      <c r="K404" s="71"/>
      <c r="L404" s="71"/>
      <c r="M404" s="71"/>
      <c r="N404" s="71"/>
      <c r="O404" s="71"/>
      <c r="P404" s="71"/>
      <c r="Q404" s="78"/>
    </row>
    <row r="405" spans="1:17" s="79" customFormat="1" ht="19.5" customHeight="1" hidden="1">
      <c r="A405" s="224">
        <v>397</v>
      </c>
      <c r="B405" s="73"/>
      <c r="C405" s="76">
        <v>12</v>
      </c>
      <c r="D405" s="77" t="s">
        <v>827</v>
      </c>
      <c r="E405" s="705"/>
      <c r="F405" s="382">
        <v>319970</v>
      </c>
      <c r="G405" s="382"/>
      <c r="H405" s="382"/>
      <c r="I405" s="661"/>
      <c r="J405" s="72"/>
      <c r="K405" s="72"/>
      <c r="L405" s="72"/>
      <c r="M405" s="72"/>
      <c r="N405" s="72"/>
      <c r="O405" s="72"/>
      <c r="P405" s="72"/>
      <c r="Q405" s="112"/>
    </row>
    <row r="406" spans="1:17" s="79" customFormat="1" ht="19.5" customHeight="1" hidden="1">
      <c r="A406" s="224">
        <v>398</v>
      </c>
      <c r="B406" s="73"/>
      <c r="C406" s="76">
        <v>13</v>
      </c>
      <c r="D406" s="394" t="s">
        <v>362</v>
      </c>
      <c r="E406" s="723"/>
      <c r="F406" s="382">
        <v>172257</v>
      </c>
      <c r="G406" s="382"/>
      <c r="H406" s="382"/>
      <c r="I406" s="661"/>
      <c r="J406" s="71"/>
      <c r="K406" s="71"/>
      <c r="L406" s="71"/>
      <c r="M406" s="71"/>
      <c r="N406" s="71"/>
      <c r="O406" s="71"/>
      <c r="P406" s="71"/>
      <c r="Q406" s="78"/>
    </row>
    <row r="407" spans="1:17" s="79" customFormat="1" ht="19.5" customHeight="1" hidden="1">
      <c r="A407" s="224">
        <v>399</v>
      </c>
      <c r="B407" s="73"/>
      <c r="C407" s="76">
        <v>14</v>
      </c>
      <c r="D407" s="77" t="s">
        <v>828</v>
      </c>
      <c r="E407" s="705"/>
      <c r="F407" s="382">
        <v>209657</v>
      </c>
      <c r="G407" s="382"/>
      <c r="H407" s="382"/>
      <c r="I407" s="661"/>
      <c r="J407" s="71"/>
      <c r="K407" s="71"/>
      <c r="L407" s="71"/>
      <c r="M407" s="71"/>
      <c r="N407" s="71"/>
      <c r="O407" s="71"/>
      <c r="P407" s="71"/>
      <c r="Q407" s="78"/>
    </row>
    <row r="408" spans="1:17" s="79" customFormat="1" ht="19.5" customHeight="1" hidden="1">
      <c r="A408" s="224">
        <v>400</v>
      </c>
      <c r="B408" s="73"/>
      <c r="C408" s="76">
        <v>15</v>
      </c>
      <c r="D408" s="394" t="s">
        <v>829</v>
      </c>
      <c r="E408" s="723"/>
      <c r="F408" s="382">
        <v>263845</v>
      </c>
      <c r="G408" s="382"/>
      <c r="H408" s="382"/>
      <c r="I408" s="661"/>
      <c r="J408" s="71"/>
      <c r="K408" s="71"/>
      <c r="L408" s="71"/>
      <c r="M408" s="71"/>
      <c r="N408" s="71"/>
      <c r="O408" s="71"/>
      <c r="P408" s="71"/>
      <c r="Q408" s="78"/>
    </row>
    <row r="409" spans="1:17" s="79" customFormat="1" ht="19.5" customHeight="1" hidden="1">
      <c r="A409" s="224">
        <v>401</v>
      </c>
      <c r="B409" s="73"/>
      <c r="C409" s="76">
        <v>16</v>
      </c>
      <c r="D409" s="394" t="s">
        <v>830</v>
      </c>
      <c r="E409" s="723"/>
      <c r="F409" s="382">
        <v>107696</v>
      </c>
      <c r="G409" s="382"/>
      <c r="H409" s="382"/>
      <c r="I409" s="661"/>
      <c r="J409" s="71"/>
      <c r="K409" s="71"/>
      <c r="L409" s="71"/>
      <c r="M409" s="71"/>
      <c r="N409" s="71"/>
      <c r="O409" s="71"/>
      <c r="P409" s="71"/>
      <c r="Q409" s="78"/>
    </row>
    <row r="410" spans="1:17" s="79" customFormat="1" ht="19.5" customHeight="1" hidden="1">
      <c r="A410" s="224">
        <v>402</v>
      </c>
      <c r="B410" s="73"/>
      <c r="C410" s="76">
        <v>17</v>
      </c>
      <c r="D410" s="77" t="s">
        <v>831</v>
      </c>
      <c r="E410" s="705"/>
      <c r="F410" s="382">
        <v>144807</v>
      </c>
      <c r="G410" s="382"/>
      <c r="H410" s="382"/>
      <c r="I410" s="661"/>
      <c r="J410" s="71"/>
      <c r="K410" s="71"/>
      <c r="L410" s="71"/>
      <c r="M410" s="71"/>
      <c r="N410" s="71"/>
      <c r="O410" s="71"/>
      <c r="P410" s="71"/>
      <c r="Q410" s="78"/>
    </row>
    <row r="411" spans="1:17" s="131" customFormat="1" ht="19.5" customHeight="1" hidden="1">
      <c r="A411" s="224">
        <v>403</v>
      </c>
      <c r="B411" s="132"/>
      <c r="C411" s="72"/>
      <c r="D411" s="72" t="s">
        <v>832</v>
      </c>
      <c r="E411" s="227"/>
      <c r="F411" s="386">
        <f>SUM(F399:F403,F405:F410)</f>
        <v>2599966</v>
      </c>
      <c r="G411" s="386">
        <f>SUM(G399:G403,G405:G410)</f>
        <v>0</v>
      </c>
      <c r="H411" s="382">
        <f>SUM(H399:H403,H405:H410)</f>
        <v>0</v>
      </c>
      <c r="I411" s="661"/>
      <c r="J411" s="71"/>
      <c r="K411" s="71"/>
      <c r="L411" s="71"/>
      <c r="M411" s="71"/>
      <c r="N411" s="71"/>
      <c r="O411" s="71"/>
      <c r="P411" s="71"/>
      <c r="Q411" s="78"/>
    </row>
    <row r="412" spans="1:17" s="79" customFormat="1" ht="19.5" customHeight="1" hidden="1">
      <c r="A412" s="224">
        <v>404</v>
      </c>
      <c r="B412" s="73"/>
      <c r="C412" s="76">
        <v>18</v>
      </c>
      <c r="D412" s="77" t="s">
        <v>833</v>
      </c>
      <c r="E412" s="705"/>
      <c r="F412" s="382">
        <v>121932</v>
      </c>
      <c r="G412" s="382"/>
      <c r="H412" s="382"/>
      <c r="I412" s="662">
        <f>SUM(I400:I404,I406:I411)</f>
        <v>0</v>
      </c>
      <c r="J412" s="72"/>
      <c r="K412" s="72"/>
      <c r="L412" s="72"/>
      <c r="M412" s="72"/>
      <c r="N412" s="72"/>
      <c r="O412" s="72"/>
      <c r="P412" s="72"/>
      <c r="Q412" s="112"/>
    </row>
    <row r="413" spans="1:17" s="131" customFormat="1" ht="19.5" customHeight="1" hidden="1">
      <c r="A413" s="224">
        <v>405</v>
      </c>
      <c r="B413" s="132"/>
      <c r="C413" s="227"/>
      <c r="D413" s="72" t="s">
        <v>366</v>
      </c>
      <c r="E413" s="227"/>
      <c r="F413" s="386">
        <f>SUM(F111+F411+F412)</f>
        <v>3873989</v>
      </c>
      <c r="G413" s="386">
        <f>SUM(G111+G411+G412)</f>
        <v>1000045</v>
      </c>
      <c r="H413" s="382">
        <f>SUM(H111+H411+H412)</f>
        <v>1118328</v>
      </c>
      <c r="I413" s="661"/>
      <c r="J413" s="71"/>
      <c r="K413" s="71"/>
      <c r="L413" s="71"/>
      <c r="M413" s="71"/>
      <c r="N413" s="71"/>
      <c r="O413" s="71"/>
      <c r="P413" s="71"/>
      <c r="Q413" s="78"/>
    </row>
    <row r="414" spans="1:17" s="79" customFormat="1" ht="19.5" customHeight="1" hidden="1">
      <c r="A414" s="224">
        <v>406</v>
      </c>
      <c r="B414" s="73"/>
      <c r="C414" s="76">
        <v>23</v>
      </c>
      <c r="D414" s="71" t="s">
        <v>838</v>
      </c>
      <c r="E414" s="76"/>
      <c r="F414" s="382">
        <v>175989</v>
      </c>
      <c r="G414" s="382"/>
      <c r="H414" s="382"/>
      <c r="I414" s="662">
        <f>SUM(I112+I412+I413)</f>
        <v>1440666</v>
      </c>
      <c r="J414" s="72"/>
      <c r="K414" s="72"/>
      <c r="L414" s="72"/>
      <c r="M414" s="72"/>
      <c r="N414" s="72"/>
      <c r="O414" s="72"/>
      <c r="P414" s="72"/>
      <c r="Q414" s="112"/>
    </row>
    <row r="415" spans="1:17" s="79" customFormat="1" ht="19.5" customHeight="1" hidden="1">
      <c r="A415" s="224">
        <v>407</v>
      </c>
      <c r="B415" s="73">
        <v>1</v>
      </c>
      <c r="C415" s="71" t="s">
        <v>839</v>
      </c>
      <c r="D415" s="74"/>
      <c r="E415" s="1497"/>
      <c r="F415" s="383">
        <f>SUM(F413+F144+F414)</f>
        <v>4828237</v>
      </c>
      <c r="G415" s="383">
        <f>SUM(G413+G144+G414)</f>
        <v>1690849</v>
      </c>
      <c r="H415" s="383">
        <f>SUM(H413+H144+H414)</f>
        <v>1862479</v>
      </c>
      <c r="I415" s="661"/>
      <c r="J415" s="71"/>
      <c r="K415" s="71"/>
      <c r="L415" s="71"/>
      <c r="M415" s="71"/>
      <c r="N415" s="71"/>
      <c r="O415" s="71"/>
      <c r="P415" s="71"/>
      <c r="Q415" s="78"/>
    </row>
    <row r="416" spans="1:17" s="4" customFormat="1" ht="19.5" customHeight="1" hidden="1">
      <c r="A416" s="224">
        <v>408</v>
      </c>
      <c r="B416" s="73"/>
      <c r="C416" s="71" t="s">
        <v>840</v>
      </c>
      <c r="D416" s="74"/>
      <c r="E416" s="1497"/>
      <c r="F416" s="383"/>
      <c r="G416" s="383"/>
      <c r="H416" s="383"/>
      <c r="I416" s="661">
        <f>SUM(I414+I145+I415)</f>
        <v>2096662</v>
      </c>
      <c r="J416" s="71"/>
      <c r="K416" s="71"/>
      <c r="L416" s="71"/>
      <c r="M416" s="71"/>
      <c r="N416" s="71"/>
      <c r="O416" s="71"/>
      <c r="P416" s="71"/>
      <c r="Q416" s="78"/>
    </row>
    <row r="417" spans="1:17" s="79" customFormat="1" ht="19.5" customHeight="1" hidden="1">
      <c r="A417" s="224">
        <v>409</v>
      </c>
      <c r="B417" s="73">
        <v>2</v>
      </c>
      <c r="C417" s="483"/>
      <c r="D417" s="71" t="s">
        <v>841</v>
      </c>
      <c r="E417" s="76"/>
      <c r="F417" s="382">
        <v>345976</v>
      </c>
      <c r="G417" s="382"/>
      <c r="H417" s="382"/>
      <c r="I417" s="661"/>
      <c r="J417" s="74"/>
      <c r="K417" s="74"/>
      <c r="L417" s="74"/>
      <c r="M417" s="74"/>
      <c r="N417" s="74"/>
      <c r="O417" s="74"/>
      <c r="P417" s="74"/>
      <c r="Q417" s="75"/>
    </row>
    <row r="418" spans="1:17" s="79" customFormat="1" ht="19.5" customHeight="1" hidden="1">
      <c r="A418" s="224">
        <v>410</v>
      </c>
      <c r="B418" s="73">
        <v>3</v>
      </c>
      <c r="C418" s="483"/>
      <c r="D418" s="71" t="s">
        <v>842</v>
      </c>
      <c r="E418" s="76"/>
      <c r="F418" s="382">
        <v>355751</v>
      </c>
      <c r="G418" s="382"/>
      <c r="H418" s="382"/>
      <c r="I418" s="661"/>
      <c r="J418" s="71"/>
      <c r="K418" s="71"/>
      <c r="L418" s="71"/>
      <c r="M418" s="71"/>
      <c r="N418" s="71"/>
      <c r="O418" s="71"/>
      <c r="P418" s="71"/>
      <c r="Q418" s="78"/>
    </row>
    <row r="419" spans="1:17" s="4" customFormat="1" ht="19.5" customHeight="1" hidden="1">
      <c r="A419" s="224">
        <v>411</v>
      </c>
      <c r="B419" s="73">
        <v>4</v>
      </c>
      <c r="C419" s="483"/>
      <c r="D419" s="71" t="s">
        <v>843</v>
      </c>
      <c r="E419" s="76"/>
      <c r="F419" s="382">
        <v>345673</v>
      </c>
      <c r="G419" s="382"/>
      <c r="H419" s="382"/>
      <c r="I419" s="661"/>
      <c r="J419" s="71"/>
      <c r="K419" s="71"/>
      <c r="L419" s="71"/>
      <c r="M419" s="71"/>
      <c r="N419" s="71"/>
      <c r="O419" s="71"/>
      <c r="P419" s="71"/>
      <c r="Q419" s="78"/>
    </row>
    <row r="420" spans="1:17" s="4" customFormat="1" ht="19.5" customHeight="1" hidden="1">
      <c r="A420" s="224">
        <v>412</v>
      </c>
      <c r="B420" s="73">
        <v>5</v>
      </c>
      <c r="C420" s="483"/>
      <c r="D420" s="394" t="s">
        <v>844</v>
      </c>
      <c r="E420" s="723"/>
      <c r="F420" s="382">
        <v>454560</v>
      </c>
      <c r="G420" s="382"/>
      <c r="H420" s="382"/>
      <c r="I420" s="661"/>
      <c r="J420" s="74"/>
      <c r="K420" s="74"/>
      <c r="L420" s="74"/>
      <c r="M420" s="74"/>
      <c r="N420" s="74"/>
      <c r="O420" s="74"/>
      <c r="P420" s="74"/>
      <c r="Q420" s="75"/>
    </row>
    <row r="421" spans="1:17" s="4" customFormat="1" ht="19.5" customHeight="1" hidden="1">
      <c r="A421" s="224">
        <v>413</v>
      </c>
      <c r="B421" s="73">
        <v>6</v>
      </c>
      <c r="C421" s="483"/>
      <c r="D421" s="71" t="s">
        <v>367</v>
      </c>
      <c r="E421" s="76"/>
      <c r="F421" s="382">
        <v>388665</v>
      </c>
      <c r="G421" s="382"/>
      <c r="H421" s="382"/>
      <c r="I421" s="661"/>
      <c r="J421" s="74"/>
      <c r="K421" s="74"/>
      <c r="L421" s="74"/>
      <c r="M421" s="74"/>
      <c r="N421" s="74"/>
      <c r="O421" s="74"/>
      <c r="P421" s="74"/>
      <c r="Q421" s="75"/>
    </row>
    <row r="422" spans="1:17" s="4" customFormat="1" ht="19.5" customHeight="1" hidden="1">
      <c r="A422" s="224">
        <v>414</v>
      </c>
      <c r="B422" s="73">
        <v>7</v>
      </c>
      <c r="C422" s="71" t="s">
        <v>363</v>
      </c>
      <c r="D422" s="74"/>
      <c r="E422" s="1497"/>
      <c r="F422" s="383"/>
      <c r="G422" s="383"/>
      <c r="H422" s="383"/>
      <c r="I422" s="661"/>
      <c r="J422" s="74"/>
      <c r="K422" s="74"/>
      <c r="L422" s="74"/>
      <c r="M422" s="74"/>
      <c r="N422" s="74"/>
      <c r="O422" s="74"/>
      <c r="P422" s="74"/>
      <c r="Q422" s="75"/>
    </row>
    <row r="423" spans="1:17" s="79" customFormat="1" ht="19.5" customHeight="1" hidden="1">
      <c r="A423" s="224">
        <v>415</v>
      </c>
      <c r="B423" s="73"/>
      <c r="C423" s="76">
        <v>1</v>
      </c>
      <c r="D423" s="71" t="s">
        <v>845</v>
      </c>
      <c r="E423" s="76"/>
      <c r="F423" s="382">
        <v>194122</v>
      </c>
      <c r="G423" s="382"/>
      <c r="H423" s="382"/>
      <c r="I423" s="661"/>
      <c r="J423" s="74"/>
      <c r="K423" s="74"/>
      <c r="L423" s="74"/>
      <c r="M423" s="74"/>
      <c r="N423" s="74"/>
      <c r="O423" s="74"/>
      <c r="P423" s="74"/>
      <c r="Q423" s="75"/>
    </row>
    <row r="424" spans="1:17" s="79" customFormat="1" ht="19.5" customHeight="1" hidden="1">
      <c r="A424" s="224">
        <v>416</v>
      </c>
      <c r="B424" s="73"/>
      <c r="C424" s="76">
        <v>2</v>
      </c>
      <c r="D424" s="394" t="s">
        <v>846</v>
      </c>
      <c r="E424" s="723"/>
      <c r="F424" s="382">
        <v>88269</v>
      </c>
      <c r="G424" s="382"/>
      <c r="H424" s="382"/>
      <c r="I424" s="661"/>
      <c r="J424" s="71"/>
      <c r="K424" s="71"/>
      <c r="L424" s="71"/>
      <c r="M424" s="71"/>
      <c r="N424" s="71"/>
      <c r="O424" s="71"/>
      <c r="P424" s="71"/>
      <c r="Q424" s="78"/>
    </row>
    <row r="425" spans="1:17" s="79" customFormat="1" ht="19.5" customHeight="1" hidden="1">
      <c r="A425" s="224">
        <v>417</v>
      </c>
      <c r="B425" s="73"/>
      <c r="C425" s="76">
        <v>3</v>
      </c>
      <c r="D425" s="394" t="s">
        <v>847</v>
      </c>
      <c r="E425" s="723"/>
      <c r="F425" s="382">
        <v>370523</v>
      </c>
      <c r="G425" s="382"/>
      <c r="H425" s="382"/>
      <c r="I425" s="661"/>
      <c r="J425" s="71"/>
      <c r="K425" s="71"/>
      <c r="L425" s="71"/>
      <c r="M425" s="71"/>
      <c r="N425" s="71"/>
      <c r="O425" s="71"/>
      <c r="P425" s="71"/>
      <c r="Q425" s="78"/>
    </row>
    <row r="426" spans="1:17" s="79" customFormat="1" ht="19.5" customHeight="1" hidden="1">
      <c r="A426" s="224">
        <v>418</v>
      </c>
      <c r="B426" s="73"/>
      <c r="C426" s="76">
        <v>4</v>
      </c>
      <c r="D426" s="394" t="s">
        <v>856</v>
      </c>
      <c r="E426" s="723"/>
      <c r="F426" s="382">
        <v>163913</v>
      </c>
      <c r="G426" s="382"/>
      <c r="H426" s="382"/>
      <c r="I426" s="661"/>
      <c r="J426" s="71"/>
      <c r="K426" s="71"/>
      <c r="L426" s="71"/>
      <c r="M426" s="71"/>
      <c r="N426" s="71"/>
      <c r="O426" s="71"/>
      <c r="P426" s="71"/>
      <c r="Q426" s="78"/>
    </row>
    <row r="427" spans="1:17" s="79" customFormat="1" ht="19.5" customHeight="1" hidden="1">
      <c r="A427" s="224">
        <v>419</v>
      </c>
      <c r="B427" s="73"/>
      <c r="C427" s="76">
        <v>5</v>
      </c>
      <c r="D427" s="394" t="s">
        <v>848</v>
      </c>
      <c r="E427" s="723"/>
      <c r="F427" s="382">
        <v>201248</v>
      </c>
      <c r="G427" s="382"/>
      <c r="H427" s="382"/>
      <c r="I427" s="661"/>
      <c r="J427" s="71"/>
      <c r="K427" s="71"/>
      <c r="L427" s="71"/>
      <c r="M427" s="71"/>
      <c r="N427" s="71"/>
      <c r="O427" s="71"/>
      <c r="P427" s="71"/>
      <c r="Q427" s="78"/>
    </row>
    <row r="428" spans="1:17" s="131" customFormat="1" ht="19.5" customHeight="1" hidden="1">
      <c r="A428" s="224">
        <v>420</v>
      </c>
      <c r="B428" s="73">
        <v>7</v>
      </c>
      <c r="C428" s="71" t="s">
        <v>849</v>
      </c>
      <c r="D428" s="72"/>
      <c r="E428" s="227"/>
      <c r="F428" s="386">
        <f>SUM(F423:F427)</f>
        <v>1018075</v>
      </c>
      <c r="G428" s="386">
        <f>SUM(G423,G424,G425,G427)</f>
        <v>0</v>
      </c>
      <c r="H428" s="382">
        <f>SUM(H423,H424,H425,H427)</f>
        <v>0</v>
      </c>
      <c r="I428" s="661"/>
      <c r="J428" s="71"/>
      <c r="K428" s="71"/>
      <c r="L428" s="71"/>
      <c r="M428" s="71"/>
      <c r="N428" s="71"/>
      <c r="O428" s="71"/>
      <c r="P428" s="71"/>
      <c r="Q428" s="78"/>
    </row>
    <row r="429" spans="1:17" s="4" customFormat="1" ht="19.5" customHeight="1" hidden="1">
      <c r="A429" s="224">
        <v>421</v>
      </c>
      <c r="B429" s="73"/>
      <c r="C429" s="71" t="s">
        <v>850</v>
      </c>
      <c r="D429" s="74"/>
      <c r="E429" s="1497"/>
      <c r="F429" s="383">
        <f>SUM(F428,F417:F421)</f>
        <v>2908700</v>
      </c>
      <c r="G429" s="383">
        <f>SUM(G417+G418+G419+G420+G421+G423+G424+G425+G427)</f>
        <v>0</v>
      </c>
      <c r="H429" s="383">
        <f>SUM(H417+H418+H419+H420+H421+H423+H424+H425+H427)</f>
        <v>0</v>
      </c>
      <c r="I429" s="662">
        <f>SUM(I424,I425,I426,I428)</f>
        <v>0</v>
      </c>
      <c r="J429" s="72"/>
      <c r="K429" s="72"/>
      <c r="L429" s="72"/>
      <c r="M429" s="72"/>
      <c r="N429" s="72"/>
      <c r="O429" s="72"/>
      <c r="P429" s="72"/>
      <c r="Q429" s="112"/>
    </row>
    <row r="430" spans="1:17" s="383" customFormat="1" ht="14.25">
      <c r="A430" s="224">
        <v>422</v>
      </c>
      <c r="B430" s="1701" t="s">
        <v>764</v>
      </c>
      <c r="C430" s="1702"/>
      <c r="D430" s="1702"/>
      <c r="E430" s="1158"/>
      <c r="I430" s="1159"/>
      <c r="Q430" s="1160"/>
    </row>
    <row r="431" spans="1:18" s="382" customFormat="1" ht="14.25">
      <c r="A431" s="224">
        <v>423</v>
      </c>
      <c r="B431" s="1693" t="s">
        <v>788</v>
      </c>
      <c r="C431" s="1694"/>
      <c r="D431" s="1694"/>
      <c r="E431" s="1694"/>
      <c r="F431" s="382">
        <f>SUM(F149:F237,F144,F111,F278)+F397</f>
        <v>8291147</v>
      </c>
      <c r="G431" s="382">
        <f>SUM(G149:G237,G144,G111,G278)+G397</f>
        <v>3540002</v>
      </c>
      <c r="H431" s="382">
        <f>SUM(H149:H237,H144,H111,H278)</f>
        <v>3922107</v>
      </c>
      <c r="I431" s="1159"/>
      <c r="J431" s="383"/>
      <c r="K431" s="383"/>
      <c r="L431" s="383"/>
      <c r="M431" s="383"/>
      <c r="N431" s="383"/>
      <c r="O431" s="383"/>
      <c r="P431" s="383"/>
      <c r="Q431" s="1160"/>
      <c r="R431" s="1161">
        <f>(SUM(J432:Q432))-I432</f>
        <v>0</v>
      </c>
    </row>
    <row r="432" spans="1:18" s="852" customFormat="1" ht="14.25">
      <c r="A432" s="224">
        <v>424</v>
      </c>
      <c r="B432" s="1162"/>
      <c r="C432" s="1163"/>
      <c r="D432" s="1164" t="s">
        <v>403</v>
      </c>
      <c r="E432" s="1165"/>
      <c r="I432" s="1166">
        <f aca="true" t="shared" si="94" ref="I432:Q432">SUM(I279+I238+I233+I228+I223+I216+I211+I206+I201+I196+I186+I177+I171+I159+I150+I145+I112)</f>
        <v>4017962</v>
      </c>
      <c r="J432" s="862">
        <f t="shared" si="94"/>
        <v>1855614</v>
      </c>
      <c r="K432" s="862">
        <f t="shared" si="94"/>
        <v>536262</v>
      </c>
      <c r="L432" s="862">
        <f t="shared" si="94"/>
        <v>1562178</v>
      </c>
      <c r="M432" s="862">
        <f t="shared" si="94"/>
        <v>0</v>
      </c>
      <c r="N432" s="862">
        <f t="shared" si="94"/>
        <v>0</v>
      </c>
      <c r="O432" s="862">
        <f t="shared" si="94"/>
        <v>63908</v>
      </c>
      <c r="P432" s="862">
        <f t="shared" si="94"/>
        <v>0</v>
      </c>
      <c r="Q432" s="1167">
        <f t="shared" si="94"/>
        <v>0</v>
      </c>
      <c r="R432" s="862"/>
    </row>
    <row r="433" spans="1:18" s="382" customFormat="1" ht="14.25">
      <c r="A433" s="224">
        <v>425</v>
      </c>
      <c r="B433" s="1168"/>
      <c r="C433" s="1106"/>
      <c r="D433" s="1169" t="s">
        <v>957</v>
      </c>
      <c r="E433" s="1170"/>
      <c r="I433" s="1171">
        <f>SUM(J433:Q433)</f>
        <v>4591797</v>
      </c>
      <c r="J433" s="340">
        <f aca="true" t="shared" si="95" ref="J433:Q433">SUM(J113+J146+J151+J160+J172+J178+J187+J197+J202+J207+J212+J217+J224+J229+J234+J239+J280)+J164+J182</f>
        <v>2065460</v>
      </c>
      <c r="K433" s="340">
        <f t="shared" si="95"/>
        <v>562861</v>
      </c>
      <c r="L433" s="340">
        <f t="shared" si="95"/>
        <v>1810451</v>
      </c>
      <c r="M433" s="340">
        <f t="shared" si="95"/>
        <v>0</v>
      </c>
      <c r="N433" s="340">
        <f t="shared" si="95"/>
        <v>23870</v>
      </c>
      <c r="O433" s="340">
        <f t="shared" si="95"/>
        <v>123655</v>
      </c>
      <c r="P433" s="340">
        <f t="shared" si="95"/>
        <v>5500</v>
      </c>
      <c r="Q433" s="1172">
        <f t="shared" si="95"/>
        <v>0</v>
      </c>
      <c r="R433" s="340"/>
    </row>
    <row r="434" spans="1:18" s="386" customFormat="1" ht="14.25">
      <c r="A434" s="224">
        <v>426</v>
      </c>
      <c r="B434" s="1173"/>
      <c r="C434" s="1174"/>
      <c r="D434" s="1175" t="s">
        <v>405</v>
      </c>
      <c r="E434" s="1176"/>
      <c r="I434" s="1349">
        <f>SUM(J434:Q434)</f>
        <v>40839</v>
      </c>
      <c r="J434" s="1187">
        <f>SUM(J281:J282,J240,J235,J230,J225,J218:J220,J213,J208,J203,J198,J188:J189,J179,J173:J173,J161,J153:J154,J152,J147,J114)+J190+J174+J165+J183+J156+J155+J193+J192+J191+J168</f>
        <v>2285</v>
      </c>
      <c r="K434" s="1187">
        <f aca="true" t="shared" si="96" ref="K434:Q434">SUM(K281:K282,K240,K235,K230,K225,K218:K220,K213,K208,K203,K198,K188:K189,K179,K173:K173,K161,K153:K154,K152,K147,K114)+K190+K174+K165+K183+K156+K155+K193+K192+K191+K168</f>
        <v>8544</v>
      </c>
      <c r="L434" s="1187">
        <f t="shared" si="96"/>
        <v>23724</v>
      </c>
      <c r="M434" s="1187">
        <f t="shared" si="96"/>
        <v>0</v>
      </c>
      <c r="N434" s="1187">
        <f t="shared" si="96"/>
        <v>100</v>
      </c>
      <c r="O434" s="1187">
        <f t="shared" si="96"/>
        <v>6186</v>
      </c>
      <c r="P434" s="1187">
        <f t="shared" si="96"/>
        <v>0</v>
      </c>
      <c r="Q434" s="1188">
        <f t="shared" si="96"/>
        <v>0</v>
      </c>
      <c r="R434" s="1178"/>
    </row>
    <row r="435" spans="1:18" s="383" customFormat="1" ht="14.25">
      <c r="A435" s="224">
        <v>427</v>
      </c>
      <c r="B435" s="1179"/>
      <c r="C435" s="1158"/>
      <c r="D435" s="1180" t="s">
        <v>1067</v>
      </c>
      <c r="E435" s="1181"/>
      <c r="I435" s="1350">
        <f>SUM(J435:Q435)</f>
        <v>4632636</v>
      </c>
      <c r="J435" s="383">
        <f>SUM(J433:J434)</f>
        <v>2067745</v>
      </c>
      <c r="K435" s="383">
        <f aca="true" t="shared" si="97" ref="K435:Q435">SUM(K433:K434)</f>
        <v>571405</v>
      </c>
      <c r="L435" s="383">
        <f t="shared" si="97"/>
        <v>1834175</v>
      </c>
      <c r="M435" s="383">
        <f t="shared" si="97"/>
        <v>0</v>
      </c>
      <c r="N435" s="383">
        <f t="shared" si="97"/>
        <v>23970</v>
      </c>
      <c r="O435" s="383">
        <f t="shared" si="97"/>
        <v>129841</v>
      </c>
      <c r="P435" s="383">
        <f t="shared" si="97"/>
        <v>5500</v>
      </c>
      <c r="Q435" s="1160">
        <f t="shared" si="97"/>
        <v>0</v>
      </c>
      <c r="R435" s="398"/>
    </row>
    <row r="436" spans="1:18" s="382" customFormat="1" ht="14.25">
      <c r="A436" s="224">
        <v>428</v>
      </c>
      <c r="B436" s="1693" t="s">
        <v>764</v>
      </c>
      <c r="C436" s="1694"/>
      <c r="D436" s="1694"/>
      <c r="E436" s="1183"/>
      <c r="I436" s="1159"/>
      <c r="Q436" s="1184"/>
      <c r="R436" s="1161"/>
    </row>
    <row r="437" spans="1:18" s="382" customFormat="1" ht="14.25">
      <c r="A437" s="224">
        <v>429</v>
      </c>
      <c r="B437" s="1693" t="s">
        <v>765</v>
      </c>
      <c r="C437" s="1694"/>
      <c r="D437" s="1694"/>
      <c r="E437" s="1694"/>
      <c r="F437" s="382">
        <f>SUM(F242:F261)</f>
        <v>817905</v>
      </c>
      <c r="G437" s="382">
        <f>SUM(G242:G261)</f>
        <v>743066</v>
      </c>
      <c r="H437" s="382">
        <f>SUM(H242:H261)</f>
        <v>862906</v>
      </c>
      <c r="I437" s="1159"/>
      <c r="Q437" s="1184"/>
      <c r="R437" s="1161">
        <f>(SUM(J438:Q438))-I438</f>
        <v>0</v>
      </c>
    </row>
    <row r="438" spans="1:18" s="852" customFormat="1" ht="14.25">
      <c r="A438" s="224">
        <v>430</v>
      </c>
      <c r="B438" s="1162"/>
      <c r="C438" s="1163"/>
      <c r="D438" s="1164" t="s">
        <v>403</v>
      </c>
      <c r="E438" s="1165"/>
      <c r="I438" s="1166">
        <f aca="true" t="shared" si="98" ref="I438:Q438">SUM(I243,I257,I262,I269)</f>
        <v>780989</v>
      </c>
      <c r="J438" s="862">
        <f t="shared" si="98"/>
        <v>330070</v>
      </c>
      <c r="K438" s="862">
        <f t="shared" si="98"/>
        <v>87728</v>
      </c>
      <c r="L438" s="862">
        <f t="shared" si="98"/>
        <v>334481</v>
      </c>
      <c r="M438" s="862">
        <f t="shared" si="98"/>
        <v>0</v>
      </c>
      <c r="N438" s="862">
        <f t="shared" si="98"/>
        <v>0</v>
      </c>
      <c r="O438" s="862">
        <f t="shared" si="98"/>
        <v>10470</v>
      </c>
      <c r="P438" s="862">
        <f t="shared" si="98"/>
        <v>18240</v>
      </c>
      <c r="Q438" s="1167">
        <f t="shared" si="98"/>
        <v>0</v>
      </c>
      <c r="R438" s="862"/>
    </row>
    <row r="439" spans="1:19" s="382" customFormat="1" ht="14.25">
      <c r="A439" s="224">
        <v>431</v>
      </c>
      <c r="B439" s="1168"/>
      <c r="C439" s="1106"/>
      <c r="D439" s="1169" t="s">
        <v>957</v>
      </c>
      <c r="E439" s="1170"/>
      <c r="I439" s="1171">
        <f aca="true" t="shared" si="99" ref="I439:S439">SUM(I244+I258+I263+I270)++I250</f>
        <v>871342</v>
      </c>
      <c r="J439" s="340">
        <f t="shared" si="99"/>
        <v>339325</v>
      </c>
      <c r="K439" s="340">
        <f t="shared" si="99"/>
        <v>85171</v>
      </c>
      <c r="L439" s="340">
        <f t="shared" si="99"/>
        <v>427207</v>
      </c>
      <c r="M439" s="340">
        <f t="shared" si="99"/>
        <v>0</v>
      </c>
      <c r="N439" s="340">
        <f t="shared" si="99"/>
        <v>1926</v>
      </c>
      <c r="O439" s="340">
        <f t="shared" si="99"/>
        <v>3589</v>
      </c>
      <c r="P439" s="340">
        <f t="shared" si="99"/>
        <v>14124</v>
      </c>
      <c r="Q439" s="1172">
        <f t="shared" si="99"/>
        <v>0</v>
      </c>
      <c r="R439" s="340">
        <f t="shared" si="99"/>
        <v>0</v>
      </c>
      <c r="S439" s="382">
        <f t="shared" si="99"/>
        <v>0</v>
      </c>
    </row>
    <row r="440" spans="1:19" s="386" customFormat="1" ht="14.25">
      <c r="A440" s="224">
        <v>432</v>
      </c>
      <c r="B440" s="1173"/>
      <c r="C440" s="1174"/>
      <c r="D440" s="1175" t="s">
        <v>405</v>
      </c>
      <c r="E440" s="1176"/>
      <c r="I440" s="1349">
        <f>SUM(J440:Q440)</f>
        <v>21340</v>
      </c>
      <c r="J440" s="1187">
        <f>SUM(J245:J245,J259,J264:J264,J271)+J246+J251+J265+J266+J247+J254</f>
        <v>1373</v>
      </c>
      <c r="K440" s="1187">
        <f aca="true" t="shared" si="100" ref="K440:Q440">SUM(K245:K245,K259,K264:K264,K271)+K246+K251+K265+K266+K247+K254</f>
        <v>181</v>
      </c>
      <c r="L440" s="1187">
        <f t="shared" si="100"/>
        <v>15059</v>
      </c>
      <c r="M440" s="1187">
        <f t="shared" si="100"/>
        <v>0</v>
      </c>
      <c r="N440" s="1187">
        <f t="shared" si="100"/>
        <v>0</v>
      </c>
      <c r="O440" s="1187">
        <f t="shared" si="100"/>
        <v>1151</v>
      </c>
      <c r="P440" s="1187">
        <f t="shared" si="100"/>
        <v>3576</v>
      </c>
      <c r="Q440" s="1188">
        <f t="shared" si="100"/>
        <v>0</v>
      </c>
      <c r="R440" s="1178">
        <f>SUM(R245:R245,R259,R264:R264,R271)+R246+R251+R265</f>
        <v>0</v>
      </c>
      <c r="S440" s="386">
        <f>SUM(S245:S245,S259,S264:S264,S271)+S246+S251+S265</f>
        <v>0</v>
      </c>
    </row>
    <row r="441" spans="1:19" s="383" customFormat="1" ht="14.25">
      <c r="A441" s="224">
        <v>433</v>
      </c>
      <c r="B441" s="1179"/>
      <c r="C441" s="1158"/>
      <c r="D441" s="1180" t="s">
        <v>1067</v>
      </c>
      <c r="E441" s="1181"/>
      <c r="I441" s="1182">
        <f>SUM(I439:I440)</f>
        <v>892682</v>
      </c>
      <c r="J441" s="383">
        <f>SUM(J439:J440)</f>
        <v>340698</v>
      </c>
      <c r="K441" s="383">
        <f aca="true" t="shared" si="101" ref="K441:S441">SUM(K439:K440)</f>
        <v>85352</v>
      </c>
      <c r="L441" s="383">
        <f t="shared" si="101"/>
        <v>442266</v>
      </c>
      <c r="M441" s="383">
        <f t="shared" si="101"/>
        <v>0</v>
      </c>
      <c r="N441" s="383">
        <f t="shared" si="101"/>
        <v>1926</v>
      </c>
      <c r="O441" s="383">
        <f t="shared" si="101"/>
        <v>4740</v>
      </c>
      <c r="P441" s="383">
        <f t="shared" si="101"/>
        <v>17700</v>
      </c>
      <c r="Q441" s="1160">
        <f t="shared" si="101"/>
        <v>0</v>
      </c>
      <c r="R441" s="383">
        <f t="shared" si="101"/>
        <v>0</v>
      </c>
      <c r="S441" s="383">
        <f t="shared" si="101"/>
        <v>0</v>
      </c>
    </row>
    <row r="442" spans="1:18" s="382" customFormat="1" ht="14.25">
      <c r="A442" s="224">
        <v>434</v>
      </c>
      <c r="B442" s="1693" t="s">
        <v>764</v>
      </c>
      <c r="C442" s="1694"/>
      <c r="D442" s="1694"/>
      <c r="E442" s="1183"/>
      <c r="I442" s="1159"/>
      <c r="J442" s="383"/>
      <c r="K442" s="383"/>
      <c r="L442" s="383"/>
      <c r="M442" s="383"/>
      <c r="N442" s="383"/>
      <c r="O442" s="383"/>
      <c r="P442" s="383"/>
      <c r="Q442" s="1160"/>
      <c r="R442" s="1161"/>
    </row>
    <row r="443" spans="1:18" s="667" customFormat="1" ht="14.25">
      <c r="A443" s="224">
        <v>435</v>
      </c>
      <c r="B443" s="1698" t="s">
        <v>766</v>
      </c>
      <c r="C443" s="1699"/>
      <c r="D443" s="1699"/>
      <c r="E443" s="1699"/>
      <c r="F443" s="667">
        <f>SUM(F387)</f>
        <v>1481166</v>
      </c>
      <c r="G443" s="667">
        <f>SUM(G387)</f>
        <v>1426264</v>
      </c>
      <c r="H443" s="667">
        <f>SUM(H387)</f>
        <v>1262346</v>
      </c>
      <c r="I443" s="1159"/>
      <c r="J443" s="382"/>
      <c r="K443" s="382"/>
      <c r="L443" s="382"/>
      <c r="M443" s="382"/>
      <c r="N443" s="382"/>
      <c r="O443" s="382"/>
      <c r="P443" s="382"/>
      <c r="Q443" s="1184"/>
      <c r="R443" s="1161">
        <f>(SUM(J444:Q444))-I444</f>
        <v>0</v>
      </c>
    </row>
    <row r="444" spans="1:18" s="852" customFormat="1" ht="14.25">
      <c r="A444" s="224">
        <v>436</v>
      </c>
      <c r="B444" s="1162"/>
      <c r="C444" s="1163"/>
      <c r="D444" s="1164" t="s">
        <v>403</v>
      </c>
      <c r="E444" s="1165"/>
      <c r="I444" s="1166">
        <f aca="true" t="shared" si="102" ref="I444:Q444">SUM(I388)</f>
        <v>1328570</v>
      </c>
      <c r="J444" s="862">
        <f t="shared" si="102"/>
        <v>834196</v>
      </c>
      <c r="K444" s="862">
        <f t="shared" si="102"/>
        <v>235616</v>
      </c>
      <c r="L444" s="862">
        <f t="shared" si="102"/>
        <v>238500</v>
      </c>
      <c r="M444" s="1185">
        <f t="shared" si="102"/>
        <v>0</v>
      </c>
      <c r="N444" s="1185">
        <f t="shared" si="102"/>
        <v>0</v>
      </c>
      <c r="O444" s="1185">
        <f t="shared" si="102"/>
        <v>19833</v>
      </c>
      <c r="P444" s="1185">
        <f t="shared" si="102"/>
        <v>425</v>
      </c>
      <c r="Q444" s="1186">
        <f t="shared" si="102"/>
        <v>0</v>
      </c>
      <c r="R444" s="862"/>
    </row>
    <row r="445" spans="1:18" s="382" customFormat="1" ht="14.25">
      <c r="A445" s="224">
        <v>437</v>
      </c>
      <c r="B445" s="1168"/>
      <c r="C445" s="1106"/>
      <c r="D445" s="1169" t="s">
        <v>957</v>
      </c>
      <c r="E445" s="1170"/>
      <c r="I445" s="1171">
        <f>SUM(I389)</f>
        <v>1480404</v>
      </c>
      <c r="J445" s="340">
        <f aca="true" t="shared" si="103" ref="J445:Q445">SUM(J389)</f>
        <v>929678</v>
      </c>
      <c r="K445" s="340">
        <f t="shared" si="103"/>
        <v>255597</v>
      </c>
      <c r="L445" s="340">
        <f t="shared" si="103"/>
        <v>255793</v>
      </c>
      <c r="M445" s="340">
        <f t="shared" si="103"/>
        <v>0</v>
      </c>
      <c r="N445" s="340">
        <f t="shared" si="103"/>
        <v>5000</v>
      </c>
      <c r="O445" s="340">
        <f t="shared" si="103"/>
        <v>27887</v>
      </c>
      <c r="P445" s="340">
        <f t="shared" si="103"/>
        <v>6449</v>
      </c>
      <c r="Q445" s="1172">
        <f t="shared" si="103"/>
        <v>0</v>
      </c>
      <c r="R445" s="340"/>
    </row>
    <row r="446" spans="1:18" s="386" customFormat="1" ht="14.25">
      <c r="A446" s="224">
        <v>438</v>
      </c>
      <c r="B446" s="1173"/>
      <c r="C446" s="1174"/>
      <c r="D446" s="1175" t="s">
        <v>405</v>
      </c>
      <c r="E446" s="1176"/>
      <c r="I446" s="1177">
        <f>SUM(I390)</f>
        <v>-124</v>
      </c>
      <c r="J446" s="1187">
        <f>SUM(J390)</f>
        <v>195</v>
      </c>
      <c r="K446" s="1187">
        <f>SUM(K390)</f>
        <v>42</v>
      </c>
      <c r="L446" s="1187">
        <f aca="true" t="shared" si="104" ref="L446:Q446">SUM(L390)</f>
        <v>-361</v>
      </c>
      <c r="M446" s="1187">
        <f t="shared" si="104"/>
        <v>0</v>
      </c>
      <c r="N446" s="1187">
        <f t="shared" si="104"/>
        <v>0</v>
      </c>
      <c r="O446" s="1187">
        <f t="shared" si="104"/>
        <v>0</v>
      </c>
      <c r="P446" s="1187">
        <f t="shared" si="104"/>
        <v>0</v>
      </c>
      <c r="Q446" s="1188">
        <f t="shared" si="104"/>
        <v>0</v>
      </c>
      <c r="R446" s="1178"/>
    </row>
    <row r="447" spans="1:18" s="383" customFormat="1" ht="15" thickBot="1">
      <c r="A447" s="224">
        <v>439</v>
      </c>
      <c r="B447" s="1189"/>
      <c r="C447" s="1190"/>
      <c r="D447" s="1191" t="s">
        <v>1067</v>
      </c>
      <c r="E447" s="1192"/>
      <c r="F447" s="659"/>
      <c r="G447" s="659"/>
      <c r="H447" s="659"/>
      <c r="I447" s="1193">
        <f>SUM(I445:I446)</f>
        <v>1480280</v>
      </c>
      <c r="J447" s="659">
        <f>SUM(J445:J446)</f>
        <v>929873</v>
      </c>
      <c r="K447" s="659">
        <f aca="true" t="shared" si="105" ref="K447:Q447">SUM(K445:K446)</f>
        <v>255639</v>
      </c>
      <c r="L447" s="659">
        <f t="shared" si="105"/>
        <v>255432</v>
      </c>
      <c r="M447" s="659">
        <f t="shared" si="105"/>
        <v>0</v>
      </c>
      <c r="N447" s="659">
        <f t="shared" si="105"/>
        <v>5000</v>
      </c>
      <c r="O447" s="659">
        <f t="shared" si="105"/>
        <v>27887</v>
      </c>
      <c r="P447" s="659">
        <f t="shared" si="105"/>
        <v>6449</v>
      </c>
      <c r="Q447" s="1194">
        <f t="shared" si="105"/>
        <v>0</v>
      </c>
      <c r="R447" s="398"/>
    </row>
    <row r="448" spans="1:5" s="1157" customFormat="1" ht="13.5">
      <c r="A448" s="226"/>
      <c r="B448" s="1700" t="s">
        <v>801</v>
      </c>
      <c r="C448" s="1700"/>
      <c r="D448" s="1700"/>
      <c r="E448" s="226"/>
    </row>
    <row r="449" spans="1:9" s="1157" customFormat="1" ht="13.5">
      <c r="A449" s="226"/>
      <c r="B449" s="1697" t="s">
        <v>885</v>
      </c>
      <c r="C449" s="1697"/>
      <c r="D449" s="1697"/>
      <c r="E449" s="1697"/>
      <c r="F449" s="1697"/>
      <c r="G449" s="1697"/>
      <c r="H449" s="1697"/>
      <c r="I449" s="1697"/>
    </row>
    <row r="450" spans="1:5" s="1157" customFormat="1" ht="13.5">
      <c r="A450" s="226"/>
      <c r="B450" s="1697" t="s">
        <v>886</v>
      </c>
      <c r="C450" s="1697"/>
      <c r="D450" s="1697"/>
      <c r="E450" s="226"/>
    </row>
  </sheetData>
  <sheetProtection/>
  <mergeCells count="53">
    <mergeCell ref="B436:D436"/>
    <mergeCell ref="B398:D398"/>
    <mergeCell ref="B437:E437"/>
    <mergeCell ref="B450:D450"/>
    <mergeCell ref="B442:D442"/>
    <mergeCell ref="B443:E443"/>
    <mergeCell ref="B448:D448"/>
    <mergeCell ref="B449:I449"/>
    <mergeCell ref="B431:E431"/>
    <mergeCell ref="B430:D430"/>
    <mergeCell ref="C397:D397"/>
    <mergeCell ref="D16:G16"/>
    <mergeCell ref="C289:D289"/>
    <mergeCell ref="D372:G372"/>
    <mergeCell ref="D140:G140"/>
    <mergeCell ref="D67:G67"/>
    <mergeCell ref="B392:D392"/>
    <mergeCell ref="D158:G158"/>
    <mergeCell ref="D358:G358"/>
    <mergeCell ref="D163:H163"/>
    <mergeCell ref="D368:H368"/>
    <mergeCell ref="C387:D387"/>
    <mergeCell ref="D377:G377"/>
    <mergeCell ref="D382:G382"/>
    <mergeCell ref="D101:G101"/>
    <mergeCell ref="D130:G130"/>
    <mergeCell ref="D7:D8"/>
    <mergeCell ref="F7:F8"/>
    <mergeCell ref="D33:G33"/>
    <mergeCell ref="D89:G89"/>
    <mergeCell ref="D84:G84"/>
    <mergeCell ref="D72:G72"/>
    <mergeCell ref="D395:G395"/>
    <mergeCell ref="B1:F1"/>
    <mergeCell ref="G7:G8"/>
    <mergeCell ref="B7:B8"/>
    <mergeCell ref="B2:Q2"/>
    <mergeCell ref="B3:Q3"/>
    <mergeCell ref="J7:N7"/>
    <mergeCell ref="I7:I8"/>
    <mergeCell ref="B4:Q4"/>
    <mergeCell ref="P5:Q5"/>
    <mergeCell ref="E7:E8"/>
    <mergeCell ref="O7:Q7"/>
    <mergeCell ref="H7:H8"/>
    <mergeCell ref="D106:G106"/>
    <mergeCell ref="D50:G50"/>
    <mergeCell ref="C7:C8"/>
    <mergeCell ref="D167:H167"/>
    <mergeCell ref="D147:H147"/>
    <mergeCell ref="D276:G276"/>
    <mergeCell ref="D287:G287"/>
    <mergeCell ref="D253:G253"/>
  </mergeCells>
  <printOptions horizontalCentered="1"/>
  <pageMargins left="0.1968503937007874" right="0.1968503937007874" top="0.5905511811023623" bottom="0.3937007874015748" header="0.5118110236220472" footer="0.5118110236220472"/>
  <pageSetup fitToHeight="8" horizontalDpi="600" verticalDpi="600" orientation="landscape" paperSize="9" scale="60" r:id="rId1"/>
  <rowBreaks count="1" manualBreakCount="1">
    <brk id="24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23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125" defaultRowHeight="12.75"/>
  <cols>
    <col min="1" max="1" width="3.75390625" style="908" bestFit="1" customWidth="1"/>
    <col min="2" max="2" width="4.75390625" style="10" bestFit="1" customWidth="1"/>
    <col min="3" max="3" width="4.00390625" style="10" bestFit="1" customWidth="1"/>
    <col min="4" max="4" width="85.75390625" style="116" customWidth="1"/>
    <col min="5" max="5" width="5.375" style="42" customWidth="1"/>
    <col min="6" max="6" width="11.75390625" style="116" customWidth="1"/>
    <col min="7" max="7" width="11.75390625" style="495" customWidth="1"/>
    <col min="8" max="8" width="11.75390625" style="116" customWidth="1"/>
    <col min="9" max="9" width="12.75390625" style="61" customWidth="1"/>
    <col min="10" max="14" width="12.75390625" style="503" customWidth="1"/>
    <col min="15" max="15" width="10.00390625" style="116" bestFit="1" customWidth="1"/>
    <col min="16" max="16384" width="9.125" style="116" customWidth="1"/>
  </cols>
  <sheetData>
    <row r="1" spans="2:14" ht="17.25">
      <c r="B1" s="1717" t="s">
        <v>156</v>
      </c>
      <c r="C1" s="1717"/>
      <c r="D1" s="1717"/>
      <c r="H1" s="1704"/>
      <c r="I1" s="1704"/>
      <c r="J1" s="1499"/>
      <c r="K1" s="1499"/>
      <c r="L1" s="1499"/>
      <c r="M1" s="1499"/>
      <c r="N1" s="1499"/>
    </row>
    <row r="2" spans="2:14" ht="17.25">
      <c r="B2" s="1716" t="s">
        <v>1063</v>
      </c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</row>
    <row r="3" spans="4:14" ht="17.25">
      <c r="D3" s="496"/>
      <c r="E3" s="115"/>
      <c r="I3" s="116"/>
      <c r="J3" s="1499"/>
      <c r="K3" s="1499"/>
      <c r="L3" s="1499"/>
      <c r="M3" s="1704" t="s">
        <v>135</v>
      </c>
      <c r="N3" s="1704"/>
    </row>
    <row r="4" spans="1:14" s="42" customFormat="1" ht="17.25" thickBot="1">
      <c r="A4" s="908"/>
      <c r="B4" s="10" t="s">
        <v>146</v>
      </c>
      <c r="C4" s="405" t="s">
        <v>147</v>
      </c>
      <c r="D4" s="49" t="s">
        <v>148</v>
      </c>
      <c r="E4" s="49" t="s">
        <v>149</v>
      </c>
      <c r="F4" s="42" t="s">
        <v>150</v>
      </c>
      <c r="G4" s="42" t="s">
        <v>151</v>
      </c>
      <c r="H4" s="42" t="s">
        <v>152</v>
      </c>
      <c r="I4" s="49" t="s">
        <v>911</v>
      </c>
      <c r="J4" s="49" t="s">
        <v>912</v>
      </c>
      <c r="K4" s="49" t="s">
        <v>858</v>
      </c>
      <c r="L4" s="49" t="s">
        <v>859</v>
      </c>
      <c r="M4" s="49" t="s">
        <v>860</v>
      </c>
      <c r="N4" s="49" t="s">
        <v>861</v>
      </c>
    </row>
    <row r="5" spans="1:14" s="113" customFormat="1" ht="15">
      <c r="A5" s="909"/>
      <c r="B5" s="1718" t="s">
        <v>790</v>
      </c>
      <c r="C5" s="1724" t="s">
        <v>418</v>
      </c>
      <c r="D5" s="1720" t="s">
        <v>136</v>
      </c>
      <c r="E5" s="1711" t="s">
        <v>800</v>
      </c>
      <c r="F5" s="1707" t="s">
        <v>210</v>
      </c>
      <c r="G5" s="1707" t="s">
        <v>198</v>
      </c>
      <c r="H5" s="1709" t="s">
        <v>38</v>
      </c>
      <c r="I5" s="1722" t="s">
        <v>153</v>
      </c>
      <c r="J5" s="1705" t="s">
        <v>888</v>
      </c>
      <c r="K5" s="1705"/>
      <c r="L5" s="1705"/>
      <c r="M5" s="1705"/>
      <c r="N5" s="1706"/>
    </row>
    <row r="6" spans="1:14" s="113" customFormat="1" ht="45.75" thickBot="1">
      <c r="A6" s="909"/>
      <c r="B6" s="1719"/>
      <c r="C6" s="1725"/>
      <c r="D6" s="1721"/>
      <c r="E6" s="1712"/>
      <c r="F6" s="1708"/>
      <c r="G6" s="1708"/>
      <c r="H6" s="1710"/>
      <c r="I6" s="1723"/>
      <c r="J6" s="129" t="s">
        <v>869</v>
      </c>
      <c r="K6" s="129" t="s">
        <v>867</v>
      </c>
      <c r="L6" s="129" t="s">
        <v>870</v>
      </c>
      <c r="M6" s="129" t="s">
        <v>887</v>
      </c>
      <c r="N6" s="510" t="s">
        <v>871</v>
      </c>
    </row>
    <row r="7" spans="1:14" s="42" customFormat="1" ht="25.5" customHeight="1" thickTop="1">
      <c r="A7" s="908">
        <v>1</v>
      </c>
      <c r="B7" s="401">
        <v>18</v>
      </c>
      <c r="C7" s="402">
        <v>1</v>
      </c>
      <c r="D7" s="403" t="s">
        <v>35</v>
      </c>
      <c r="E7" s="404" t="s">
        <v>859</v>
      </c>
      <c r="F7" s="504">
        <v>775</v>
      </c>
      <c r="G7" s="504">
        <v>2000</v>
      </c>
      <c r="H7" s="523">
        <v>635</v>
      </c>
      <c r="I7" s="529"/>
      <c r="J7" s="328"/>
      <c r="K7" s="328"/>
      <c r="L7" s="328"/>
      <c r="M7" s="328"/>
      <c r="N7" s="339"/>
    </row>
    <row r="8" spans="1:14" s="893" customFormat="1" ht="16.5">
      <c r="A8" s="908">
        <v>2</v>
      </c>
      <c r="B8" s="884"/>
      <c r="C8" s="885"/>
      <c r="D8" s="886" t="s">
        <v>403</v>
      </c>
      <c r="E8" s="887"/>
      <c r="F8" s="888"/>
      <c r="G8" s="888"/>
      <c r="H8" s="889"/>
      <c r="I8" s="890">
        <f>SUM(J8:N8)</f>
        <v>5000</v>
      </c>
      <c r="J8" s="891">
        <v>500</v>
      </c>
      <c r="K8" s="891">
        <v>200</v>
      </c>
      <c r="L8" s="891">
        <v>1800</v>
      </c>
      <c r="M8" s="891"/>
      <c r="N8" s="892">
        <v>2500</v>
      </c>
    </row>
    <row r="9" spans="1:14" s="42" customFormat="1" ht="16.5">
      <c r="A9" s="908">
        <v>3</v>
      </c>
      <c r="B9" s="401"/>
      <c r="C9" s="402"/>
      <c r="D9" s="403" t="s">
        <v>957</v>
      </c>
      <c r="E9" s="404"/>
      <c r="F9" s="406"/>
      <c r="G9" s="406"/>
      <c r="H9" s="524"/>
      <c r="I9" s="530">
        <f>SUM(J9:N9)</f>
        <v>3340</v>
      </c>
      <c r="J9" s="124">
        <v>500</v>
      </c>
      <c r="K9" s="124">
        <v>200</v>
      </c>
      <c r="L9" s="124">
        <v>2140</v>
      </c>
      <c r="M9" s="124"/>
      <c r="N9" s="329">
        <v>500</v>
      </c>
    </row>
    <row r="10" spans="1:14" s="327" customFormat="1" ht="17.25">
      <c r="A10" s="908">
        <v>4</v>
      </c>
      <c r="B10" s="505"/>
      <c r="C10" s="506"/>
      <c r="D10" s="507" t="s">
        <v>405</v>
      </c>
      <c r="E10" s="508"/>
      <c r="F10" s="408"/>
      <c r="G10" s="408"/>
      <c r="H10" s="525"/>
      <c r="I10" s="531">
        <f>SUM(J10:N10)</f>
        <v>0</v>
      </c>
      <c r="J10" s="332"/>
      <c r="K10" s="332"/>
      <c r="L10" s="332"/>
      <c r="M10" s="332"/>
      <c r="N10" s="333"/>
    </row>
    <row r="11" spans="1:14" s="1500" customFormat="1" ht="17.25">
      <c r="A11" s="908">
        <v>5</v>
      </c>
      <c r="B11" s="337"/>
      <c r="C11" s="338"/>
      <c r="D11" s="334" t="s">
        <v>1067</v>
      </c>
      <c r="E11" s="335"/>
      <c r="F11" s="407"/>
      <c r="G11" s="407"/>
      <c r="H11" s="526"/>
      <c r="I11" s="532">
        <f aca="true" t="shared" si="0" ref="I11:I90">SUM(J11:N11)</f>
        <v>3340</v>
      </c>
      <c r="J11" s="407">
        <f>SUM(J9:J10)</f>
        <v>500</v>
      </c>
      <c r="K11" s="407">
        <f>SUM(K9:K10)</f>
        <v>200</v>
      </c>
      <c r="L11" s="407">
        <f>SUM(L9:L10)</f>
        <v>2140</v>
      </c>
      <c r="M11" s="407">
        <f>SUM(M9:M10)</f>
        <v>0</v>
      </c>
      <c r="N11" s="514">
        <f>SUM(N9:N10)</f>
        <v>500</v>
      </c>
    </row>
    <row r="12" spans="1:14" s="42" customFormat="1" ht="25.5" customHeight="1">
      <c r="A12" s="908">
        <v>6</v>
      </c>
      <c r="B12" s="126"/>
      <c r="C12" s="121">
        <v>2</v>
      </c>
      <c r="D12" s="122" t="s">
        <v>77</v>
      </c>
      <c r="E12" s="123" t="s">
        <v>859</v>
      </c>
      <c r="F12" s="406">
        <v>4719</v>
      </c>
      <c r="G12" s="406">
        <v>8000</v>
      </c>
      <c r="H12" s="524">
        <v>6813</v>
      </c>
      <c r="I12" s="530"/>
      <c r="J12" s="123"/>
      <c r="K12" s="123"/>
      <c r="L12" s="123"/>
      <c r="M12" s="123"/>
      <c r="N12" s="515"/>
    </row>
    <row r="13" spans="1:14" s="893" customFormat="1" ht="16.5">
      <c r="A13" s="908">
        <v>7</v>
      </c>
      <c r="B13" s="894"/>
      <c r="C13" s="895"/>
      <c r="D13" s="896" t="s">
        <v>403</v>
      </c>
      <c r="E13" s="897"/>
      <c r="F13" s="888"/>
      <c r="G13" s="888"/>
      <c r="H13" s="889"/>
      <c r="I13" s="890">
        <f t="shared" si="0"/>
        <v>4000</v>
      </c>
      <c r="J13" s="891"/>
      <c r="K13" s="891"/>
      <c r="L13" s="891">
        <v>2500</v>
      </c>
      <c r="M13" s="891"/>
      <c r="N13" s="892">
        <v>1500</v>
      </c>
    </row>
    <row r="14" spans="1:14" s="42" customFormat="1" ht="16.5">
      <c r="A14" s="908">
        <v>8</v>
      </c>
      <c r="B14" s="126"/>
      <c r="C14" s="121"/>
      <c r="D14" s="403" t="s">
        <v>957</v>
      </c>
      <c r="E14" s="123"/>
      <c r="F14" s="406"/>
      <c r="G14" s="406"/>
      <c r="H14" s="524"/>
      <c r="I14" s="530">
        <f t="shared" si="0"/>
        <v>4800</v>
      </c>
      <c r="J14" s="124"/>
      <c r="K14" s="124"/>
      <c r="L14" s="124">
        <v>4000</v>
      </c>
      <c r="M14" s="124"/>
      <c r="N14" s="329">
        <v>800</v>
      </c>
    </row>
    <row r="15" spans="1:14" s="327" customFormat="1" ht="17.25">
      <c r="A15" s="908">
        <v>9</v>
      </c>
      <c r="B15" s="128"/>
      <c r="C15" s="336"/>
      <c r="D15" s="507" t="s">
        <v>405</v>
      </c>
      <c r="E15" s="331"/>
      <c r="F15" s="408"/>
      <c r="G15" s="408"/>
      <c r="H15" s="525"/>
      <c r="I15" s="531">
        <f t="shared" si="0"/>
        <v>0</v>
      </c>
      <c r="J15" s="332"/>
      <c r="K15" s="332"/>
      <c r="L15" s="332"/>
      <c r="M15" s="332"/>
      <c r="N15" s="333"/>
    </row>
    <row r="16" spans="1:14" s="1500" customFormat="1" ht="17.25">
      <c r="A16" s="908">
        <v>10</v>
      </c>
      <c r="B16" s="337"/>
      <c r="C16" s="338"/>
      <c r="D16" s="334" t="s">
        <v>1067</v>
      </c>
      <c r="E16" s="335"/>
      <c r="F16" s="407"/>
      <c r="G16" s="407"/>
      <c r="H16" s="526"/>
      <c r="I16" s="532">
        <f t="shared" si="0"/>
        <v>4800</v>
      </c>
      <c r="J16" s="407">
        <f>SUM(J14:J15)</f>
        <v>0</v>
      </c>
      <c r="K16" s="407">
        <f>SUM(K14:K15)</f>
        <v>0</v>
      </c>
      <c r="L16" s="407">
        <f>SUM(L14:L15)</f>
        <v>4000</v>
      </c>
      <c r="M16" s="407">
        <f>SUM(M14:M15)</f>
        <v>0</v>
      </c>
      <c r="N16" s="514">
        <f>SUM(N14:N15)</f>
        <v>800</v>
      </c>
    </row>
    <row r="17" spans="1:14" s="42" customFormat="1" ht="25.5" customHeight="1">
      <c r="A17" s="908">
        <v>11</v>
      </c>
      <c r="B17" s="126"/>
      <c r="C17" s="121">
        <v>3</v>
      </c>
      <c r="D17" s="122" t="s">
        <v>162</v>
      </c>
      <c r="E17" s="123" t="s">
        <v>859</v>
      </c>
      <c r="F17" s="406">
        <v>800</v>
      </c>
      <c r="G17" s="406">
        <v>8000</v>
      </c>
      <c r="H17" s="524">
        <v>9050</v>
      </c>
      <c r="I17" s="530"/>
      <c r="J17" s="123"/>
      <c r="K17" s="123"/>
      <c r="L17" s="123"/>
      <c r="M17" s="123"/>
      <c r="N17" s="515"/>
    </row>
    <row r="18" spans="1:14" s="893" customFormat="1" ht="16.5">
      <c r="A18" s="908">
        <v>12</v>
      </c>
      <c r="B18" s="894"/>
      <c r="C18" s="895"/>
      <c r="D18" s="896" t="s">
        <v>403</v>
      </c>
      <c r="E18" s="897"/>
      <c r="F18" s="888"/>
      <c r="G18" s="888"/>
      <c r="H18" s="889"/>
      <c r="I18" s="890">
        <f t="shared" si="0"/>
        <v>8000</v>
      </c>
      <c r="J18" s="891"/>
      <c r="K18" s="891"/>
      <c r="L18" s="891"/>
      <c r="M18" s="891"/>
      <c r="N18" s="892">
        <v>8000</v>
      </c>
    </row>
    <row r="19" spans="1:14" s="42" customFormat="1" ht="16.5">
      <c r="A19" s="908">
        <v>13</v>
      </c>
      <c r="B19" s="126"/>
      <c r="C19" s="121"/>
      <c r="D19" s="403" t="s">
        <v>957</v>
      </c>
      <c r="E19" s="123"/>
      <c r="F19" s="406"/>
      <c r="G19" s="406"/>
      <c r="H19" s="524"/>
      <c r="I19" s="530">
        <f t="shared" si="0"/>
        <v>5070</v>
      </c>
      <c r="J19" s="124"/>
      <c r="K19" s="124"/>
      <c r="L19" s="124"/>
      <c r="M19" s="124"/>
      <c r="N19" s="329">
        <v>5070</v>
      </c>
    </row>
    <row r="20" spans="1:14" s="327" customFormat="1" ht="17.25">
      <c r="A20" s="908">
        <v>14</v>
      </c>
      <c r="B20" s="128"/>
      <c r="C20" s="336"/>
      <c r="D20" s="507" t="s">
        <v>405</v>
      </c>
      <c r="E20" s="331"/>
      <c r="F20" s="408"/>
      <c r="G20" s="408"/>
      <c r="H20" s="525"/>
      <c r="I20" s="531">
        <f t="shared" si="0"/>
        <v>0</v>
      </c>
      <c r="J20" s="332"/>
      <c r="K20" s="332"/>
      <c r="L20" s="332"/>
      <c r="M20" s="332"/>
      <c r="N20" s="333"/>
    </row>
    <row r="21" spans="1:14" s="1500" customFormat="1" ht="17.25">
      <c r="A21" s="908">
        <v>15</v>
      </c>
      <c r="B21" s="337"/>
      <c r="C21" s="338"/>
      <c r="D21" s="334" t="s">
        <v>1067</v>
      </c>
      <c r="E21" s="335"/>
      <c r="F21" s="407"/>
      <c r="G21" s="407"/>
      <c r="H21" s="526"/>
      <c r="I21" s="532">
        <f t="shared" si="0"/>
        <v>5070</v>
      </c>
      <c r="J21" s="407">
        <f>SUM(J19:J20)</f>
        <v>0</v>
      </c>
      <c r="K21" s="407">
        <f>SUM(K19:K20)</f>
        <v>0</v>
      </c>
      <c r="L21" s="407">
        <f>SUM(L19:L20)</f>
        <v>0</v>
      </c>
      <c r="M21" s="407">
        <f>SUM(M19:M20)</f>
        <v>0</v>
      </c>
      <c r="N21" s="514">
        <f>SUM(N19:N20)</f>
        <v>5070</v>
      </c>
    </row>
    <row r="22" spans="1:14" s="42" customFormat="1" ht="25.5" customHeight="1">
      <c r="A22" s="908">
        <v>16</v>
      </c>
      <c r="B22" s="126"/>
      <c r="C22" s="121">
        <v>4</v>
      </c>
      <c r="D22" s="122" t="s">
        <v>185</v>
      </c>
      <c r="E22" s="123" t="s">
        <v>799</v>
      </c>
      <c r="F22" s="406">
        <v>4834</v>
      </c>
      <c r="G22" s="406">
        <v>5000</v>
      </c>
      <c r="H22" s="524">
        <v>6175</v>
      </c>
      <c r="I22" s="530"/>
      <c r="J22" s="123"/>
      <c r="K22" s="123"/>
      <c r="L22" s="123"/>
      <c r="M22" s="123"/>
      <c r="N22" s="515"/>
    </row>
    <row r="23" spans="1:14" s="893" customFormat="1" ht="16.5">
      <c r="A23" s="908">
        <v>17</v>
      </c>
      <c r="B23" s="894"/>
      <c r="C23" s="895"/>
      <c r="D23" s="896" t="s">
        <v>403</v>
      </c>
      <c r="E23" s="897"/>
      <c r="F23" s="888"/>
      <c r="G23" s="888"/>
      <c r="H23" s="889"/>
      <c r="I23" s="890">
        <f t="shared" si="0"/>
        <v>6000</v>
      </c>
      <c r="J23" s="891"/>
      <c r="K23" s="891"/>
      <c r="L23" s="891">
        <v>6000</v>
      </c>
      <c r="M23" s="891"/>
      <c r="N23" s="892"/>
    </row>
    <row r="24" spans="1:14" s="42" customFormat="1" ht="16.5">
      <c r="A24" s="908">
        <v>18</v>
      </c>
      <c r="B24" s="126"/>
      <c r="C24" s="121"/>
      <c r="D24" s="403" t="s">
        <v>957</v>
      </c>
      <c r="E24" s="123"/>
      <c r="F24" s="406"/>
      <c r="G24" s="406"/>
      <c r="H24" s="524"/>
      <c r="I24" s="530">
        <f t="shared" si="0"/>
        <v>8470</v>
      </c>
      <c r="J24" s="124">
        <v>1350</v>
      </c>
      <c r="K24" s="124">
        <v>700</v>
      </c>
      <c r="L24" s="124">
        <v>6420</v>
      </c>
      <c r="M24" s="124"/>
      <c r="N24" s="329"/>
    </row>
    <row r="25" spans="1:14" s="327" customFormat="1" ht="17.25">
      <c r="A25" s="908">
        <v>19</v>
      </c>
      <c r="B25" s="128"/>
      <c r="C25" s="336"/>
      <c r="D25" s="507" t="s">
        <v>405</v>
      </c>
      <c r="E25" s="331"/>
      <c r="F25" s="408"/>
      <c r="G25" s="408"/>
      <c r="H25" s="525"/>
      <c r="I25" s="531">
        <f t="shared" si="0"/>
        <v>0</v>
      </c>
      <c r="J25" s="332"/>
      <c r="K25" s="332"/>
      <c r="L25" s="332"/>
      <c r="M25" s="332"/>
      <c r="N25" s="333"/>
    </row>
    <row r="26" spans="1:14" s="1500" customFormat="1" ht="17.25">
      <c r="A26" s="908">
        <v>20</v>
      </c>
      <c r="B26" s="337"/>
      <c r="C26" s="338"/>
      <c r="D26" s="334" t="s">
        <v>1067</v>
      </c>
      <c r="E26" s="335"/>
      <c r="F26" s="407"/>
      <c r="G26" s="407"/>
      <c r="H26" s="526"/>
      <c r="I26" s="532">
        <f t="shared" si="0"/>
        <v>8470</v>
      </c>
      <c r="J26" s="407">
        <f>SUM(J24:J25)</f>
        <v>1350</v>
      </c>
      <c r="K26" s="407">
        <f>SUM(K24:K25)</f>
        <v>700</v>
      </c>
      <c r="L26" s="407">
        <f>SUM(L24:L25)</f>
        <v>6420</v>
      </c>
      <c r="M26" s="407">
        <f>SUM(M24:M25)</f>
        <v>0</v>
      </c>
      <c r="N26" s="514">
        <f>SUM(N24:N25)</f>
        <v>0</v>
      </c>
    </row>
    <row r="27" spans="1:14" s="42" customFormat="1" ht="25.5" customHeight="1">
      <c r="A27" s="908">
        <v>21</v>
      </c>
      <c r="B27" s="126"/>
      <c r="C27" s="121">
        <v>5</v>
      </c>
      <c r="D27" s="122" t="s">
        <v>188</v>
      </c>
      <c r="E27" s="123" t="s">
        <v>799</v>
      </c>
      <c r="F27" s="406">
        <v>6079</v>
      </c>
      <c r="G27" s="406">
        <v>5000</v>
      </c>
      <c r="H27" s="524">
        <v>5434</v>
      </c>
      <c r="I27" s="530"/>
      <c r="J27" s="123"/>
      <c r="K27" s="123"/>
      <c r="L27" s="123"/>
      <c r="M27" s="123"/>
      <c r="N27" s="515"/>
    </row>
    <row r="28" spans="1:14" s="893" customFormat="1" ht="16.5">
      <c r="A28" s="908">
        <v>22</v>
      </c>
      <c r="B28" s="894"/>
      <c r="C28" s="895"/>
      <c r="D28" s="896" t="s">
        <v>403</v>
      </c>
      <c r="E28" s="897"/>
      <c r="F28" s="888"/>
      <c r="G28" s="888"/>
      <c r="H28" s="889"/>
      <c r="I28" s="890">
        <f t="shared" si="0"/>
        <v>8000</v>
      </c>
      <c r="J28" s="891"/>
      <c r="K28" s="891"/>
      <c r="L28" s="891">
        <v>8000</v>
      </c>
      <c r="M28" s="891"/>
      <c r="N28" s="892"/>
    </row>
    <row r="29" spans="1:14" s="42" customFormat="1" ht="16.5">
      <c r="A29" s="908">
        <v>23</v>
      </c>
      <c r="B29" s="126"/>
      <c r="C29" s="121"/>
      <c r="D29" s="403" t="s">
        <v>957</v>
      </c>
      <c r="E29" s="123"/>
      <c r="F29" s="406"/>
      <c r="G29" s="406"/>
      <c r="H29" s="524"/>
      <c r="I29" s="530">
        <f t="shared" si="0"/>
        <v>7797</v>
      </c>
      <c r="J29" s="124"/>
      <c r="K29" s="124"/>
      <c r="L29" s="124">
        <v>7797</v>
      </c>
      <c r="M29" s="124"/>
      <c r="N29" s="329"/>
    </row>
    <row r="30" spans="1:14" s="327" customFormat="1" ht="17.25">
      <c r="A30" s="908">
        <v>24</v>
      </c>
      <c r="B30" s="128"/>
      <c r="C30" s="336"/>
      <c r="D30" s="507" t="s">
        <v>405</v>
      </c>
      <c r="E30" s="331"/>
      <c r="F30" s="408"/>
      <c r="G30" s="408"/>
      <c r="H30" s="525"/>
      <c r="I30" s="531">
        <f t="shared" si="0"/>
        <v>0</v>
      </c>
      <c r="J30" s="332"/>
      <c r="K30" s="332"/>
      <c r="L30" s="332"/>
      <c r="M30" s="332"/>
      <c r="N30" s="333"/>
    </row>
    <row r="31" spans="1:14" s="1500" customFormat="1" ht="17.25">
      <c r="A31" s="908">
        <v>25</v>
      </c>
      <c r="B31" s="337"/>
      <c r="C31" s="338"/>
      <c r="D31" s="334" t="s">
        <v>1067</v>
      </c>
      <c r="E31" s="335"/>
      <c r="F31" s="407"/>
      <c r="G31" s="407"/>
      <c r="H31" s="526"/>
      <c r="I31" s="532">
        <f t="shared" si="0"/>
        <v>7797</v>
      </c>
      <c r="J31" s="407">
        <f>SUM(J29:J30)</f>
        <v>0</v>
      </c>
      <c r="K31" s="407">
        <f>SUM(K29:K30)</f>
        <v>0</v>
      </c>
      <c r="L31" s="407">
        <f>SUM(L29:L30)</f>
        <v>7797</v>
      </c>
      <c r="M31" s="407">
        <f>SUM(M29:M30)</f>
        <v>0</v>
      </c>
      <c r="N31" s="514">
        <f>SUM(N29:N30)</f>
        <v>0</v>
      </c>
    </row>
    <row r="32" spans="1:14" s="42" customFormat="1" ht="25.5" customHeight="1">
      <c r="A32" s="908">
        <v>26</v>
      </c>
      <c r="B32" s="126"/>
      <c r="C32" s="121">
        <v>6</v>
      </c>
      <c r="D32" s="122" t="s">
        <v>186</v>
      </c>
      <c r="E32" s="123" t="s">
        <v>799</v>
      </c>
      <c r="F32" s="406">
        <v>7820</v>
      </c>
      <c r="G32" s="406">
        <v>5500</v>
      </c>
      <c r="H32" s="524">
        <v>8587</v>
      </c>
      <c r="I32" s="530"/>
      <c r="J32" s="123"/>
      <c r="K32" s="123"/>
      <c r="L32" s="123"/>
      <c r="M32" s="123"/>
      <c r="N32" s="515"/>
    </row>
    <row r="33" spans="1:14" s="893" customFormat="1" ht="16.5">
      <c r="A33" s="908">
        <v>27</v>
      </c>
      <c r="B33" s="894"/>
      <c r="C33" s="895"/>
      <c r="D33" s="896" t="s">
        <v>403</v>
      </c>
      <c r="E33" s="897"/>
      <c r="F33" s="888"/>
      <c r="G33" s="888"/>
      <c r="H33" s="889"/>
      <c r="I33" s="890">
        <f t="shared" si="0"/>
        <v>7000</v>
      </c>
      <c r="J33" s="891">
        <v>2800</v>
      </c>
      <c r="K33" s="891">
        <v>2000</v>
      </c>
      <c r="L33" s="891">
        <v>2200</v>
      </c>
      <c r="M33" s="891"/>
      <c r="N33" s="892"/>
    </row>
    <row r="34" spans="1:14" s="42" customFormat="1" ht="16.5">
      <c r="A34" s="908">
        <v>28</v>
      </c>
      <c r="B34" s="126"/>
      <c r="C34" s="121"/>
      <c r="D34" s="403" t="s">
        <v>957</v>
      </c>
      <c r="E34" s="123"/>
      <c r="F34" s="406"/>
      <c r="G34" s="406"/>
      <c r="H34" s="524"/>
      <c r="I34" s="530">
        <f t="shared" si="0"/>
        <v>8200</v>
      </c>
      <c r="J34" s="124">
        <v>2800</v>
      </c>
      <c r="K34" s="124">
        <v>2000</v>
      </c>
      <c r="L34" s="124">
        <v>3400</v>
      </c>
      <c r="M34" s="124"/>
      <c r="N34" s="329"/>
    </row>
    <row r="35" spans="1:14" s="327" customFormat="1" ht="17.25">
      <c r="A35" s="908">
        <v>29</v>
      </c>
      <c r="B35" s="128"/>
      <c r="C35" s="336"/>
      <c r="D35" s="507" t="s">
        <v>405</v>
      </c>
      <c r="E35" s="331"/>
      <c r="F35" s="408"/>
      <c r="G35" s="408"/>
      <c r="H35" s="525"/>
      <c r="I35" s="531">
        <f t="shared" si="0"/>
        <v>0</v>
      </c>
      <c r="J35" s="332"/>
      <c r="K35" s="332"/>
      <c r="L35" s="332"/>
      <c r="M35" s="332"/>
      <c r="N35" s="333"/>
    </row>
    <row r="36" spans="1:14" s="1500" customFormat="1" ht="17.25">
      <c r="A36" s="908">
        <v>30</v>
      </c>
      <c r="B36" s="337"/>
      <c r="C36" s="338"/>
      <c r="D36" s="334" t="s">
        <v>1067</v>
      </c>
      <c r="E36" s="335"/>
      <c r="F36" s="407"/>
      <c r="G36" s="407"/>
      <c r="H36" s="526"/>
      <c r="I36" s="532">
        <f t="shared" si="0"/>
        <v>8200</v>
      </c>
      <c r="J36" s="407">
        <f>SUM(J34:J35)</f>
        <v>2800</v>
      </c>
      <c r="K36" s="407">
        <f>SUM(K34:K35)</f>
        <v>2000</v>
      </c>
      <c r="L36" s="407">
        <f>SUM(L34:L35)</f>
        <v>3400</v>
      </c>
      <c r="M36" s="407">
        <f>SUM(M34:M35)</f>
        <v>0</v>
      </c>
      <c r="N36" s="514">
        <f>SUM(N34:N35)</f>
        <v>0</v>
      </c>
    </row>
    <row r="37" spans="1:14" s="42" customFormat="1" ht="25.5" customHeight="1">
      <c r="A37" s="908">
        <v>31</v>
      </c>
      <c r="B37" s="126"/>
      <c r="C37" s="121">
        <v>7</v>
      </c>
      <c r="D37" s="122" t="s">
        <v>187</v>
      </c>
      <c r="E37" s="123" t="s">
        <v>799</v>
      </c>
      <c r="F37" s="406">
        <v>196</v>
      </c>
      <c r="G37" s="406">
        <v>1000</v>
      </c>
      <c r="H37" s="524">
        <v>3385</v>
      </c>
      <c r="I37" s="530"/>
      <c r="J37" s="123"/>
      <c r="K37" s="123"/>
      <c r="L37" s="123"/>
      <c r="M37" s="123"/>
      <c r="N37" s="515"/>
    </row>
    <row r="38" spans="1:14" s="893" customFormat="1" ht="16.5">
      <c r="A38" s="908">
        <v>32</v>
      </c>
      <c r="B38" s="894"/>
      <c r="C38" s="895"/>
      <c r="D38" s="896" t="s">
        <v>403</v>
      </c>
      <c r="E38" s="897"/>
      <c r="F38" s="888"/>
      <c r="G38" s="888"/>
      <c r="H38" s="889"/>
      <c r="I38" s="890">
        <f t="shared" si="0"/>
        <v>2000</v>
      </c>
      <c r="J38" s="891"/>
      <c r="K38" s="891"/>
      <c r="L38" s="891"/>
      <c r="M38" s="891"/>
      <c r="N38" s="892">
        <v>2000</v>
      </c>
    </row>
    <row r="39" spans="1:14" s="42" customFormat="1" ht="16.5">
      <c r="A39" s="908">
        <v>33</v>
      </c>
      <c r="B39" s="126"/>
      <c r="C39" s="121"/>
      <c r="D39" s="403" t="s">
        <v>957</v>
      </c>
      <c r="E39" s="123"/>
      <c r="F39" s="406"/>
      <c r="G39" s="406"/>
      <c r="H39" s="524"/>
      <c r="I39" s="530">
        <f t="shared" si="0"/>
        <v>2000</v>
      </c>
      <c r="J39" s="124"/>
      <c r="K39" s="124"/>
      <c r="L39" s="124"/>
      <c r="M39" s="124"/>
      <c r="N39" s="329">
        <v>2000</v>
      </c>
    </row>
    <row r="40" spans="1:14" s="327" customFormat="1" ht="17.25">
      <c r="A40" s="908">
        <v>34</v>
      </c>
      <c r="B40" s="128"/>
      <c r="C40" s="336"/>
      <c r="D40" s="507" t="s">
        <v>405</v>
      </c>
      <c r="E40" s="331"/>
      <c r="F40" s="408"/>
      <c r="G40" s="408"/>
      <c r="H40" s="525"/>
      <c r="I40" s="531">
        <f t="shared" si="0"/>
        <v>0</v>
      </c>
      <c r="J40" s="332"/>
      <c r="K40" s="332"/>
      <c r="L40" s="332"/>
      <c r="M40" s="332"/>
      <c r="N40" s="333"/>
    </row>
    <row r="41" spans="1:14" s="1500" customFormat="1" ht="17.25">
      <c r="A41" s="908">
        <v>35</v>
      </c>
      <c r="B41" s="337"/>
      <c r="C41" s="338"/>
      <c r="D41" s="334" t="s">
        <v>1067</v>
      </c>
      <c r="E41" s="335"/>
      <c r="F41" s="407"/>
      <c r="G41" s="407"/>
      <c r="H41" s="526"/>
      <c r="I41" s="532">
        <f t="shared" si="0"/>
        <v>2000</v>
      </c>
      <c r="J41" s="407">
        <f>SUM(J39:J40)</f>
        <v>0</v>
      </c>
      <c r="K41" s="407">
        <f>SUM(K39:K40)</f>
        <v>0</v>
      </c>
      <c r="L41" s="407">
        <f>SUM(L39:L40)</f>
        <v>0</v>
      </c>
      <c r="M41" s="407">
        <f>SUM(M39:M40)</f>
        <v>0</v>
      </c>
      <c r="N41" s="514">
        <f>SUM(N39:N40)</f>
        <v>2000</v>
      </c>
    </row>
    <row r="42" spans="1:14" s="42" customFormat="1" ht="25.5" customHeight="1">
      <c r="A42" s="908">
        <v>36</v>
      </c>
      <c r="B42" s="126"/>
      <c r="C42" s="121">
        <v>8</v>
      </c>
      <c r="D42" s="122" t="s">
        <v>429</v>
      </c>
      <c r="E42" s="123" t="s">
        <v>799</v>
      </c>
      <c r="F42" s="406">
        <f>SUM(F47:F62)</f>
        <v>32696</v>
      </c>
      <c r="G42" s="406">
        <f>SUM(G47:G62)</f>
        <v>35000</v>
      </c>
      <c r="H42" s="524">
        <f>SUM(H47:H62)</f>
        <v>29933</v>
      </c>
      <c r="I42" s="530"/>
      <c r="J42" s="123"/>
      <c r="K42" s="123"/>
      <c r="L42" s="123"/>
      <c r="M42" s="123"/>
      <c r="N42" s="515"/>
    </row>
    <row r="43" spans="1:14" s="893" customFormat="1" ht="16.5">
      <c r="A43" s="908">
        <v>37</v>
      </c>
      <c r="B43" s="894"/>
      <c r="C43" s="895"/>
      <c r="D43" s="896" t="s">
        <v>403</v>
      </c>
      <c r="E43" s="897"/>
      <c r="F43" s="888"/>
      <c r="G43" s="888"/>
      <c r="H43" s="889"/>
      <c r="I43" s="890">
        <f t="shared" si="0"/>
        <v>42300</v>
      </c>
      <c r="J43" s="888">
        <f>SUM(J48,J53,J58,J63,J68)</f>
        <v>0</v>
      </c>
      <c r="K43" s="888">
        <f>SUM(K48,K53,K58,K63,K68)</f>
        <v>0</v>
      </c>
      <c r="L43" s="888">
        <f>SUM(L48,L53,L58,L63,L68)</f>
        <v>10300</v>
      </c>
      <c r="M43" s="888">
        <f>SUM(M48,M53,M58,M63,M68)</f>
        <v>0</v>
      </c>
      <c r="N43" s="898">
        <f>SUM(N48,N53,N58,N63,N68)</f>
        <v>32000</v>
      </c>
    </row>
    <row r="44" spans="1:14" s="42" customFormat="1" ht="16.5">
      <c r="A44" s="908">
        <v>38</v>
      </c>
      <c r="B44" s="126"/>
      <c r="C44" s="121"/>
      <c r="D44" s="403" t="s">
        <v>957</v>
      </c>
      <c r="E44" s="123"/>
      <c r="F44" s="406"/>
      <c r="G44" s="406"/>
      <c r="H44" s="524"/>
      <c r="I44" s="530">
        <f t="shared" si="0"/>
        <v>42300</v>
      </c>
      <c r="J44" s="406">
        <f>SUM(J49,J54,J59,J64,J69)</f>
        <v>0</v>
      </c>
      <c r="K44" s="406">
        <f>SUM(K49,K54,K59,K64,K69)</f>
        <v>0</v>
      </c>
      <c r="L44" s="406">
        <f>SUM(L49,L54,L59,L64,L69)</f>
        <v>3300</v>
      </c>
      <c r="M44" s="406">
        <f>SUM(M49,M54,M59,M64,M69)</f>
        <v>0</v>
      </c>
      <c r="N44" s="511">
        <f>SUM(N49,N54,N59,N64,N69)</f>
        <v>39000</v>
      </c>
    </row>
    <row r="45" spans="1:14" s="327" customFormat="1" ht="17.25">
      <c r="A45" s="908">
        <v>39</v>
      </c>
      <c r="B45" s="128"/>
      <c r="C45" s="336"/>
      <c r="D45" s="507" t="s">
        <v>405</v>
      </c>
      <c r="E45" s="331"/>
      <c r="F45" s="408"/>
      <c r="G45" s="408"/>
      <c r="H45" s="525"/>
      <c r="I45" s="531">
        <f t="shared" si="0"/>
        <v>0</v>
      </c>
      <c r="J45" s="408">
        <f>SUM(J50,J55,J60,J65,J70)</f>
        <v>0</v>
      </c>
      <c r="K45" s="408">
        <f>SUM(K50,K55,K60,K65,K70)</f>
        <v>0</v>
      </c>
      <c r="L45" s="408">
        <f>SUM(L50,L55,L60,L65,L70)</f>
        <v>0</v>
      </c>
      <c r="M45" s="408">
        <f>SUM(M50,M55,M60,M65,M70)</f>
        <v>0</v>
      </c>
      <c r="N45" s="512">
        <f>SUM(N50,N55,N60,N65,N70)</f>
        <v>0</v>
      </c>
    </row>
    <row r="46" spans="1:14" s="1500" customFormat="1" ht="17.25">
      <c r="A46" s="908">
        <v>40</v>
      </c>
      <c r="B46" s="337"/>
      <c r="C46" s="338"/>
      <c r="D46" s="334" t="s">
        <v>1067</v>
      </c>
      <c r="E46" s="335"/>
      <c r="F46" s="407"/>
      <c r="G46" s="407"/>
      <c r="H46" s="526"/>
      <c r="I46" s="532">
        <f t="shared" si="0"/>
        <v>42300</v>
      </c>
      <c r="J46" s="407">
        <f>SUM(J44:J45)</f>
        <v>0</v>
      </c>
      <c r="K46" s="407">
        <f>SUM(K44:K45)</f>
        <v>0</v>
      </c>
      <c r="L46" s="407">
        <f>SUM(L44:L45)</f>
        <v>3300</v>
      </c>
      <c r="M46" s="407">
        <f>SUM(M44:M45)</f>
        <v>0</v>
      </c>
      <c r="N46" s="514">
        <f>SUM(N44:N45)</f>
        <v>39000</v>
      </c>
    </row>
    <row r="47" spans="1:14" s="42" customFormat="1" ht="17.25">
      <c r="A47" s="908">
        <v>41</v>
      </c>
      <c r="B47" s="126"/>
      <c r="C47" s="121"/>
      <c r="D47" s="330" t="s">
        <v>914</v>
      </c>
      <c r="E47" s="331"/>
      <c r="F47" s="408">
        <v>22000</v>
      </c>
      <c r="G47" s="408">
        <v>20000</v>
      </c>
      <c r="H47" s="525">
        <v>20000</v>
      </c>
      <c r="I47" s="531"/>
      <c r="J47" s="332"/>
      <c r="K47" s="332"/>
      <c r="L47" s="332"/>
      <c r="M47" s="332"/>
      <c r="N47" s="333"/>
    </row>
    <row r="48" spans="1:14" s="893" customFormat="1" ht="17.25">
      <c r="A48" s="908">
        <v>42</v>
      </c>
      <c r="B48" s="894"/>
      <c r="C48" s="895"/>
      <c r="D48" s="1036" t="s">
        <v>403</v>
      </c>
      <c r="E48" s="1037"/>
      <c r="F48" s="1038"/>
      <c r="G48" s="1038"/>
      <c r="H48" s="1039"/>
      <c r="I48" s="1040">
        <f t="shared" si="0"/>
        <v>22000</v>
      </c>
      <c r="J48" s="1041"/>
      <c r="K48" s="1041"/>
      <c r="L48" s="1041"/>
      <c r="M48" s="1041"/>
      <c r="N48" s="1042">
        <v>22000</v>
      </c>
    </row>
    <row r="49" spans="1:14" s="42" customFormat="1" ht="17.25">
      <c r="A49" s="908">
        <v>43</v>
      </c>
      <c r="B49" s="126"/>
      <c r="C49" s="121"/>
      <c r="D49" s="1043" t="s">
        <v>957</v>
      </c>
      <c r="E49" s="331"/>
      <c r="F49" s="408"/>
      <c r="G49" s="408"/>
      <c r="H49" s="525"/>
      <c r="I49" s="531">
        <f t="shared" si="0"/>
        <v>22000</v>
      </c>
      <c r="J49" s="332"/>
      <c r="K49" s="332"/>
      <c r="L49" s="332"/>
      <c r="M49" s="332"/>
      <c r="N49" s="333">
        <v>22000</v>
      </c>
    </row>
    <row r="50" spans="1:14" s="327" customFormat="1" ht="17.25">
      <c r="A50" s="908">
        <v>44</v>
      </c>
      <c r="B50" s="128"/>
      <c r="C50" s="336"/>
      <c r="D50" s="1044" t="s">
        <v>405</v>
      </c>
      <c r="E50" s="331"/>
      <c r="F50" s="408"/>
      <c r="G50" s="408"/>
      <c r="H50" s="525"/>
      <c r="I50" s="531">
        <f t="shared" si="0"/>
        <v>0</v>
      </c>
      <c r="J50" s="332"/>
      <c r="K50" s="332"/>
      <c r="L50" s="332"/>
      <c r="M50" s="332"/>
      <c r="N50" s="333"/>
    </row>
    <row r="51" spans="1:14" s="1500" customFormat="1" ht="17.25">
      <c r="A51" s="908">
        <v>45</v>
      </c>
      <c r="B51" s="337"/>
      <c r="C51" s="338"/>
      <c r="D51" s="1045" t="s">
        <v>1067</v>
      </c>
      <c r="E51" s="1046"/>
      <c r="F51" s="1047"/>
      <c r="G51" s="1047"/>
      <c r="H51" s="1048"/>
      <c r="I51" s="1049">
        <f t="shared" si="0"/>
        <v>22000</v>
      </c>
      <c r="J51" s="1047">
        <f>SUM(J49:J50)</f>
        <v>0</v>
      </c>
      <c r="K51" s="1047">
        <f>SUM(K49:K50)</f>
        <v>0</v>
      </c>
      <c r="L51" s="1047">
        <f>SUM(L49:L50)</f>
        <v>0</v>
      </c>
      <c r="M51" s="1047">
        <f>SUM(M49:M50)</f>
        <v>0</v>
      </c>
      <c r="N51" s="1050">
        <f>SUM(N49:N50)</f>
        <v>22000</v>
      </c>
    </row>
    <row r="52" spans="1:14" s="42" customFormat="1" ht="18" customHeight="1">
      <c r="A52" s="908">
        <v>46</v>
      </c>
      <c r="B52" s="126"/>
      <c r="C52" s="121"/>
      <c r="D52" s="330" t="s">
        <v>36</v>
      </c>
      <c r="E52" s="331"/>
      <c r="F52" s="408">
        <v>696</v>
      </c>
      <c r="G52" s="408">
        <v>6000</v>
      </c>
      <c r="H52" s="525">
        <v>933</v>
      </c>
      <c r="I52" s="531"/>
      <c r="J52" s="332"/>
      <c r="K52" s="332"/>
      <c r="L52" s="332"/>
      <c r="M52" s="332"/>
      <c r="N52" s="333"/>
    </row>
    <row r="53" spans="1:14" s="893" customFormat="1" ht="17.25">
      <c r="A53" s="908">
        <v>47</v>
      </c>
      <c r="B53" s="894"/>
      <c r="C53" s="895"/>
      <c r="D53" s="1036" t="s">
        <v>403</v>
      </c>
      <c r="E53" s="1037"/>
      <c r="F53" s="1038"/>
      <c r="G53" s="1038"/>
      <c r="H53" s="1039"/>
      <c r="I53" s="1040">
        <f t="shared" si="0"/>
        <v>8300</v>
      </c>
      <c r="J53" s="1041"/>
      <c r="K53" s="1041"/>
      <c r="L53" s="1041">
        <v>8300</v>
      </c>
      <c r="M53" s="1041"/>
      <c r="N53" s="1042"/>
    </row>
    <row r="54" spans="1:14" s="42" customFormat="1" ht="17.25">
      <c r="A54" s="908">
        <v>48</v>
      </c>
      <c r="B54" s="126"/>
      <c r="C54" s="121"/>
      <c r="D54" s="1043" t="s">
        <v>957</v>
      </c>
      <c r="E54" s="331"/>
      <c r="F54" s="408"/>
      <c r="G54" s="408"/>
      <c r="H54" s="525"/>
      <c r="I54" s="531">
        <f t="shared" si="0"/>
        <v>8300</v>
      </c>
      <c r="J54" s="332"/>
      <c r="K54" s="332"/>
      <c r="L54" s="332">
        <v>1300</v>
      </c>
      <c r="M54" s="332"/>
      <c r="N54" s="333">
        <v>7000</v>
      </c>
    </row>
    <row r="55" spans="1:14" s="327" customFormat="1" ht="17.25">
      <c r="A55" s="908">
        <v>49</v>
      </c>
      <c r="B55" s="128"/>
      <c r="C55" s="336"/>
      <c r="D55" s="1044" t="s">
        <v>405</v>
      </c>
      <c r="E55" s="331"/>
      <c r="F55" s="408"/>
      <c r="G55" s="408"/>
      <c r="H55" s="525"/>
      <c r="I55" s="531">
        <f t="shared" si="0"/>
        <v>0</v>
      </c>
      <c r="J55" s="332"/>
      <c r="K55" s="332"/>
      <c r="L55" s="332"/>
      <c r="M55" s="332"/>
      <c r="N55" s="333"/>
    </row>
    <row r="56" spans="1:14" s="1500" customFormat="1" ht="17.25">
      <c r="A56" s="908">
        <v>50</v>
      </c>
      <c r="B56" s="337"/>
      <c r="C56" s="338"/>
      <c r="D56" s="1045" t="s">
        <v>1067</v>
      </c>
      <c r="E56" s="1046"/>
      <c r="F56" s="1047"/>
      <c r="G56" s="1047"/>
      <c r="H56" s="1048"/>
      <c r="I56" s="1049">
        <f t="shared" si="0"/>
        <v>8300</v>
      </c>
      <c r="J56" s="1047">
        <f>SUM(J54:J55)</f>
        <v>0</v>
      </c>
      <c r="K56" s="1047">
        <f>SUM(K54:K55)</f>
        <v>0</v>
      </c>
      <c r="L56" s="1047">
        <f>SUM(L54:L55)</f>
        <v>1300</v>
      </c>
      <c r="M56" s="1047">
        <f>SUM(M54:M55)</f>
        <v>0</v>
      </c>
      <c r="N56" s="1050">
        <f>SUM(N54:N55)</f>
        <v>7000</v>
      </c>
    </row>
    <row r="57" spans="1:14" s="42" customFormat="1" ht="18" customHeight="1">
      <c r="A57" s="908">
        <v>51</v>
      </c>
      <c r="B57" s="126"/>
      <c r="C57" s="121"/>
      <c r="D57" s="330" t="s">
        <v>767</v>
      </c>
      <c r="E57" s="331"/>
      <c r="F57" s="408">
        <v>2000</v>
      </c>
      <c r="G57" s="408">
        <v>1500</v>
      </c>
      <c r="H57" s="525">
        <v>1500</v>
      </c>
      <c r="I57" s="531"/>
      <c r="J57" s="332"/>
      <c r="K57" s="332"/>
      <c r="L57" s="332"/>
      <c r="M57" s="332"/>
      <c r="N57" s="333"/>
    </row>
    <row r="58" spans="1:14" s="893" customFormat="1" ht="17.25">
      <c r="A58" s="908">
        <v>52</v>
      </c>
      <c r="B58" s="894"/>
      <c r="C58" s="895"/>
      <c r="D58" s="1036" t="s">
        <v>403</v>
      </c>
      <c r="E58" s="1037"/>
      <c r="F58" s="1038"/>
      <c r="G58" s="1038"/>
      <c r="H58" s="1039"/>
      <c r="I58" s="1040">
        <f t="shared" si="0"/>
        <v>2000</v>
      </c>
      <c r="J58" s="1041"/>
      <c r="K58" s="1041"/>
      <c r="L58" s="1041"/>
      <c r="M58" s="1041"/>
      <c r="N58" s="1042">
        <v>2000</v>
      </c>
    </row>
    <row r="59" spans="1:14" s="42" customFormat="1" ht="17.25">
      <c r="A59" s="908">
        <v>53</v>
      </c>
      <c r="B59" s="126"/>
      <c r="C59" s="121"/>
      <c r="D59" s="1043" t="s">
        <v>957</v>
      </c>
      <c r="E59" s="331"/>
      <c r="F59" s="408"/>
      <c r="G59" s="408"/>
      <c r="H59" s="525"/>
      <c r="I59" s="531">
        <f t="shared" si="0"/>
        <v>2000</v>
      </c>
      <c r="J59" s="332"/>
      <c r="K59" s="332"/>
      <c r="L59" s="332"/>
      <c r="M59" s="332"/>
      <c r="N59" s="333">
        <v>2000</v>
      </c>
    </row>
    <row r="60" spans="1:14" s="327" customFormat="1" ht="17.25">
      <c r="A60" s="908">
        <v>54</v>
      </c>
      <c r="B60" s="128"/>
      <c r="C60" s="336"/>
      <c r="D60" s="1044" t="s">
        <v>405</v>
      </c>
      <c r="E60" s="331"/>
      <c r="F60" s="408"/>
      <c r="G60" s="408"/>
      <c r="H60" s="525"/>
      <c r="I60" s="531">
        <f t="shared" si="0"/>
        <v>0</v>
      </c>
      <c r="J60" s="332"/>
      <c r="K60" s="332"/>
      <c r="L60" s="332"/>
      <c r="M60" s="332"/>
      <c r="N60" s="333"/>
    </row>
    <row r="61" spans="1:14" s="1500" customFormat="1" ht="17.25">
      <c r="A61" s="908">
        <v>55</v>
      </c>
      <c r="B61" s="337"/>
      <c r="C61" s="338"/>
      <c r="D61" s="1045" t="s">
        <v>1067</v>
      </c>
      <c r="E61" s="1046"/>
      <c r="F61" s="1047"/>
      <c r="G61" s="1047"/>
      <c r="H61" s="1048"/>
      <c r="I61" s="1049">
        <f t="shared" si="0"/>
        <v>2000</v>
      </c>
      <c r="J61" s="1047">
        <f>SUM(J59:J60)</f>
        <v>0</v>
      </c>
      <c r="K61" s="1047">
        <f>SUM(K59:K60)</f>
        <v>0</v>
      </c>
      <c r="L61" s="1047">
        <f>SUM(L59:L60)</f>
        <v>0</v>
      </c>
      <c r="M61" s="1047">
        <f>SUM(M59:M60)</f>
        <v>0</v>
      </c>
      <c r="N61" s="1050">
        <f>SUM(N59:N60)</f>
        <v>2000</v>
      </c>
    </row>
    <row r="62" spans="1:14" s="42" customFormat="1" ht="18" customHeight="1">
      <c r="A62" s="908">
        <v>56</v>
      </c>
      <c r="B62" s="126"/>
      <c r="C62" s="121"/>
      <c r="D62" s="330" t="s">
        <v>37</v>
      </c>
      <c r="E62" s="331"/>
      <c r="F62" s="408">
        <v>8000</v>
      </c>
      <c r="G62" s="408">
        <v>7500</v>
      </c>
      <c r="H62" s="525">
        <v>7500</v>
      </c>
      <c r="I62" s="531"/>
      <c r="J62" s="332"/>
      <c r="K62" s="332"/>
      <c r="L62" s="332"/>
      <c r="M62" s="332"/>
      <c r="N62" s="333"/>
    </row>
    <row r="63" spans="1:14" s="893" customFormat="1" ht="17.25">
      <c r="A63" s="908">
        <v>57</v>
      </c>
      <c r="B63" s="894"/>
      <c r="C63" s="895"/>
      <c r="D63" s="1036" t="s">
        <v>403</v>
      </c>
      <c r="E63" s="1037"/>
      <c r="F63" s="1038"/>
      <c r="G63" s="1038"/>
      <c r="H63" s="1039"/>
      <c r="I63" s="1040">
        <f t="shared" si="0"/>
        <v>8000</v>
      </c>
      <c r="J63" s="1041"/>
      <c r="K63" s="1041"/>
      <c r="L63" s="1041"/>
      <c r="M63" s="1041"/>
      <c r="N63" s="1042">
        <v>8000</v>
      </c>
    </row>
    <row r="64" spans="1:14" s="42" customFormat="1" ht="17.25">
      <c r="A64" s="908">
        <v>58</v>
      </c>
      <c r="B64" s="126"/>
      <c r="C64" s="121"/>
      <c r="D64" s="1043" t="s">
        <v>957</v>
      </c>
      <c r="E64" s="331"/>
      <c r="F64" s="408"/>
      <c r="G64" s="408"/>
      <c r="H64" s="525"/>
      <c r="I64" s="531">
        <f t="shared" si="0"/>
        <v>8000</v>
      </c>
      <c r="J64" s="332"/>
      <c r="K64" s="332"/>
      <c r="L64" s="332"/>
      <c r="M64" s="332"/>
      <c r="N64" s="333">
        <v>8000</v>
      </c>
    </row>
    <row r="65" spans="1:14" s="327" customFormat="1" ht="17.25">
      <c r="A65" s="908">
        <v>59</v>
      </c>
      <c r="B65" s="128"/>
      <c r="C65" s="336"/>
      <c r="D65" s="1044" t="s">
        <v>405</v>
      </c>
      <c r="E65" s="331"/>
      <c r="F65" s="408"/>
      <c r="G65" s="408"/>
      <c r="H65" s="525"/>
      <c r="I65" s="531">
        <f t="shared" si="0"/>
        <v>0</v>
      </c>
      <c r="J65" s="332"/>
      <c r="K65" s="332"/>
      <c r="L65" s="332"/>
      <c r="M65" s="332"/>
      <c r="N65" s="333"/>
    </row>
    <row r="66" spans="1:14" s="1500" customFormat="1" ht="17.25">
      <c r="A66" s="908">
        <v>60</v>
      </c>
      <c r="B66" s="337"/>
      <c r="C66" s="338"/>
      <c r="D66" s="1045" t="s">
        <v>1067</v>
      </c>
      <c r="E66" s="1046"/>
      <c r="F66" s="1047"/>
      <c r="G66" s="1047"/>
      <c r="H66" s="1048"/>
      <c r="I66" s="1049">
        <f t="shared" si="0"/>
        <v>8000</v>
      </c>
      <c r="J66" s="1047">
        <f>SUM(J64:J65)</f>
        <v>0</v>
      </c>
      <c r="K66" s="1047">
        <f>SUM(K64:K65)</f>
        <v>0</v>
      </c>
      <c r="L66" s="1047">
        <f>SUM(L64:L65)</f>
        <v>0</v>
      </c>
      <c r="M66" s="1047">
        <f>SUM(M64:M65)</f>
        <v>0</v>
      </c>
      <c r="N66" s="1050">
        <f>SUM(N64:N65)</f>
        <v>8000</v>
      </c>
    </row>
    <row r="67" spans="1:14" s="42" customFormat="1" ht="18" customHeight="1">
      <c r="A67" s="908">
        <v>61</v>
      </c>
      <c r="B67" s="126"/>
      <c r="C67" s="121"/>
      <c r="D67" s="330" t="s">
        <v>6</v>
      </c>
      <c r="E67" s="331"/>
      <c r="F67" s="408"/>
      <c r="G67" s="408"/>
      <c r="H67" s="525"/>
      <c r="I67" s="531"/>
      <c r="J67" s="332"/>
      <c r="K67" s="332"/>
      <c r="L67" s="332"/>
      <c r="M67" s="332"/>
      <c r="N67" s="333"/>
    </row>
    <row r="68" spans="1:14" s="893" customFormat="1" ht="17.25">
      <c r="A68" s="908">
        <v>62</v>
      </c>
      <c r="B68" s="894"/>
      <c r="C68" s="895"/>
      <c r="D68" s="1036" t="s">
        <v>403</v>
      </c>
      <c r="E68" s="1037"/>
      <c r="F68" s="1038"/>
      <c r="G68" s="1038"/>
      <c r="H68" s="1039"/>
      <c r="I68" s="1040">
        <f t="shared" si="0"/>
        <v>2000</v>
      </c>
      <c r="J68" s="1041"/>
      <c r="K68" s="1041"/>
      <c r="L68" s="1041">
        <v>2000</v>
      </c>
      <c r="M68" s="1041"/>
      <c r="N68" s="1042"/>
    </row>
    <row r="69" spans="1:14" s="42" customFormat="1" ht="17.25">
      <c r="A69" s="908">
        <v>63</v>
      </c>
      <c r="B69" s="126"/>
      <c r="C69" s="121"/>
      <c r="D69" s="1043" t="s">
        <v>957</v>
      </c>
      <c r="E69" s="331"/>
      <c r="F69" s="408"/>
      <c r="G69" s="408"/>
      <c r="H69" s="525"/>
      <c r="I69" s="531">
        <f t="shared" si="0"/>
        <v>2000</v>
      </c>
      <c r="J69" s="332"/>
      <c r="K69" s="332"/>
      <c r="L69" s="332">
        <v>2000</v>
      </c>
      <c r="M69" s="332"/>
      <c r="N69" s="333"/>
    </row>
    <row r="70" spans="1:14" s="327" customFormat="1" ht="17.25">
      <c r="A70" s="908">
        <v>64</v>
      </c>
      <c r="B70" s="128"/>
      <c r="C70" s="336"/>
      <c r="D70" s="1044" t="s">
        <v>405</v>
      </c>
      <c r="E70" s="331"/>
      <c r="F70" s="408"/>
      <c r="G70" s="408"/>
      <c r="H70" s="525"/>
      <c r="I70" s="531">
        <f t="shared" si="0"/>
        <v>0</v>
      </c>
      <c r="J70" s="332"/>
      <c r="K70" s="332"/>
      <c r="L70" s="332"/>
      <c r="M70" s="332"/>
      <c r="N70" s="333"/>
    </row>
    <row r="71" spans="1:14" s="1500" customFormat="1" ht="17.25">
      <c r="A71" s="908">
        <v>65</v>
      </c>
      <c r="B71" s="337"/>
      <c r="C71" s="338"/>
      <c r="D71" s="1045" t="s">
        <v>1067</v>
      </c>
      <c r="E71" s="1046"/>
      <c r="F71" s="1047"/>
      <c r="G71" s="1047"/>
      <c r="H71" s="1048"/>
      <c r="I71" s="1049">
        <f t="shared" si="0"/>
        <v>2000</v>
      </c>
      <c r="J71" s="1047">
        <f>SUM(J69:J70)</f>
        <v>0</v>
      </c>
      <c r="K71" s="1047">
        <f>SUM(K69:K70)</f>
        <v>0</v>
      </c>
      <c r="L71" s="1047">
        <f>SUM(L69:L70)</f>
        <v>2000</v>
      </c>
      <c r="M71" s="1047">
        <f>SUM(M69:M70)</f>
        <v>0</v>
      </c>
      <c r="N71" s="1050">
        <f>SUM(N69:N70)</f>
        <v>0</v>
      </c>
    </row>
    <row r="72" spans="1:14" s="42" customFormat="1" ht="30.75" customHeight="1">
      <c r="A72" s="908">
        <v>66</v>
      </c>
      <c r="B72" s="126"/>
      <c r="C72" s="121">
        <v>9</v>
      </c>
      <c r="D72" s="122" t="s">
        <v>76</v>
      </c>
      <c r="E72" s="123" t="s">
        <v>799</v>
      </c>
      <c r="F72" s="406">
        <v>1176</v>
      </c>
      <c r="G72" s="406"/>
      <c r="H72" s="524">
        <v>2448</v>
      </c>
      <c r="I72" s="530"/>
      <c r="J72" s="123"/>
      <c r="K72" s="123"/>
      <c r="L72" s="123"/>
      <c r="M72" s="123"/>
      <c r="N72" s="515"/>
    </row>
    <row r="73" spans="1:14" s="893" customFormat="1" ht="16.5">
      <c r="A73" s="908">
        <v>67</v>
      </c>
      <c r="B73" s="894"/>
      <c r="C73" s="895"/>
      <c r="D73" s="896" t="s">
        <v>403</v>
      </c>
      <c r="E73" s="897"/>
      <c r="F73" s="888"/>
      <c r="G73" s="888"/>
      <c r="H73" s="889"/>
      <c r="I73" s="890">
        <f t="shared" si="0"/>
        <v>3000</v>
      </c>
      <c r="J73" s="891"/>
      <c r="K73" s="891"/>
      <c r="L73" s="891">
        <v>3000</v>
      </c>
      <c r="M73" s="891"/>
      <c r="N73" s="892"/>
    </row>
    <row r="74" spans="1:14" s="42" customFormat="1" ht="16.5">
      <c r="A74" s="908">
        <v>68</v>
      </c>
      <c r="B74" s="126"/>
      <c r="C74" s="121"/>
      <c r="D74" s="122" t="s">
        <v>957</v>
      </c>
      <c r="E74" s="123"/>
      <c r="F74" s="406"/>
      <c r="G74" s="406"/>
      <c r="H74" s="524"/>
      <c r="I74" s="530">
        <f t="shared" si="0"/>
        <v>8437</v>
      </c>
      <c r="J74" s="124">
        <v>400</v>
      </c>
      <c r="K74" s="124">
        <v>350</v>
      </c>
      <c r="L74" s="124">
        <v>7687</v>
      </c>
      <c r="M74" s="124"/>
      <c r="N74" s="329"/>
    </row>
    <row r="75" spans="1:14" s="327" customFormat="1" ht="17.25">
      <c r="A75" s="908">
        <v>69</v>
      </c>
      <c r="B75" s="128"/>
      <c r="C75" s="336"/>
      <c r="D75" s="507" t="s">
        <v>1080</v>
      </c>
      <c r="E75" s="331"/>
      <c r="F75" s="408"/>
      <c r="G75" s="408"/>
      <c r="H75" s="525"/>
      <c r="I75" s="531">
        <f t="shared" si="0"/>
        <v>150</v>
      </c>
      <c r="J75" s="332"/>
      <c r="K75" s="332"/>
      <c r="L75" s="332">
        <v>150</v>
      </c>
      <c r="M75" s="332"/>
      <c r="N75" s="333"/>
    </row>
    <row r="76" spans="1:14" s="327" customFormat="1" ht="17.25">
      <c r="A76" s="908">
        <v>70</v>
      </c>
      <c r="B76" s="128"/>
      <c r="C76" s="336"/>
      <c r="D76" s="330" t="s">
        <v>1158</v>
      </c>
      <c r="E76" s="331"/>
      <c r="F76" s="408"/>
      <c r="G76" s="408"/>
      <c r="H76" s="525"/>
      <c r="I76" s="531">
        <f t="shared" si="0"/>
        <v>1950</v>
      </c>
      <c r="J76" s="332"/>
      <c r="K76" s="332"/>
      <c r="L76" s="332">
        <v>1950</v>
      </c>
      <c r="M76" s="332"/>
      <c r="N76" s="333"/>
    </row>
    <row r="77" spans="1:14" s="1500" customFormat="1" ht="17.25">
      <c r="A77" s="908">
        <v>71</v>
      </c>
      <c r="B77" s="337"/>
      <c r="C77" s="338"/>
      <c r="D77" s="334" t="s">
        <v>1067</v>
      </c>
      <c r="E77" s="335"/>
      <c r="F77" s="407"/>
      <c r="G77" s="407"/>
      <c r="H77" s="526"/>
      <c r="I77" s="532">
        <f aca="true" t="shared" si="1" ref="I77:N77">SUM(I74:I76)</f>
        <v>10537</v>
      </c>
      <c r="J77" s="407">
        <f t="shared" si="1"/>
        <v>400</v>
      </c>
      <c r="K77" s="407">
        <f t="shared" si="1"/>
        <v>350</v>
      </c>
      <c r="L77" s="407">
        <f t="shared" si="1"/>
        <v>9787</v>
      </c>
      <c r="M77" s="407">
        <f t="shared" si="1"/>
        <v>0</v>
      </c>
      <c r="N77" s="514">
        <f t="shared" si="1"/>
        <v>0</v>
      </c>
    </row>
    <row r="78" spans="1:14" s="42" customFormat="1" ht="30.75" customHeight="1">
      <c r="A78" s="908">
        <v>72</v>
      </c>
      <c r="B78" s="126"/>
      <c r="C78" s="121">
        <v>10</v>
      </c>
      <c r="D78" s="122" t="s">
        <v>903</v>
      </c>
      <c r="E78" s="123" t="s">
        <v>799</v>
      </c>
      <c r="F78" s="406"/>
      <c r="G78" s="406"/>
      <c r="H78" s="524"/>
      <c r="I78" s="530"/>
      <c r="J78" s="123"/>
      <c r="K78" s="123"/>
      <c r="L78" s="123"/>
      <c r="M78" s="123"/>
      <c r="N78" s="515"/>
    </row>
    <row r="79" spans="1:14" s="893" customFormat="1" ht="16.5">
      <c r="A79" s="908">
        <v>73</v>
      </c>
      <c r="B79" s="894"/>
      <c r="C79" s="895"/>
      <c r="D79" s="896" t="s">
        <v>403</v>
      </c>
      <c r="E79" s="897"/>
      <c r="F79" s="888"/>
      <c r="G79" s="888"/>
      <c r="H79" s="889"/>
      <c r="I79" s="890">
        <f t="shared" si="0"/>
        <v>1000</v>
      </c>
      <c r="J79" s="891"/>
      <c r="K79" s="891"/>
      <c r="L79" s="891">
        <v>1000</v>
      </c>
      <c r="M79" s="891"/>
      <c r="N79" s="892"/>
    </row>
    <row r="80" spans="1:14" s="42" customFormat="1" ht="16.5">
      <c r="A80" s="908">
        <v>74</v>
      </c>
      <c r="B80" s="126"/>
      <c r="C80" s="121"/>
      <c r="D80" s="122" t="s">
        <v>957</v>
      </c>
      <c r="E80" s="123"/>
      <c r="F80" s="406"/>
      <c r="G80" s="406"/>
      <c r="H80" s="524"/>
      <c r="I80" s="530">
        <f t="shared" si="0"/>
        <v>498</v>
      </c>
      <c r="J80" s="124"/>
      <c r="K80" s="124"/>
      <c r="L80" s="124">
        <v>498</v>
      </c>
      <c r="M80" s="124"/>
      <c r="N80" s="329"/>
    </row>
    <row r="81" spans="1:14" s="327" customFormat="1" ht="17.25">
      <c r="A81" s="908">
        <v>75</v>
      </c>
      <c r="B81" s="128"/>
      <c r="C81" s="336"/>
      <c r="D81" s="330" t="s">
        <v>405</v>
      </c>
      <c r="E81" s="331"/>
      <c r="F81" s="408"/>
      <c r="G81" s="408"/>
      <c r="H81" s="525"/>
      <c r="I81" s="531">
        <f t="shared" si="0"/>
        <v>0</v>
      </c>
      <c r="J81" s="332"/>
      <c r="K81" s="332"/>
      <c r="L81" s="332"/>
      <c r="M81" s="332"/>
      <c r="N81" s="333"/>
    </row>
    <row r="82" spans="1:14" s="1500" customFormat="1" ht="17.25">
      <c r="A82" s="908">
        <v>76</v>
      </c>
      <c r="B82" s="337"/>
      <c r="C82" s="338"/>
      <c r="D82" s="334" t="s">
        <v>1067</v>
      </c>
      <c r="E82" s="335"/>
      <c r="F82" s="407"/>
      <c r="G82" s="407"/>
      <c r="H82" s="526"/>
      <c r="I82" s="532">
        <f t="shared" si="0"/>
        <v>498</v>
      </c>
      <c r="J82" s="407">
        <f>SUM(J80:J81)</f>
        <v>0</v>
      </c>
      <c r="K82" s="407">
        <f>SUM(K80:K81)</f>
        <v>0</v>
      </c>
      <c r="L82" s="407">
        <f>SUM(L80:L81)</f>
        <v>498</v>
      </c>
      <c r="M82" s="407">
        <f>SUM(M80:M81)</f>
        <v>0</v>
      </c>
      <c r="N82" s="514">
        <f>SUM(N80:N81)</f>
        <v>0</v>
      </c>
    </row>
    <row r="83" spans="1:14" s="42" customFormat="1" ht="30.75" customHeight="1">
      <c r="A83" s="908">
        <v>77</v>
      </c>
      <c r="B83" s="126"/>
      <c r="C83" s="121">
        <v>11</v>
      </c>
      <c r="D83" s="122" t="s">
        <v>904</v>
      </c>
      <c r="E83" s="123" t="s">
        <v>799</v>
      </c>
      <c r="F83" s="406"/>
      <c r="G83" s="406"/>
      <c r="H83" s="524"/>
      <c r="I83" s="530"/>
      <c r="J83" s="123"/>
      <c r="K83" s="123"/>
      <c r="L83" s="123"/>
      <c r="M83" s="123"/>
      <c r="N83" s="515"/>
    </row>
    <row r="84" spans="1:14" s="893" customFormat="1" ht="16.5">
      <c r="A84" s="908">
        <v>78</v>
      </c>
      <c r="B84" s="894"/>
      <c r="C84" s="895"/>
      <c r="D84" s="896" t="s">
        <v>403</v>
      </c>
      <c r="E84" s="897"/>
      <c r="F84" s="888"/>
      <c r="G84" s="888"/>
      <c r="H84" s="889"/>
      <c r="I84" s="890">
        <f t="shared" si="0"/>
        <v>1000</v>
      </c>
      <c r="J84" s="891"/>
      <c r="K84" s="891"/>
      <c r="L84" s="891">
        <v>1000</v>
      </c>
      <c r="M84" s="891"/>
      <c r="N84" s="892"/>
    </row>
    <row r="85" spans="1:14" s="42" customFormat="1" ht="16.5">
      <c r="A85" s="908">
        <v>79</v>
      </c>
      <c r="B85" s="126"/>
      <c r="C85" s="121"/>
      <c r="D85" s="122" t="s">
        <v>957</v>
      </c>
      <c r="E85" s="123"/>
      <c r="F85" s="406"/>
      <c r="G85" s="406"/>
      <c r="H85" s="524"/>
      <c r="I85" s="530">
        <f t="shared" si="0"/>
        <v>435</v>
      </c>
      <c r="J85" s="124"/>
      <c r="K85" s="124"/>
      <c r="L85" s="124">
        <v>435</v>
      </c>
      <c r="M85" s="124"/>
      <c r="N85" s="329"/>
    </row>
    <row r="86" spans="1:14" s="327" customFormat="1" ht="17.25">
      <c r="A86" s="908">
        <v>80</v>
      </c>
      <c r="B86" s="128"/>
      <c r="C86" s="336"/>
      <c r="D86" s="330" t="s">
        <v>405</v>
      </c>
      <c r="E86" s="331"/>
      <c r="F86" s="408"/>
      <c r="G86" s="408"/>
      <c r="H86" s="525"/>
      <c r="I86" s="531">
        <f t="shared" si="0"/>
        <v>0</v>
      </c>
      <c r="J86" s="332"/>
      <c r="K86" s="332"/>
      <c r="L86" s="332"/>
      <c r="M86" s="332"/>
      <c r="N86" s="333"/>
    </row>
    <row r="87" spans="1:14" s="1500" customFormat="1" ht="17.25">
      <c r="A87" s="908">
        <v>81</v>
      </c>
      <c r="B87" s="337"/>
      <c r="C87" s="338"/>
      <c r="D87" s="334" t="s">
        <v>1067</v>
      </c>
      <c r="E87" s="335"/>
      <c r="F87" s="407"/>
      <c r="G87" s="407"/>
      <c r="H87" s="526"/>
      <c r="I87" s="532">
        <f>SUM(J87:N87)</f>
        <v>435</v>
      </c>
      <c r="J87" s="407">
        <f>SUM(J85:J86)</f>
        <v>0</v>
      </c>
      <c r="K87" s="407">
        <f>SUM(K85:K86)</f>
        <v>0</v>
      </c>
      <c r="L87" s="407">
        <f>SUM(L85:L86)</f>
        <v>435</v>
      </c>
      <c r="M87" s="407">
        <f>SUM(M85:M86)</f>
        <v>0</v>
      </c>
      <c r="N87" s="514">
        <f>SUM(N85:N86)</f>
        <v>0</v>
      </c>
    </row>
    <row r="88" spans="1:14" s="42" customFormat="1" ht="30.75" customHeight="1">
      <c r="A88" s="908">
        <v>82</v>
      </c>
      <c r="B88" s="126"/>
      <c r="C88" s="121">
        <v>12</v>
      </c>
      <c r="D88" s="122" t="s">
        <v>962</v>
      </c>
      <c r="E88" s="123" t="s">
        <v>799</v>
      </c>
      <c r="F88" s="406"/>
      <c r="G88" s="406"/>
      <c r="H88" s="524"/>
      <c r="I88" s="530"/>
      <c r="J88" s="123"/>
      <c r="K88" s="123"/>
      <c r="L88" s="123"/>
      <c r="M88" s="123"/>
      <c r="N88" s="515"/>
    </row>
    <row r="89" spans="1:14" s="893" customFormat="1" ht="16.5">
      <c r="A89" s="908">
        <v>83</v>
      </c>
      <c r="B89" s="894"/>
      <c r="C89" s="895"/>
      <c r="D89" s="896" t="s">
        <v>403</v>
      </c>
      <c r="E89" s="897"/>
      <c r="F89" s="888"/>
      <c r="G89" s="888"/>
      <c r="H89" s="889"/>
      <c r="I89" s="890">
        <f t="shared" si="0"/>
        <v>8000</v>
      </c>
      <c r="J89" s="891"/>
      <c r="K89" s="891"/>
      <c r="L89" s="891">
        <v>5000</v>
      </c>
      <c r="M89" s="891"/>
      <c r="N89" s="892">
        <v>3000</v>
      </c>
    </row>
    <row r="90" spans="1:14" s="42" customFormat="1" ht="16.5">
      <c r="A90" s="908">
        <v>84</v>
      </c>
      <c r="B90" s="126"/>
      <c r="C90" s="121"/>
      <c r="D90" s="122" t="s">
        <v>957</v>
      </c>
      <c r="E90" s="123"/>
      <c r="F90" s="406"/>
      <c r="G90" s="406"/>
      <c r="H90" s="524"/>
      <c r="I90" s="530">
        <f t="shared" si="0"/>
        <v>2424</v>
      </c>
      <c r="J90" s="124">
        <v>7</v>
      </c>
      <c r="K90" s="124">
        <v>4</v>
      </c>
      <c r="L90" s="124">
        <v>504</v>
      </c>
      <c r="M90" s="124"/>
      <c r="N90" s="329">
        <v>1909</v>
      </c>
    </row>
    <row r="91" spans="1:14" s="327" customFormat="1" ht="17.25">
      <c r="A91" s="908">
        <v>85</v>
      </c>
      <c r="B91" s="128"/>
      <c r="C91" s="336"/>
      <c r="D91" s="507" t="s">
        <v>405</v>
      </c>
      <c r="E91" s="331"/>
      <c r="F91" s="408"/>
      <c r="G91" s="408"/>
      <c r="H91" s="525"/>
      <c r="I91" s="531">
        <f aca="true" t="shared" si="2" ref="I91:I170">SUM(J91:N91)</f>
        <v>0</v>
      </c>
      <c r="J91" s="332"/>
      <c r="K91" s="332"/>
      <c r="L91" s="332"/>
      <c r="M91" s="332"/>
      <c r="N91" s="333"/>
    </row>
    <row r="92" spans="1:14" s="1500" customFormat="1" ht="17.25">
      <c r="A92" s="908">
        <v>86</v>
      </c>
      <c r="B92" s="337"/>
      <c r="C92" s="338"/>
      <c r="D92" s="334" t="s">
        <v>1067</v>
      </c>
      <c r="E92" s="335"/>
      <c r="F92" s="407"/>
      <c r="G92" s="407"/>
      <c r="H92" s="526"/>
      <c r="I92" s="532">
        <f>SUM(J92:N92)</f>
        <v>2424</v>
      </c>
      <c r="J92" s="407">
        <f>SUM(J90:J91)</f>
        <v>7</v>
      </c>
      <c r="K92" s="407">
        <f>SUM(K90:K91)</f>
        <v>4</v>
      </c>
      <c r="L92" s="407">
        <f>SUM(L90:L91)</f>
        <v>504</v>
      </c>
      <c r="M92" s="407">
        <f>SUM(M90:M91)</f>
        <v>0</v>
      </c>
      <c r="N92" s="514">
        <f>SUM(N90:N91)</f>
        <v>1909</v>
      </c>
    </row>
    <row r="93" spans="1:14" s="42" customFormat="1" ht="30.75" customHeight="1">
      <c r="A93" s="908">
        <v>87</v>
      </c>
      <c r="B93" s="126"/>
      <c r="C93" s="121">
        <v>13</v>
      </c>
      <c r="D93" s="122" t="s">
        <v>905</v>
      </c>
      <c r="E93" s="123" t="s">
        <v>799</v>
      </c>
      <c r="F93" s="406"/>
      <c r="G93" s="406"/>
      <c r="H93" s="524"/>
      <c r="I93" s="530"/>
      <c r="J93" s="123"/>
      <c r="K93" s="123"/>
      <c r="L93" s="123"/>
      <c r="M93" s="123"/>
      <c r="N93" s="515"/>
    </row>
    <row r="94" spans="1:14" s="893" customFormat="1" ht="16.5">
      <c r="A94" s="908">
        <v>88</v>
      </c>
      <c r="B94" s="894"/>
      <c r="C94" s="895"/>
      <c r="D94" s="896" t="s">
        <v>403</v>
      </c>
      <c r="E94" s="897"/>
      <c r="F94" s="888"/>
      <c r="G94" s="888"/>
      <c r="H94" s="889"/>
      <c r="I94" s="890">
        <f t="shared" si="2"/>
        <v>2000</v>
      </c>
      <c r="J94" s="891"/>
      <c r="K94" s="891"/>
      <c r="L94" s="891"/>
      <c r="M94" s="891"/>
      <c r="N94" s="892">
        <v>2000</v>
      </c>
    </row>
    <row r="95" spans="1:14" s="42" customFormat="1" ht="16.5">
      <c r="A95" s="908">
        <v>89</v>
      </c>
      <c r="B95" s="126"/>
      <c r="C95" s="121"/>
      <c r="D95" s="122" t="s">
        <v>957</v>
      </c>
      <c r="E95" s="123"/>
      <c r="F95" s="406"/>
      <c r="G95" s="406"/>
      <c r="H95" s="524"/>
      <c r="I95" s="530">
        <f t="shared" si="2"/>
        <v>1654</v>
      </c>
      <c r="J95" s="124"/>
      <c r="K95" s="124"/>
      <c r="L95" s="124"/>
      <c r="M95" s="124"/>
      <c r="N95" s="329">
        <v>1654</v>
      </c>
    </row>
    <row r="96" spans="1:14" s="327" customFormat="1" ht="17.25">
      <c r="A96" s="908">
        <v>90</v>
      </c>
      <c r="B96" s="128"/>
      <c r="C96" s="336"/>
      <c r="D96" s="330" t="s">
        <v>405</v>
      </c>
      <c r="E96" s="331"/>
      <c r="F96" s="408"/>
      <c r="G96" s="408"/>
      <c r="H96" s="525"/>
      <c r="I96" s="531">
        <f t="shared" si="2"/>
        <v>0</v>
      </c>
      <c r="J96" s="332"/>
      <c r="K96" s="332"/>
      <c r="L96" s="332"/>
      <c r="M96" s="332"/>
      <c r="N96" s="333"/>
    </row>
    <row r="97" spans="1:14" s="1500" customFormat="1" ht="17.25">
      <c r="A97" s="908">
        <v>91</v>
      </c>
      <c r="B97" s="337"/>
      <c r="C97" s="338"/>
      <c r="D97" s="334" t="s">
        <v>1067</v>
      </c>
      <c r="E97" s="335"/>
      <c r="F97" s="407"/>
      <c r="G97" s="407"/>
      <c r="H97" s="526"/>
      <c r="I97" s="532">
        <f t="shared" si="2"/>
        <v>1654</v>
      </c>
      <c r="J97" s="407">
        <f>SUM(J95:J96)</f>
        <v>0</v>
      </c>
      <c r="K97" s="407">
        <f>SUM(K95:K96)</f>
        <v>0</v>
      </c>
      <c r="L97" s="407">
        <f>SUM(L95:L96)</f>
        <v>0</v>
      </c>
      <c r="M97" s="407">
        <f>SUM(M95:M96)</f>
        <v>0</v>
      </c>
      <c r="N97" s="514">
        <f>SUM(N95:N96)</f>
        <v>1654</v>
      </c>
    </row>
    <row r="98" spans="1:14" s="42" customFormat="1" ht="24.75" customHeight="1">
      <c r="A98" s="908">
        <v>92</v>
      </c>
      <c r="B98" s="126"/>
      <c r="C98" s="121">
        <v>14</v>
      </c>
      <c r="D98" s="122" t="s">
        <v>32</v>
      </c>
      <c r="E98" s="123" t="s">
        <v>799</v>
      </c>
      <c r="F98" s="406"/>
      <c r="G98" s="406"/>
      <c r="H98" s="524"/>
      <c r="I98" s="530"/>
      <c r="J98" s="123"/>
      <c r="K98" s="123"/>
      <c r="L98" s="123"/>
      <c r="M98" s="123"/>
      <c r="N98" s="515"/>
    </row>
    <row r="99" spans="1:14" s="893" customFormat="1" ht="16.5">
      <c r="A99" s="908">
        <v>93</v>
      </c>
      <c r="B99" s="894"/>
      <c r="C99" s="895"/>
      <c r="D99" s="896" t="s">
        <v>403</v>
      </c>
      <c r="E99" s="897"/>
      <c r="F99" s="888"/>
      <c r="G99" s="888"/>
      <c r="H99" s="889"/>
      <c r="I99" s="890">
        <f t="shared" si="2"/>
        <v>5000</v>
      </c>
      <c r="J99" s="891"/>
      <c r="K99" s="891"/>
      <c r="L99" s="891">
        <v>5000</v>
      </c>
      <c r="M99" s="891"/>
      <c r="N99" s="892"/>
    </row>
    <row r="100" spans="1:14" s="42" customFormat="1" ht="16.5">
      <c r="A100" s="908">
        <v>94</v>
      </c>
      <c r="B100" s="126"/>
      <c r="C100" s="121"/>
      <c r="D100" s="122" t="s">
        <v>957</v>
      </c>
      <c r="E100" s="123"/>
      <c r="F100" s="406"/>
      <c r="G100" s="406"/>
      <c r="H100" s="524"/>
      <c r="I100" s="530">
        <f t="shared" si="2"/>
        <v>5000</v>
      </c>
      <c r="J100" s="124"/>
      <c r="K100" s="124"/>
      <c r="L100" s="124">
        <v>5000</v>
      </c>
      <c r="M100" s="124"/>
      <c r="N100" s="329"/>
    </row>
    <row r="101" spans="1:14" s="327" customFormat="1" ht="17.25">
      <c r="A101" s="908">
        <v>95</v>
      </c>
      <c r="B101" s="128"/>
      <c r="C101" s="336"/>
      <c r="D101" s="330" t="s">
        <v>405</v>
      </c>
      <c r="E101" s="331"/>
      <c r="F101" s="408"/>
      <c r="G101" s="408"/>
      <c r="H101" s="525"/>
      <c r="I101" s="531">
        <f t="shared" si="2"/>
        <v>0</v>
      </c>
      <c r="J101" s="332"/>
      <c r="K101" s="332"/>
      <c r="L101" s="332"/>
      <c r="M101" s="332"/>
      <c r="N101" s="333"/>
    </row>
    <row r="102" spans="1:14" s="1500" customFormat="1" ht="17.25">
      <c r="A102" s="908">
        <v>96</v>
      </c>
      <c r="B102" s="337"/>
      <c r="C102" s="338"/>
      <c r="D102" s="334" t="s">
        <v>1067</v>
      </c>
      <c r="E102" s="335"/>
      <c r="F102" s="407"/>
      <c r="G102" s="407"/>
      <c r="H102" s="526"/>
      <c r="I102" s="532">
        <f t="shared" si="2"/>
        <v>5000</v>
      </c>
      <c r="J102" s="407">
        <f>SUM(J100:J101)</f>
        <v>0</v>
      </c>
      <c r="K102" s="407">
        <f>SUM(K100:K101)</f>
        <v>0</v>
      </c>
      <c r="L102" s="407">
        <f>SUM(L100:L101)</f>
        <v>5000</v>
      </c>
      <c r="M102" s="407">
        <f>SUM(M100:M101)</f>
        <v>0</v>
      </c>
      <c r="N102" s="514">
        <f>SUM(N100:N101)</f>
        <v>0</v>
      </c>
    </row>
    <row r="103" spans="1:14" s="42" customFormat="1" ht="19.5" customHeight="1">
      <c r="A103" s="908">
        <v>97</v>
      </c>
      <c r="B103" s="126"/>
      <c r="C103" s="121">
        <v>15</v>
      </c>
      <c r="D103" s="122" t="s">
        <v>75</v>
      </c>
      <c r="E103" s="123" t="s">
        <v>799</v>
      </c>
      <c r="F103" s="406"/>
      <c r="G103" s="406">
        <v>2500</v>
      </c>
      <c r="H103" s="524"/>
      <c r="I103" s="530"/>
      <c r="J103" s="123"/>
      <c r="K103" s="123"/>
      <c r="L103" s="123"/>
      <c r="M103" s="123"/>
      <c r="N103" s="515"/>
    </row>
    <row r="104" spans="1:14" s="893" customFormat="1" ht="16.5">
      <c r="A104" s="908">
        <v>98</v>
      </c>
      <c r="B104" s="894"/>
      <c r="C104" s="895"/>
      <c r="D104" s="896" t="s">
        <v>403</v>
      </c>
      <c r="E104" s="897"/>
      <c r="F104" s="888"/>
      <c r="G104" s="888"/>
      <c r="H104" s="889"/>
      <c r="I104" s="890">
        <f t="shared" si="2"/>
        <v>1000</v>
      </c>
      <c r="J104" s="891"/>
      <c r="K104" s="891"/>
      <c r="L104" s="891">
        <v>1000</v>
      </c>
      <c r="M104" s="891"/>
      <c r="N104" s="892"/>
    </row>
    <row r="105" spans="1:14" s="42" customFormat="1" ht="16.5">
      <c r="A105" s="908">
        <v>99</v>
      </c>
      <c r="B105" s="126"/>
      <c r="C105" s="121"/>
      <c r="D105" s="122" t="s">
        <v>957</v>
      </c>
      <c r="E105" s="123"/>
      <c r="F105" s="406"/>
      <c r="G105" s="406"/>
      <c r="H105" s="524"/>
      <c r="I105" s="530">
        <f t="shared" si="2"/>
        <v>1000</v>
      </c>
      <c r="J105" s="124"/>
      <c r="K105" s="124"/>
      <c r="L105" s="124"/>
      <c r="M105" s="124"/>
      <c r="N105" s="329">
        <v>1000</v>
      </c>
    </row>
    <row r="106" spans="1:14" s="327" customFormat="1" ht="17.25">
      <c r="A106" s="908">
        <v>100</v>
      </c>
      <c r="B106" s="128"/>
      <c r="C106" s="336"/>
      <c r="D106" s="330" t="s">
        <v>405</v>
      </c>
      <c r="E106" s="331"/>
      <c r="F106" s="408"/>
      <c r="G106" s="408"/>
      <c r="H106" s="525"/>
      <c r="I106" s="531">
        <f t="shared" si="2"/>
        <v>0</v>
      </c>
      <c r="J106" s="332"/>
      <c r="K106" s="332"/>
      <c r="L106" s="332"/>
      <c r="M106" s="332"/>
      <c r="N106" s="333"/>
    </row>
    <row r="107" spans="1:14" s="1500" customFormat="1" ht="17.25">
      <c r="A107" s="908">
        <v>101</v>
      </c>
      <c r="B107" s="337"/>
      <c r="C107" s="338"/>
      <c r="D107" s="334" t="s">
        <v>1067</v>
      </c>
      <c r="E107" s="335"/>
      <c r="F107" s="407"/>
      <c r="G107" s="407"/>
      <c r="H107" s="526"/>
      <c r="I107" s="532">
        <f t="shared" si="2"/>
        <v>1000</v>
      </c>
      <c r="J107" s="407">
        <f>SUM(J105:J106)</f>
        <v>0</v>
      </c>
      <c r="K107" s="407">
        <f>SUM(K105:K106)</f>
        <v>0</v>
      </c>
      <c r="L107" s="407">
        <f>SUM(L105:L106)</f>
        <v>0</v>
      </c>
      <c r="M107" s="407">
        <f>SUM(M105:M106)</f>
        <v>0</v>
      </c>
      <c r="N107" s="514">
        <f>SUM(N105:N106)</f>
        <v>1000</v>
      </c>
    </row>
    <row r="108" spans="1:14" s="42" customFormat="1" ht="19.5" customHeight="1">
      <c r="A108" s="908">
        <v>102</v>
      </c>
      <c r="B108" s="126"/>
      <c r="C108" s="121">
        <v>16</v>
      </c>
      <c r="D108" s="122" t="s">
        <v>915</v>
      </c>
      <c r="E108" s="123" t="s">
        <v>799</v>
      </c>
      <c r="F108" s="406">
        <v>3000</v>
      </c>
      <c r="G108" s="406">
        <v>1500</v>
      </c>
      <c r="H108" s="524">
        <v>1500</v>
      </c>
      <c r="I108" s="530"/>
      <c r="J108" s="123"/>
      <c r="K108" s="123"/>
      <c r="L108" s="123"/>
      <c r="M108" s="123"/>
      <c r="N108" s="515"/>
    </row>
    <row r="109" spans="1:14" s="893" customFormat="1" ht="16.5">
      <c r="A109" s="908">
        <v>103</v>
      </c>
      <c r="B109" s="894"/>
      <c r="C109" s="895"/>
      <c r="D109" s="896" t="s">
        <v>403</v>
      </c>
      <c r="E109" s="897"/>
      <c r="F109" s="888"/>
      <c r="G109" s="888"/>
      <c r="H109" s="889"/>
      <c r="I109" s="890">
        <f t="shared" si="2"/>
        <v>2000</v>
      </c>
      <c r="J109" s="891"/>
      <c r="K109" s="891"/>
      <c r="L109" s="891"/>
      <c r="M109" s="891"/>
      <c r="N109" s="892">
        <v>2000</v>
      </c>
    </row>
    <row r="110" spans="1:14" s="42" customFormat="1" ht="16.5">
      <c r="A110" s="908">
        <v>104</v>
      </c>
      <c r="B110" s="126"/>
      <c r="C110" s="121"/>
      <c r="D110" s="122" t="s">
        <v>957</v>
      </c>
      <c r="E110" s="123"/>
      <c r="F110" s="406"/>
      <c r="G110" s="406"/>
      <c r="H110" s="524"/>
      <c r="I110" s="530">
        <f t="shared" si="2"/>
        <v>2000</v>
      </c>
      <c r="J110" s="124"/>
      <c r="K110" s="124"/>
      <c r="L110" s="124"/>
      <c r="M110" s="124"/>
      <c r="N110" s="329">
        <v>2000</v>
      </c>
    </row>
    <row r="111" spans="1:14" s="327" customFormat="1" ht="17.25">
      <c r="A111" s="908">
        <v>105</v>
      </c>
      <c r="B111" s="128"/>
      <c r="C111" s="336"/>
      <c r="D111" s="330" t="s">
        <v>405</v>
      </c>
      <c r="E111" s="331"/>
      <c r="F111" s="408"/>
      <c r="G111" s="408"/>
      <c r="H111" s="525"/>
      <c r="I111" s="531">
        <f t="shared" si="2"/>
        <v>0</v>
      </c>
      <c r="J111" s="332"/>
      <c r="K111" s="332"/>
      <c r="L111" s="332"/>
      <c r="M111" s="332"/>
      <c r="N111" s="333"/>
    </row>
    <row r="112" spans="1:14" s="1500" customFormat="1" ht="17.25">
      <c r="A112" s="908">
        <v>106</v>
      </c>
      <c r="B112" s="337"/>
      <c r="C112" s="338"/>
      <c r="D112" s="334" t="s">
        <v>1067</v>
      </c>
      <c r="E112" s="335"/>
      <c r="F112" s="407"/>
      <c r="G112" s="407"/>
      <c r="H112" s="526"/>
      <c r="I112" s="532">
        <f t="shared" si="2"/>
        <v>2000</v>
      </c>
      <c r="J112" s="407">
        <f>SUM(J110:J111)</f>
        <v>0</v>
      </c>
      <c r="K112" s="407">
        <f>SUM(K110:K111)</f>
        <v>0</v>
      </c>
      <c r="L112" s="407">
        <f>SUM(L110:L111)</f>
        <v>0</v>
      </c>
      <c r="M112" s="407">
        <f>SUM(M110:M111)</f>
        <v>0</v>
      </c>
      <c r="N112" s="514">
        <f>SUM(N110:N111)</f>
        <v>2000</v>
      </c>
    </row>
    <row r="113" spans="1:14" s="42" customFormat="1" ht="24" customHeight="1">
      <c r="A113" s="908">
        <v>107</v>
      </c>
      <c r="B113" s="126"/>
      <c r="C113" s="121">
        <v>17</v>
      </c>
      <c r="D113" s="122" t="s">
        <v>78</v>
      </c>
      <c r="E113" s="123" t="s">
        <v>799</v>
      </c>
      <c r="F113" s="406">
        <f>SUM(F118:F133)</f>
        <v>20000</v>
      </c>
      <c r="G113" s="406">
        <f>SUM(G118:G133)</f>
        <v>30600</v>
      </c>
      <c r="H113" s="524">
        <f>SUM(H118:H133)</f>
        <v>30600</v>
      </c>
      <c r="I113" s="530"/>
      <c r="J113" s="123"/>
      <c r="K113" s="123"/>
      <c r="L113" s="123"/>
      <c r="M113" s="123"/>
      <c r="N113" s="515"/>
    </row>
    <row r="114" spans="1:14" s="893" customFormat="1" ht="16.5">
      <c r="A114" s="908">
        <v>108</v>
      </c>
      <c r="B114" s="894"/>
      <c r="C114" s="895"/>
      <c r="D114" s="896" t="s">
        <v>403</v>
      </c>
      <c r="E114" s="897"/>
      <c r="F114" s="888"/>
      <c r="G114" s="888"/>
      <c r="H114" s="889"/>
      <c r="I114" s="890">
        <f t="shared" si="2"/>
        <v>32100</v>
      </c>
      <c r="J114" s="888">
        <f aca="true" t="shared" si="3" ref="J114:N116">SUM(J119,J124,J129,J134)</f>
        <v>0</v>
      </c>
      <c r="K114" s="888">
        <f t="shared" si="3"/>
        <v>0</v>
      </c>
      <c r="L114" s="888">
        <f t="shared" si="3"/>
        <v>0</v>
      </c>
      <c r="M114" s="888">
        <f t="shared" si="3"/>
        <v>0</v>
      </c>
      <c r="N114" s="898">
        <f t="shared" si="3"/>
        <v>32100</v>
      </c>
    </row>
    <row r="115" spans="1:14" s="42" customFormat="1" ht="16.5">
      <c r="A115" s="908">
        <v>109</v>
      </c>
      <c r="B115" s="126"/>
      <c r="C115" s="121"/>
      <c r="D115" s="122" t="s">
        <v>957</v>
      </c>
      <c r="E115" s="123"/>
      <c r="F115" s="406"/>
      <c r="G115" s="406"/>
      <c r="H115" s="524"/>
      <c r="I115" s="530">
        <f t="shared" si="2"/>
        <v>39700</v>
      </c>
      <c r="J115" s="406">
        <f t="shared" si="3"/>
        <v>0</v>
      </c>
      <c r="K115" s="406">
        <f t="shared" si="3"/>
        <v>0</v>
      </c>
      <c r="L115" s="406">
        <f t="shared" si="3"/>
        <v>0</v>
      </c>
      <c r="M115" s="406">
        <f t="shared" si="3"/>
        <v>0</v>
      </c>
      <c r="N115" s="511">
        <f t="shared" si="3"/>
        <v>39700</v>
      </c>
    </row>
    <row r="116" spans="1:14" s="327" customFormat="1" ht="17.25">
      <c r="A116" s="908">
        <v>110</v>
      </c>
      <c r="B116" s="128"/>
      <c r="C116" s="336"/>
      <c r="D116" s="330" t="s">
        <v>405</v>
      </c>
      <c r="E116" s="331"/>
      <c r="F116" s="408"/>
      <c r="G116" s="408"/>
      <c r="H116" s="525"/>
      <c r="I116" s="531">
        <f t="shared" si="2"/>
        <v>0</v>
      </c>
      <c r="J116" s="408">
        <f t="shared" si="3"/>
        <v>0</v>
      </c>
      <c r="K116" s="408">
        <f t="shared" si="3"/>
        <v>0</v>
      </c>
      <c r="L116" s="408">
        <f t="shared" si="3"/>
        <v>0</v>
      </c>
      <c r="M116" s="408">
        <f t="shared" si="3"/>
        <v>0</v>
      </c>
      <c r="N116" s="512">
        <f t="shared" si="3"/>
        <v>0</v>
      </c>
    </row>
    <row r="117" spans="1:14" s="1500" customFormat="1" ht="17.25">
      <c r="A117" s="908">
        <v>111</v>
      </c>
      <c r="B117" s="337"/>
      <c r="C117" s="338"/>
      <c r="D117" s="334" t="s">
        <v>1067</v>
      </c>
      <c r="E117" s="335"/>
      <c r="F117" s="407"/>
      <c r="G117" s="407"/>
      <c r="H117" s="526"/>
      <c r="I117" s="532">
        <f t="shared" si="2"/>
        <v>39700</v>
      </c>
      <c r="J117" s="407">
        <f>SUM(J115:J116)</f>
        <v>0</v>
      </c>
      <c r="K117" s="407">
        <f>SUM(K115:K116)</f>
        <v>0</v>
      </c>
      <c r="L117" s="407">
        <f>SUM(L115:L116)</f>
        <v>0</v>
      </c>
      <c r="M117" s="407">
        <f>SUM(M115:M116)</f>
        <v>0</v>
      </c>
      <c r="N117" s="514">
        <f>SUM(N115:N116)</f>
        <v>39700</v>
      </c>
    </row>
    <row r="118" spans="1:14" s="42" customFormat="1" ht="17.25">
      <c r="A118" s="908">
        <v>112</v>
      </c>
      <c r="B118" s="126"/>
      <c r="C118" s="121"/>
      <c r="D118" s="1044" t="s">
        <v>916</v>
      </c>
      <c r="E118" s="123"/>
      <c r="F118" s="408">
        <v>8500</v>
      </c>
      <c r="G118" s="408">
        <v>20600</v>
      </c>
      <c r="H118" s="525">
        <v>20600</v>
      </c>
      <c r="I118" s="531"/>
      <c r="J118" s="332"/>
      <c r="K118" s="332"/>
      <c r="L118" s="332"/>
      <c r="M118" s="332"/>
      <c r="N118" s="333"/>
    </row>
    <row r="119" spans="1:14" s="893" customFormat="1" ht="17.25">
      <c r="A119" s="908">
        <v>113</v>
      </c>
      <c r="B119" s="894"/>
      <c r="C119" s="895"/>
      <c r="D119" s="1036" t="s">
        <v>403</v>
      </c>
      <c r="E119" s="897"/>
      <c r="F119" s="1038"/>
      <c r="G119" s="1038"/>
      <c r="H119" s="1039"/>
      <c r="I119" s="1040">
        <f t="shared" si="2"/>
        <v>20600</v>
      </c>
      <c r="J119" s="1041"/>
      <c r="K119" s="1041"/>
      <c r="L119" s="1041"/>
      <c r="M119" s="1041"/>
      <c r="N119" s="1042">
        <v>20600</v>
      </c>
    </row>
    <row r="120" spans="1:14" s="42" customFormat="1" ht="17.25">
      <c r="A120" s="908">
        <v>114</v>
      </c>
      <c r="B120" s="126"/>
      <c r="C120" s="121"/>
      <c r="D120" s="1043" t="s">
        <v>957</v>
      </c>
      <c r="E120" s="123"/>
      <c r="F120" s="408"/>
      <c r="G120" s="408"/>
      <c r="H120" s="525"/>
      <c r="I120" s="531">
        <f t="shared" si="2"/>
        <v>28200</v>
      </c>
      <c r="J120" s="332"/>
      <c r="K120" s="332"/>
      <c r="L120" s="332"/>
      <c r="M120" s="332"/>
      <c r="N120" s="333">
        <v>28200</v>
      </c>
    </row>
    <row r="121" spans="1:14" s="327" customFormat="1" ht="17.25">
      <c r="A121" s="908">
        <v>115</v>
      </c>
      <c r="B121" s="128"/>
      <c r="C121" s="336"/>
      <c r="D121" s="1044" t="s">
        <v>405</v>
      </c>
      <c r="E121" s="331"/>
      <c r="F121" s="408"/>
      <c r="G121" s="408"/>
      <c r="H121" s="525"/>
      <c r="I121" s="531">
        <f t="shared" si="2"/>
        <v>0</v>
      </c>
      <c r="J121" s="332"/>
      <c r="K121" s="332"/>
      <c r="L121" s="332"/>
      <c r="M121" s="332"/>
      <c r="N121" s="333"/>
    </row>
    <row r="122" spans="1:14" s="1500" customFormat="1" ht="17.25">
      <c r="A122" s="908">
        <v>116</v>
      </c>
      <c r="B122" s="337"/>
      <c r="C122" s="338"/>
      <c r="D122" s="1051" t="s">
        <v>1067</v>
      </c>
      <c r="E122" s="335"/>
      <c r="F122" s="1047"/>
      <c r="G122" s="1047"/>
      <c r="H122" s="1048"/>
      <c r="I122" s="1049">
        <f t="shared" si="2"/>
        <v>28200</v>
      </c>
      <c r="J122" s="1047">
        <f>SUM(J120:J121)</f>
        <v>0</v>
      </c>
      <c r="K122" s="1047">
        <f>SUM(K120:K121)</f>
        <v>0</v>
      </c>
      <c r="L122" s="1047">
        <f>SUM(L120:L121)</f>
        <v>0</v>
      </c>
      <c r="M122" s="1047">
        <f>SUM(M120:M121)</f>
        <v>0</v>
      </c>
      <c r="N122" s="1050">
        <f>SUM(N120:N121)</f>
        <v>28200</v>
      </c>
    </row>
    <row r="123" spans="1:14" s="42" customFormat="1" ht="17.25">
      <c r="A123" s="908">
        <v>117</v>
      </c>
      <c r="B123" s="126"/>
      <c r="C123" s="121"/>
      <c r="D123" s="1044" t="s">
        <v>79</v>
      </c>
      <c r="E123" s="123"/>
      <c r="F123" s="408">
        <v>4200</v>
      </c>
      <c r="G123" s="408">
        <v>4000</v>
      </c>
      <c r="H123" s="525">
        <v>4000</v>
      </c>
      <c r="I123" s="531"/>
      <c r="J123" s="332"/>
      <c r="K123" s="332"/>
      <c r="L123" s="332"/>
      <c r="M123" s="332"/>
      <c r="N123" s="333"/>
    </row>
    <row r="124" spans="1:14" s="893" customFormat="1" ht="17.25">
      <c r="A124" s="908">
        <v>118</v>
      </c>
      <c r="B124" s="894"/>
      <c r="C124" s="895"/>
      <c r="D124" s="1036" t="s">
        <v>403</v>
      </c>
      <c r="E124" s="897"/>
      <c r="F124" s="1038"/>
      <c r="G124" s="1038"/>
      <c r="H124" s="1039"/>
      <c r="I124" s="1040">
        <f t="shared" si="2"/>
        <v>4200</v>
      </c>
      <c r="J124" s="1041"/>
      <c r="K124" s="1041"/>
      <c r="L124" s="1041"/>
      <c r="M124" s="1041"/>
      <c r="N124" s="1042">
        <v>4200</v>
      </c>
    </row>
    <row r="125" spans="1:14" s="42" customFormat="1" ht="17.25">
      <c r="A125" s="908">
        <v>119</v>
      </c>
      <c r="B125" s="126"/>
      <c r="C125" s="121"/>
      <c r="D125" s="1043" t="s">
        <v>957</v>
      </c>
      <c r="E125" s="123"/>
      <c r="F125" s="408"/>
      <c r="G125" s="408"/>
      <c r="H125" s="525"/>
      <c r="I125" s="531">
        <f t="shared" si="2"/>
        <v>4200</v>
      </c>
      <c r="J125" s="332"/>
      <c r="K125" s="332"/>
      <c r="L125" s="332"/>
      <c r="M125" s="332"/>
      <c r="N125" s="333">
        <v>4200</v>
      </c>
    </row>
    <row r="126" spans="1:14" s="327" customFormat="1" ht="17.25">
      <c r="A126" s="908">
        <v>120</v>
      </c>
      <c r="B126" s="128"/>
      <c r="C126" s="336"/>
      <c r="D126" s="1044" t="s">
        <v>405</v>
      </c>
      <c r="E126" s="331"/>
      <c r="F126" s="408"/>
      <c r="G126" s="408"/>
      <c r="H126" s="525"/>
      <c r="I126" s="531">
        <f t="shared" si="2"/>
        <v>0</v>
      </c>
      <c r="J126" s="332"/>
      <c r="K126" s="332"/>
      <c r="L126" s="332"/>
      <c r="M126" s="332"/>
      <c r="N126" s="333"/>
    </row>
    <row r="127" spans="1:14" s="1500" customFormat="1" ht="17.25">
      <c r="A127" s="908">
        <v>121</v>
      </c>
      <c r="B127" s="337"/>
      <c r="C127" s="338"/>
      <c r="D127" s="1051" t="s">
        <v>1067</v>
      </c>
      <c r="E127" s="335"/>
      <c r="F127" s="1047"/>
      <c r="G127" s="1047"/>
      <c r="H127" s="1048"/>
      <c r="I127" s="1049">
        <f t="shared" si="2"/>
        <v>4200</v>
      </c>
      <c r="J127" s="1047">
        <f>SUM(J125:J126)</f>
        <v>0</v>
      </c>
      <c r="K127" s="1047">
        <f>SUM(K125:K126)</f>
        <v>0</v>
      </c>
      <c r="L127" s="1047">
        <f>SUM(L125:L126)</f>
        <v>0</v>
      </c>
      <c r="M127" s="1047">
        <f>SUM(M125:M126)</f>
        <v>0</v>
      </c>
      <c r="N127" s="1050">
        <f>SUM(N125:N126)</f>
        <v>4200</v>
      </c>
    </row>
    <row r="128" spans="1:14" s="42" customFormat="1" ht="17.25">
      <c r="A128" s="908">
        <v>122</v>
      </c>
      <c r="B128" s="126"/>
      <c r="C128" s="121"/>
      <c r="D128" s="1044" t="s">
        <v>80</v>
      </c>
      <c r="E128" s="123"/>
      <c r="F128" s="408">
        <v>4500</v>
      </c>
      <c r="G128" s="408">
        <v>4000</v>
      </c>
      <c r="H128" s="525">
        <v>4000</v>
      </c>
      <c r="I128" s="531"/>
      <c r="J128" s="332"/>
      <c r="K128" s="332"/>
      <c r="L128" s="332"/>
      <c r="M128" s="332"/>
      <c r="N128" s="333"/>
    </row>
    <row r="129" spans="1:14" s="893" customFormat="1" ht="17.25">
      <c r="A129" s="908">
        <v>123</v>
      </c>
      <c r="B129" s="894"/>
      <c r="C129" s="895"/>
      <c r="D129" s="1036" t="s">
        <v>403</v>
      </c>
      <c r="E129" s="897"/>
      <c r="F129" s="1038"/>
      <c r="G129" s="1038"/>
      <c r="H129" s="1039"/>
      <c r="I129" s="1040">
        <f t="shared" si="2"/>
        <v>4500</v>
      </c>
      <c r="J129" s="1041"/>
      <c r="K129" s="1041"/>
      <c r="L129" s="1041"/>
      <c r="M129" s="1041"/>
      <c r="N129" s="1042">
        <v>4500</v>
      </c>
    </row>
    <row r="130" spans="1:14" s="42" customFormat="1" ht="17.25">
      <c r="A130" s="908">
        <v>124</v>
      </c>
      <c r="B130" s="126"/>
      <c r="C130" s="121"/>
      <c r="D130" s="1043" t="s">
        <v>957</v>
      </c>
      <c r="E130" s="123"/>
      <c r="F130" s="408"/>
      <c r="G130" s="408"/>
      <c r="H130" s="525"/>
      <c r="I130" s="531">
        <f t="shared" si="2"/>
        <v>4500</v>
      </c>
      <c r="J130" s="332"/>
      <c r="K130" s="332"/>
      <c r="L130" s="332"/>
      <c r="M130" s="332"/>
      <c r="N130" s="333">
        <v>4500</v>
      </c>
    </row>
    <row r="131" spans="1:14" s="327" customFormat="1" ht="17.25">
      <c r="A131" s="908">
        <v>125</v>
      </c>
      <c r="B131" s="128"/>
      <c r="C131" s="336"/>
      <c r="D131" s="1044" t="s">
        <v>405</v>
      </c>
      <c r="E131" s="331"/>
      <c r="F131" s="408"/>
      <c r="G131" s="408"/>
      <c r="H131" s="525"/>
      <c r="I131" s="531">
        <f t="shared" si="2"/>
        <v>0</v>
      </c>
      <c r="J131" s="332"/>
      <c r="K131" s="332"/>
      <c r="L131" s="332"/>
      <c r="M131" s="332"/>
      <c r="N131" s="333"/>
    </row>
    <row r="132" spans="1:14" s="1500" customFormat="1" ht="17.25">
      <c r="A132" s="908">
        <v>126</v>
      </c>
      <c r="B132" s="337"/>
      <c r="C132" s="338"/>
      <c r="D132" s="1051" t="s">
        <v>1067</v>
      </c>
      <c r="E132" s="335"/>
      <c r="F132" s="1047"/>
      <c r="G132" s="1047"/>
      <c r="H132" s="1048"/>
      <c r="I132" s="1049">
        <f t="shared" si="2"/>
        <v>4500</v>
      </c>
      <c r="J132" s="1047">
        <f>SUM(J130:J131)</f>
        <v>0</v>
      </c>
      <c r="K132" s="1047">
        <f>SUM(K130:K131)</f>
        <v>0</v>
      </c>
      <c r="L132" s="1047">
        <f>SUM(L130:L131)</f>
        <v>0</v>
      </c>
      <c r="M132" s="1047">
        <f>SUM(M130:M131)</f>
        <v>0</v>
      </c>
      <c r="N132" s="1050">
        <f>SUM(N130:N131)</f>
        <v>4500</v>
      </c>
    </row>
    <row r="133" spans="1:14" s="42" customFormat="1" ht="17.25">
      <c r="A133" s="908">
        <v>127</v>
      </c>
      <c r="B133" s="126"/>
      <c r="C133" s="121"/>
      <c r="D133" s="1044" t="s">
        <v>81</v>
      </c>
      <c r="E133" s="123"/>
      <c r="F133" s="408">
        <v>2800</v>
      </c>
      <c r="G133" s="408">
        <v>2000</v>
      </c>
      <c r="H133" s="525">
        <v>2000</v>
      </c>
      <c r="I133" s="531"/>
      <c r="J133" s="332"/>
      <c r="K133" s="332"/>
      <c r="L133" s="332"/>
      <c r="M133" s="332"/>
      <c r="N133" s="333"/>
    </row>
    <row r="134" spans="1:14" s="893" customFormat="1" ht="17.25">
      <c r="A134" s="908">
        <v>128</v>
      </c>
      <c r="B134" s="894"/>
      <c r="C134" s="895"/>
      <c r="D134" s="1036" t="s">
        <v>403</v>
      </c>
      <c r="E134" s="897"/>
      <c r="F134" s="1038"/>
      <c r="G134" s="1038"/>
      <c r="H134" s="1039"/>
      <c r="I134" s="1040">
        <f t="shared" si="2"/>
        <v>2800</v>
      </c>
      <c r="J134" s="1041"/>
      <c r="K134" s="1041"/>
      <c r="L134" s="1041"/>
      <c r="M134" s="1041"/>
      <c r="N134" s="1042">
        <v>2800</v>
      </c>
    </row>
    <row r="135" spans="1:14" s="42" customFormat="1" ht="17.25">
      <c r="A135" s="908">
        <v>129</v>
      </c>
      <c r="B135" s="126"/>
      <c r="C135" s="121"/>
      <c r="D135" s="1043" t="s">
        <v>957</v>
      </c>
      <c r="E135" s="123"/>
      <c r="F135" s="408"/>
      <c r="G135" s="408"/>
      <c r="H135" s="525"/>
      <c r="I135" s="531">
        <f t="shared" si="2"/>
        <v>2800</v>
      </c>
      <c r="J135" s="332"/>
      <c r="K135" s="332"/>
      <c r="L135" s="332"/>
      <c r="M135" s="332"/>
      <c r="N135" s="333">
        <v>2800</v>
      </c>
    </row>
    <row r="136" spans="1:14" s="327" customFormat="1" ht="17.25">
      <c r="A136" s="908">
        <v>130</v>
      </c>
      <c r="B136" s="128"/>
      <c r="C136" s="336"/>
      <c r="D136" s="1044" t="s">
        <v>405</v>
      </c>
      <c r="E136" s="331"/>
      <c r="F136" s="408"/>
      <c r="G136" s="408"/>
      <c r="H136" s="525"/>
      <c r="I136" s="531">
        <f t="shared" si="2"/>
        <v>0</v>
      </c>
      <c r="J136" s="332"/>
      <c r="K136" s="332"/>
      <c r="L136" s="332"/>
      <c r="M136" s="332"/>
      <c r="N136" s="333"/>
    </row>
    <row r="137" spans="1:14" s="1500" customFormat="1" ht="17.25">
      <c r="A137" s="908">
        <v>131</v>
      </c>
      <c r="B137" s="337"/>
      <c r="C137" s="338"/>
      <c r="D137" s="1051" t="s">
        <v>1067</v>
      </c>
      <c r="E137" s="335"/>
      <c r="F137" s="1047"/>
      <c r="G137" s="1047"/>
      <c r="H137" s="1048"/>
      <c r="I137" s="1049">
        <f t="shared" si="2"/>
        <v>2800</v>
      </c>
      <c r="J137" s="1047">
        <f>SUM(J135:J136)</f>
        <v>0</v>
      </c>
      <c r="K137" s="1047">
        <f>SUM(K135:K136)</f>
        <v>0</v>
      </c>
      <c r="L137" s="1047">
        <f>SUM(L135:L136)</f>
        <v>0</v>
      </c>
      <c r="M137" s="1047">
        <f>SUM(M135:M136)</f>
        <v>0</v>
      </c>
      <c r="N137" s="1050">
        <f>SUM(N135:N136)</f>
        <v>2800</v>
      </c>
    </row>
    <row r="138" spans="1:14" s="42" customFormat="1" ht="19.5" customHeight="1">
      <c r="A138" s="908">
        <v>132</v>
      </c>
      <c r="B138" s="126"/>
      <c r="C138" s="121">
        <v>18</v>
      </c>
      <c r="D138" s="122" t="s">
        <v>82</v>
      </c>
      <c r="E138" s="123" t="s">
        <v>799</v>
      </c>
      <c r="F138" s="406">
        <v>2500</v>
      </c>
      <c r="G138" s="406">
        <v>1500</v>
      </c>
      <c r="H138" s="524">
        <v>1500</v>
      </c>
      <c r="I138" s="530"/>
      <c r="J138" s="123"/>
      <c r="K138" s="123"/>
      <c r="L138" s="123"/>
      <c r="M138" s="123"/>
      <c r="N138" s="515"/>
    </row>
    <row r="139" spans="1:14" s="893" customFormat="1" ht="16.5">
      <c r="A139" s="908">
        <v>133</v>
      </c>
      <c r="B139" s="894"/>
      <c r="C139" s="895"/>
      <c r="D139" s="896" t="s">
        <v>403</v>
      </c>
      <c r="E139" s="897"/>
      <c r="F139" s="888"/>
      <c r="G139" s="888"/>
      <c r="H139" s="889"/>
      <c r="I139" s="890">
        <f t="shared" si="2"/>
        <v>1500</v>
      </c>
      <c r="J139" s="891"/>
      <c r="K139" s="891"/>
      <c r="L139" s="891"/>
      <c r="M139" s="891"/>
      <c r="N139" s="892">
        <v>1500</v>
      </c>
    </row>
    <row r="140" spans="1:14" s="42" customFormat="1" ht="16.5">
      <c r="A140" s="908">
        <v>134</v>
      </c>
      <c r="B140" s="126"/>
      <c r="C140" s="121"/>
      <c r="D140" s="122" t="s">
        <v>957</v>
      </c>
      <c r="E140" s="123"/>
      <c r="F140" s="406"/>
      <c r="G140" s="406"/>
      <c r="H140" s="524"/>
      <c r="I140" s="530">
        <f t="shared" si="2"/>
        <v>1500</v>
      </c>
      <c r="J140" s="124"/>
      <c r="K140" s="124"/>
      <c r="L140" s="124"/>
      <c r="M140" s="124"/>
      <c r="N140" s="329">
        <v>1500</v>
      </c>
    </row>
    <row r="141" spans="1:14" s="327" customFormat="1" ht="17.25">
      <c r="A141" s="908">
        <v>135</v>
      </c>
      <c r="B141" s="128"/>
      <c r="C141" s="336"/>
      <c r="D141" s="330" t="s">
        <v>405</v>
      </c>
      <c r="E141" s="331"/>
      <c r="F141" s="408"/>
      <c r="G141" s="408"/>
      <c r="H141" s="525"/>
      <c r="I141" s="531">
        <f t="shared" si="2"/>
        <v>0</v>
      </c>
      <c r="J141" s="332"/>
      <c r="K141" s="332"/>
      <c r="L141" s="332"/>
      <c r="M141" s="332"/>
      <c r="N141" s="333"/>
    </row>
    <row r="142" spans="1:14" s="1500" customFormat="1" ht="17.25">
      <c r="A142" s="908">
        <v>136</v>
      </c>
      <c r="B142" s="337"/>
      <c r="C142" s="338"/>
      <c r="D142" s="334" t="s">
        <v>1067</v>
      </c>
      <c r="E142" s="335"/>
      <c r="F142" s="407"/>
      <c r="G142" s="407"/>
      <c r="H142" s="526"/>
      <c r="I142" s="532">
        <f t="shared" si="2"/>
        <v>1500</v>
      </c>
      <c r="J142" s="407">
        <f>SUM(J140:J141)</f>
        <v>0</v>
      </c>
      <c r="K142" s="407">
        <f>SUM(K140:K141)</f>
        <v>0</v>
      </c>
      <c r="L142" s="407">
        <f>SUM(L140:L141)</f>
        <v>0</v>
      </c>
      <c r="M142" s="407">
        <f>SUM(M140:M141)</f>
        <v>0</v>
      </c>
      <c r="N142" s="514">
        <f>SUM(N140:N141)</f>
        <v>1500</v>
      </c>
    </row>
    <row r="143" spans="1:14" s="42" customFormat="1" ht="19.5" customHeight="1">
      <c r="A143" s="908">
        <v>137</v>
      </c>
      <c r="B143" s="126"/>
      <c r="C143" s="121">
        <v>19</v>
      </c>
      <c r="D143" s="122" t="s">
        <v>917</v>
      </c>
      <c r="E143" s="123" t="s">
        <v>799</v>
      </c>
      <c r="F143" s="406"/>
      <c r="G143" s="406">
        <v>1500</v>
      </c>
      <c r="H143" s="524">
        <v>1500</v>
      </c>
      <c r="I143" s="530"/>
      <c r="J143" s="123"/>
      <c r="K143" s="123"/>
      <c r="L143" s="123"/>
      <c r="M143" s="123"/>
      <c r="N143" s="515"/>
    </row>
    <row r="144" spans="1:14" s="893" customFormat="1" ht="16.5">
      <c r="A144" s="908">
        <v>138</v>
      </c>
      <c r="B144" s="894"/>
      <c r="C144" s="895"/>
      <c r="D144" s="896" t="s">
        <v>403</v>
      </c>
      <c r="E144" s="897"/>
      <c r="F144" s="888"/>
      <c r="G144" s="888"/>
      <c r="H144" s="889"/>
      <c r="I144" s="890">
        <f t="shared" si="2"/>
        <v>1500</v>
      </c>
      <c r="J144" s="891"/>
      <c r="K144" s="891"/>
      <c r="L144" s="891"/>
      <c r="M144" s="891"/>
      <c r="N144" s="892">
        <v>1500</v>
      </c>
    </row>
    <row r="145" spans="1:14" s="42" customFormat="1" ht="16.5">
      <c r="A145" s="908">
        <v>139</v>
      </c>
      <c r="B145" s="126"/>
      <c r="C145" s="121"/>
      <c r="D145" s="122" t="s">
        <v>957</v>
      </c>
      <c r="E145" s="123"/>
      <c r="F145" s="406"/>
      <c r="G145" s="406"/>
      <c r="H145" s="524"/>
      <c r="I145" s="530">
        <f t="shared" si="2"/>
        <v>1500</v>
      </c>
      <c r="J145" s="124"/>
      <c r="K145" s="124"/>
      <c r="L145" s="124"/>
      <c r="M145" s="124"/>
      <c r="N145" s="329">
        <v>1500</v>
      </c>
    </row>
    <row r="146" spans="1:14" s="327" customFormat="1" ht="17.25">
      <c r="A146" s="908">
        <v>140</v>
      </c>
      <c r="B146" s="128"/>
      <c r="C146" s="336"/>
      <c r="D146" s="330" t="s">
        <v>405</v>
      </c>
      <c r="E146" s="331"/>
      <c r="F146" s="408"/>
      <c r="G146" s="408"/>
      <c r="H146" s="525"/>
      <c r="I146" s="531">
        <f t="shared" si="2"/>
        <v>0</v>
      </c>
      <c r="J146" s="332"/>
      <c r="K146" s="332"/>
      <c r="L146" s="332"/>
      <c r="M146" s="332"/>
      <c r="N146" s="333"/>
    </row>
    <row r="147" spans="1:14" s="1500" customFormat="1" ht="17.25">
      <c r="A147" s="908">
        <v>141</v>
      </c>
      <c r="B147" s="337"/>
      <c r="C147" s="338"/>
      <c r="D147" s="334" t="s">
        <v>1067</v>
      </c>
      <c r="E147" s="335"/>
      <c r="F147" s="407"/>
      <c r="G147" s="407"/>
      <c r="H147" s="526"/>
      <c r="I147" s="532">
        <f t="shared" si="2"/>
        <v>1500</v>
      </c>
      <c r="J147" s="407">
        <f>SUM(J145:J146)</f>
        <v>0</v>
      </c>
      <c r="K147" s="407">
        <f>SUM(K145:K146)</f>
        <v>0</v>
      </c>
      <c r="L147" s="407">
        <f>SUM(L145:L146)</f>
        <v>0</v>
      </c>
      <c r="M147" s="407">
        <f>SUM(M145:M146)</f>
        <v>0</v>
      </c>
      <c r="N147" s="514">
        <f>SUM(N145:N146)</f>
        <v>1500</v>
      </c>
    </row>
    <row r="148" spans="1:14" s="42" customFormat="1" ht="16.5">
      <c r="A148" s="908">
        <v>142</v>
      </c>
      <c r="B148" s="126"/>
      <c r="C148" s="121">
        <v>20</v>
      </c>
      <c r="D148" s="122" t="s">
        <v>7</v>
      </c>
      <c r="E148" s="123" t="s">
        <v>799</v>
      </c>
      <c r="F148" s="406"/>
      <c r="G148" s="406"/>
      <c r="H148" s="524"/>
      <c r="I148" s="530"/>
      <c r="J148" s="123"/>
      <c r="K148" s="123"/>
      <c r="L148" s="123"/>
      <c r="M148" s="123"/>
      <c r="N148" s="515"/>
    </row>
    <row r="149" spans="1:14" s="893" customFormat="1" ht="16.5">
      <c r="A149" s="908">
        <v>143</v>
      </c>
      <c r="B149" s="894"/>
      <c r="C149" s="895"/>
      <c r="D149" s="896" t="s">
        <v>403</v>
      </c>
      <c r="E149" s="897"/>
      <c r="F149" s="888"/>
      <c r="G149" s="888"/>
      <c r="H149" s="889"/>
      <c r="I149" s="890">
        <f t="shared" si="2"/>
        <v>2000</v>
      </c>
      <c r="J149" s="891"/>
      <c r="K149" s="891"/>
      <c r="L149" s="891"/>
      <c r="M149" s="891"/>
      <c r="N149" s="892">
        <v>2000</v>
      </c>
    </row>
    <row r="150" spans="1:14" s="42" customFormat="1" ht="16.5">
      <c r="A150" s="908">
        <v>144</v>
      </c>
      <c r="B150" s="126"/>
      <c r="C150" s="121"/>
      <c r="D150" s="122" t="s">
        <v>957</v>
      </c>
      <c r="E150" s="123"/>
      <c r="F150" s="406"/>
      <c r="G150" s="406"/>
      <c r="H150" s="524"/>
      <c r="I150" s="530">
        <f t="shared" si="2"/>
        <v>2000</v>
      </c>
      <c r="J150" s="124"/>
      <c r="K150" s="124"/>
      <c r="L150" s="124"/>
      <c r="M150" s="124"/>
      <c r="N150" s="329">
        <v>2000</v>
      </c>
    </row>
    <row r="151" spans="1:14" s="327" customFormat="1" ht="17.25">
      <c r="A151" s="908">
        <v>145</v>
      </c>
      <c r="B151" s="128"/>
      <c r="C151" s="336"/>
      <c r="D151" s="330" t="s">
        <v>405</v>
      </c>
      <c r="E151" s="331"/>
      <c r="F151" s="408"/>
      <c r="G151" s="408"/>
      <c r="H151" s="525"/>
      <c r="I151" s="531">
        <f t="shared" si="2"/>
        <v>0</v>
      </c>
      <c r="J151" s="332"/>
      <c r="K151" s="332"/>
      <c r="L151" s="332"/>
      <c r="M151" s="332"/>
      <c r="N151" s="333"/>
    </row>
    <row r="152" spans="1:14" s="1500" customFormat="1" ht="17.25">
      <c r="A152" s="908">
        <v>146</v>
      </c>
      <c r="B152" s="337"/>
      <c r="C152" s="338"/>
      <c r="D152" s="334" t="s">
        <v>1067</v>
      </c>
      <c r="E152" s="335"/>
      <c r="F152" s="407"/>
      <c r="G152" s="407"/>
      <c r="H152" s="526"/>
      <c r="I152" s="532">
        <f t="shared" si="2"/>
        <v>2000</v>
      </c>
      <c r="J152" s="407">
        <f>SUM(J150:J151)</f>
        <v>0</v>
      </c>
      <c r="K152" s="407">
        <f>SUM(K150:K151)</f>
        <v>0</v>
      </c>
      <c r="L152" s="407">
        <f>SUM(L150:L151)</f>
        <v>0</v>
      </c>
      <c r="M152" s="407">
        <f>SUM(M150:M151)</f>
        <v>0</v>
      </c>
      <c r="N152" s="514">
        <f>SUM(N150:N151)</f>
        <v>2000</v>
      </c>
    </row>
    <row r="153" spans="1:14" s="42" customFormat="1" ht="19.5" customHeight="1">
      <c r="A153" s="908">
        <v>147</v>
      </c>
      <c r="B153" s="126"/>
      <c r="C153" s="121">
        <v>21</v>
      </c>
      <c r="D153" s="122" t="s">
        <v>98</v>
      </c>
      <c r="E153" s="123" t="s">
        <v>799</v>
      </c>
      <c r="F153" s="406">
        <v>187161</v>
      </c>
      <c r="G153" s="406">
        <v>189000</v>
      </c>
      <c r="H153" s="524">
        <v>209038</v>
      </c>
      <c r="I153" s="530"/>
      <c r="J153" s="123"/>
      <c r="K153" s="123"/>
      <c r="L153" s="123"/>
      <c r="M153" s="123"/>
      <c r="N153" s="515"/>
    </row>
    <row r="154" spans="1:14" s="893" customFormat="1" ht="16.5">
      <c r="A154" s="908">
        <v>148</v>
      </c>
      <c r="B154" s="894"/>
      <c r="C154" s="895"/>
      <c r="D154" s="896" t="s">
        <v>403</v>
      </c>
      <c r="E154" s="897"/>
      <c r="F154" s="888"/>
      <c r="G154" s="888"/>
      <c r="H154" s="889"/>
      <c r="I154" s="890">
        <f t="shared" si="2"/>
        <v>213000</v>
      </c>
      <c r="J154" s="891">
        <v>500</v>
      </c>
      <c r="K154" s="891">
        <v>100</v>
      </c>
      <c r="L154" s="891">
        <v>50000</v>
      </c>
      <c r="M154" s="891"/>
      <c r="N154" s="892">
        <v>162400</v>
      </c>
    </row>
    <row r="155" spans="1:14" s="42" customFormat="1" ht="16.5">
      <c r="A155" s="908">
        <v>149</v>
      </c>
      <c r="B155" s="126"/>
      <c r="C155" s="121"/>
      <c r="D155" s="122" t="s">
        <v>957</v>
      </c>
      <c r="E155" s="123"/>
      <c r="F155" s="406"/>
      <c r="G155" s="406"/>
      <c r="H155" s="524"/>
      <c r="I155" s="530">
        <f t="shared" si="2"/>
        <v>213000</v>
      </c>
      <c r="J155" s="124">
        <v>500</v>
      </c>
      <c r="K155" s="124">
        <v>100</v>
      </c>
      <c r="L155" s="124">
        <v>50000</v>
      </c>
      <c r="M155" s="124"/>
      <c r="N155" s="329">
        <v>162400</v>
      </c>
    </row>
    <row r="156" spans="1:14" s="327" customFormat="1" ht="17.25">
      <c r="A156" s="908">
        <v>150</v>
      </c>
      <c r="B156" s="128"/>
      <c r="C156" s="336"/>
      <c r="D156" s="330" t="s">
        <v>74</v>
      </c>
      <c r="E156" s="331"/>
      <c r="F156" s="408"/>
      <c r="G156" s="408"/>
      <c r="H156" s="525"/>
      <c r="I156" s="531">
        <f t="shared" si="2"/>
        <v>0</v>
      </c>
      <c r="J156" s="332"/>
      <c r="K156" s="332"/>
      <c r="L156" s="332"/>
      <c r="M156" s="332"/>
      <c r="N156" s="333"/>
    </row>
    <row r="157" spans="1:14" s="1500" customFormat="1" ht="17.25">
      <c r="A157" s="908">
        <v>151</v>
      </c>
      <c r="B157" s="337"/>
      <c r="C157" s="338"/>
      <c r="D157" s="334" t="s">
        <v>1067</v>
      </c>
      <c r="E157" s="335"/>
      <c r="F157" s="407"/>
      <c r="G157" s="407"/>
      <c r="H157" s="526"/>
      <c r="I157" s="532">
        <f t="shared" si="2"/>
        <v>213000</v>
      </c>
      <c r="J157" s="407">
        <f>SUM(J155:J156)</f>
        <v>500</v>
      </c>
      <c r="K157" s="407">
        <f>SUM(K155:K156)</f>
        <v>100</v>
      </c>
      <c r="L157" s="407">
        <f>SUM(L155:L156)</f>
        <v>50000</v>
      </c>
      <c r="M157" s="407">
        <f>SUM(M155:M156)</f>
        <v>0</v>
      </c>
      <c r="N157" s="514">
        <f>SUM(N155:N156)</f>
        <v>162400</v>
      </c>
    </row>
    <row r="158" spans="1:14" s="42" customFormat="1" ht="21.75" customHeight="1">
      <c r="A158" s="908">
        <v>152</v>
      </c>
      <c r="B158" s="126"/>
      <c r="C158" s="121">
        <v>22</v>
      </c>
      <c r="D158" s="122" t="s">
        <v>99</v>
      </c>
      <c r="E158" s="123" t="s">
        <v>859</v>
      </c>
      <c r="F158" s="406">
        <v>13598</v>
      </c>
      <c r="G158" s="406">
        <v>13600</v>
      </c>
      <c r="H158" s="524">
        <v>13000</v>
      </c>
      <c r="I158" s="530"/>
      <c r="J158" s="123"/>
      <c r="K158" s="123"/>
      <c r="L158" s="123"/>
      <c r="M158" s="123"/>
      <c r="N158" s="515"/>
    </row>
    <row r="159" spans="1:14" s="893" customFormat="1" ht="16.5">
      <c r="A159" s="908">
        <v>153</v>
      </c>
      <c r="B159" s="894"/>
      <c r="C159" s="895"/>
      <c r="D159" s="896" t="s">
        <v>403</v>
      </c>
      <c r="E159" s="897"/>
      <c r="F159" s="888"/>
      <c r="G159" s="888"/>
      <c r="H159" s="889"/>
      <c r="I159" s="890">
        <f t="shared" si="2"/>
        <v>13600</v>
      </c>
      <c r="J159" s="891"/>
      <c r="K159" s="891"/>
      <c r="L159" s="891">
        <v>13000</v>
      </c>
      <c r="M159" s="891"/>
      <c r="N159" s="892">
        <v>600</v>
      </c>
    </row>
    <row r="160" spans="1:14" s="42" customFormat="1" ht="16.5">
      <c r="A160" s="908">
        <v>154</v>
      </c>
      <c r="B160" s="126"/>
      <c r="C160" s="121"/>
      <c r="D160" s="122" t="s">
        <v>957</v>
      </c>
      <c r="E160" s="123"/>
      <c r="F160" s="406"/>
      <c r="G160" s="406"/>
      <c r="H160" s="524"/>
      <c r="I160" s="530">
        <f t="shared" si="2"/>
        <v>14200</v>
      </c>
      <c r="J160" s="124"/>
      <c r="K160" s="124"/>
      <c r="L160" s="124">
        <v>13600</v>
      </c>
      <c r="M160" s="124"/>
      <c r="N160" s="329">
        <v>600</v>
      </c>
    </row>
    <row r="161" spans="1:14" s="327" customFormat="1" ht="17.25">
      <c r="A161" s="908">
        <v>155</v>
      </c>
      <c r="B161" s="128"/>
      <c r="C161" s="336"/>
      <c r="D161" s="330" t="s">
        <v>405</v>
      </c>
      <c r="E161" s="331"/>
      <c r="F161" s="408"/>
      <c r="G161" s="408"/>
      <c r="H161" s="525"/>
      <c r="I161" s="531">
        <f t="shared" si="2"/>
        <v>0</v>
      </c>
      <c r="J161" s="332"/>
      <c r="K161" s="332"/>
      <c r="L161" s="332"/>
      <c r="M161" s="332"/>
      <c r="N161" s="333"/>
    </row>
    <row r="162" spans="1:14" s="1500" customFormat="1" ht="17.25">
      <c r="A162" s="908">
        <v>156</v>
      </c>
      <c r="B162" s="337"/>
      <c r="C162" s="338"/>
      <c r="D162" s="334" t="s">
        <v>1067</v>
      </c>
      <c r="E162" s="335"/>
      <c r="F162" s="407"/>
      <c r="G162" s="407"/>
      <c r="H162" s="526"/>
      <c r="I162" s="532">
        <f t="shared" si="2"/>
        <v>14200</v>
      </c>
      <c r="J162" s="407">
        <f>SUM(J160:J161)</f>
        <v>0</v>
      </c>
      <c r="K162" s="407">
        <f>SUM(K160:K161)</f>
        <v>0</v>
      </c>
      <c r="L162" s="407">
        <f>SUM(L160:L161)</f>
        <v>13600</v>
      </c>
      <c r="M162" s="407">
        <f>SUM(M160:M161)</f>
        <v>0</v>
      </c>
      <c r="N162" s="514">
        <f>SUM(N160:N161)</f>
        <v>600</v>
      </c>
    </row>
    <row r="163" spans="1:14" s="42" customFormat="1" ht="21.75" customHeight="1">
      <c r="A163" s="908">
        <v>157</v>
      </c>
      <c r="B163" s="126"/>
      <c r="C163" s="121">
        <v>23</v>
      </c>
      <c r="D163" s="122" t="s">
        <v>100</v>
      </c>
      <c r="E163" s="123" t="s">
        <v>859</v>
      </c>
      <c r="F163" s="406">
        <v>5791</v>
      </c>
      <c r="G163" s="406">
        <v>4000</v>
      </c>
      <c r="H163" s="524">
        <v>2076</v>
      </c>
      <c r="I163" s="530"/>
      <c r="J163" s="123"/>
      <c r="K163" s="123"/>
      <c r="L163" s="123"/>
      <c r="M163" s="123"/>
      <c r="N163" s="515"/>
    </row>
    <row r="164" spans="1:14" s="893" customFormat="1" ht="16.5">
      <c r="A164" s="908">
        <v>158</v>
      </c>
      <c r="B164" s="894"/>
      <c r="C164" s="895"/>
      <c r="D164" s="896" t="s">
        <v>403</v>
      </c>
      <c r="E164" s="897"/>
      <c r="F164" s="888"/>
      <c r="G164" s="888"/>
      <c r="H164" s="889"/>
      <c r="I164" s="890">
        <f t="shared" si="2"/>
        <v>4000</v>
      </c>
      <c r="J164" s="891">
        <v>200</v>
      </c>
      <c r="K164" s="891">
        <v>60</v>
      </c>
      <c r="L164" s="891">
        <v>3740</v>
      </c>
      <c r="M164" s="891"/>
      <c r="N164" s="892"/>
    </row>
    <row r="165" spans="1:14" s="42" customFormat="1" ht="16.5">
      <c r="A165" s="908">
        <v>159</v>
      </c>
      <c r="B165" s="126"/>
      <c r="C165" s="121"/>
      <c r="D165" s="122" t="s">
        <v>957</v>
      </c>
      <c r="E165" s="123"/>
      <c r="F165" s="406"/>
      <c r="G165" s="406"/>
      <c r="H165" s="524"/>
      <c r="I165" s="530">
        <f t="shared" si="2"/>
        <v>8924</v>
      </c>
      <c r="J165" s="124">
        <v>2300</v>
      </c>
      <c r="K165" s="124">
        <v>120</v>
      </c>
      <c r="L165" s="124">
        <v>6504</v>
      </c>
      <c r="M165" s="124"/>
      <c r="N165" s="329"/>
    </row>
    <row r="166" spans="1:14" s="327" customFormat="1" ht="17.25">
      <c r="A166" s="908">
        <v>160</v>
      </c>
      <c r="B166" s="128"/>
      <c r="C166" s="336"/>
      <c r="D166" s="507" t="s">
        <v>405</v>
      </c>
      <c r="E166" s="331"/>
      <c r="F166" s="408"/>
      <c r="G166" s="408"/>
      <c r="H166" s="525"/>
      <c r="I166" s="531">
        <f t="shared" si="2"/>
        <v>0</v>
      </c>
      <c r="J166" s="332"/>
      <c r="K166" s="332"/>
      <c r="L166" s="332"/>
      <c r="M166" s="332"/>
      <c r="N166" s="333"/>
    </row>
    <row r="167" spans="1:14" s="1500" customFormat="1" ht="17.25">
      <c r="A167" s="908">
        <v>161</v>
      </c>
      <c r="B167" s="337"/>
      <c r="C167" s="338"/>
      <c r="D167" s="334" t="s">
        <v>1067</v>
      </c>
      <c r="E167" s="335"/>
      <c r="F167" s="407"/>
      <c r="G167" s="407"/>
      <c r="H167" s="526"/>
      <c r="I167" s="532">
        <f t="shared" si="2"/>
        <v>8924</v>
      </c>
      <c r="J167" s="407">
        <f>SUM(J165:J166)</f>
        <v>2300</v>
      </c>
      <c r="K167" s="407">
        <f>SUM(K165:K166)</f>
        <v>120</v>
      </c>
      <c r="L167" s="407">
        <f>SUM(L165:L166)</f>
        <v>6504</v>
      </c>
      <c r="M167" s="407">
        <f>SUM(M165:M166)</f>
        <v>0</v>
      </c>
      <c r="N167" s="514">
        <f>SUM(N165:N166)</f>
        <v>0</v>
      </c>
    </row>
    <row r="168" spans="1:14" s="42" customFormat="1" ht="21.75" customHeight="1">
      <c r="A168" s="908">
        <v>162</v>
      </c>
      <c r="B168" s="126"/>
      <c r="C168" s="121">
        <v>24</v>
      </c>
      <c r="D168" s="122" t="s">
        <v>101</v>
      </c>
      <c r="E168" s="123" t="s">
        <v>859</v>
      </c>
      <c r="F168" s="406">
        <v>400</v>
      </c>
      <c r="G168" s="406">
        <v>1500</v>
      </c>
      <c r="H168" s="524">
        <v>940</v>
      </c>
      <c r="I168" s="530"/>
      <c r="J168" s="123"/>
      <c r="K168" s="123"/>
      <c r="L168" s="123"/>
      <c r="M168" s="123"/>
      <c r="N168" s="515"/>
    </row>
    <row r="169" spans="1:14" s="893" customFormat="1" ht="16.5">
      <c r="A169" s="908">
        <v>163</v>
      </c>
      <c r="B169" s="894"/>
      <c r="C169" s="895"/>
      <c r="D169" s="896" t="s">
        <v>403</v>
      </c>
      <c r="E169" s="897"/>
      <c r="F169" s="888"/>
      <c r="G169" s="888"/>
      <c r="H169" s="889"/>
      <c r="I169" s="890">
        <f t="shared" si="2"/>
        <v>2000</v>
      </c>
      <c r="J169" s="891"/>
      <c r="K169" s="891"/>
      <c r="L169" s="891">
        <v>2000</v>
      </c>
      <c r="M169" s="891"/>
      <c r="N169" s="892"/>
    </row>
    <row r="170" spans="1:14" s="42" customFormat="1" ht="16.5">
      <c r="A170" s="908">
        <v>164</v>
      </c>
      <c r="B170" s="126"/>
      <c r="C170" s="121"/>
      <c r="D170" s="122" t="s">
        <v>957</v>
      </c>
      <c r="E170" s="123"/>
      <c r="F170" s="406"/>
      <c r="G170" s="406"/>
      <c r="H170" s="524"/>
      <c r="I170" s="530">
        <f t="shared" si="2"/>
        <v>2000</v>
      </c>
      <c r="J170" s="124"/>
      <c r="K170" s="124"/>
      <c r="L170" s="124">
        <v>2000</v>
      </c>
      <c r="M170" s="124"/>
      <c r="N170" s="329"/>
    </row>
    <row r="171" spans="1:14" s="327" customFormat="1" ht="17.25">
      <c r="A171" s="908">
        <v>165</v>
      </c>
      <c r="B171" s="128"/>
      <c r="C171" s="336"/>
      <c r="D171" s="330" t="s">
        <v>405</v>
      </c>
      <c r="E171" s="331"/>
      <c r="F171" s="408"/>
      <c r="G171" s="408"/>
      <c r="H171" s="525"/>
      <c r="I171" s="531">
        <f aca="true" t="shared" si="4" ref="I171:I250">SUM(J171:N171)</f>
        <v>0</v>
      </c>
      <c r="J171" s="332"/>
      <c r="K171" s="332"/>
      <c r="L171" s="332"/>
      <c r="M171" s="332"/>
      <c r="N171" s="333"/>
    </row>
    <row r="172" spans="1:14" s="1500" customFormat="1" ht="17.25">
      <c r="A172" s="908">
        <v>166</v>
      </c>
      <c r="B172" s="337"/>
      <c r="C172" s="338"/>
      <c r="D172" s="334" t="s">
        <v>1067</v>
      </c>
      <c r="E172" s="335"/>
      <c r="F172" s="407"/>
      <c r="G172" s="407"/>
      <c r="H172" s="526"/>
      <c r="I172" s="532">
        <f t="shared" si="4"/>
        <v>2000</v>
      </c>
      <c r="J172" s="407">
        <f>SUM(J170:J171)</f>
        <v>0</v>
      </c>
      <c r="K172" s="407">
        <f>SUM(K170:K171)</f>
        <v>0</v>
      </c>
      <c r="L172" s="407">
        <f>SUM(L170:L171)</f>
        <v>2000</v>
      </c>
      <c r="M172" s="407">
        <f>SUM(M170:M171)</f>
        <v>0</v>
      </c>
      <c r="N172" s="514">
        <f>SUM(N170:N171)</f>
        <v>0</v>
      </c>
    </row>
    <row r="173" spans="1:14" s="42" customFormat="1" ht="21.75" customHeight="1">
      <c r="A173" s="908">
        <v>167</v>
      </c>
      <c r="B173" s="126"/>
      <c r="C173" s="121">
        <v>25</v>
      </c>
      <c r="D173" s="122" t="s">
        <v>430</v>
      </c>
      <c r="E173" s="123" t="s">
        <v>799</v>
      </c>
      <c r="F173" s="406">
        <v>23000</v>
      </c>
      <c r="G173" s="406">
        <v>25000</v>
      </c>
      <c r="H173" s="524">
        <v>24833</v>
      </c>
      <c r="I173" s="530"/>
      <c r="J173" s="123"/>
      <c r="K173" s="123"/>
      <c r="L173" s="123"/>
      <c r="M173" s="123"/>
      <c r="N173" s="515"/>
    </row>
    <row r="174" spans="1:14" s="893" customFormat="1" ht="16.5">
      <c r="A174" s="908">
        <v>168</v>
      </c>
      <c r="B174" s="894"/>
      <c r="C174" s="895"/>
      <c r="D174" s="896" t="s">
        <v>403</v>
      </c>
      <c r="E174" s="897"/>
      <c r="F174" s="888"/>
      <c r="G174" s="888"/>
      <c r="H174" s="889"/>
      <c r="I174" s="890">
        <f t="shared" si="4"/>
        <v>25000</v>
      </c>
      <c r="J174" s="891"/>
      <c r="K174" s="891"/>
      <c r="L174" s="891">
        <v>25000</v>
      </c>
      <c r="M174" s="891"/>
      <c r="N174" s="892"/>
    </row>
    <row r="175" spans="1:14" s="42" customFormat="1" ht="16.5">
      <c r="A175" s="908">
        <v>169</v>
      </c>
      <c r="B175" s="126"/>
      <c r="C175" s="121"/>
      <c r="D175" s="122" t="s">
        <v>957</v>
      </c>
      <c r="E175" s="123"/>
      <c r="F175" s="406"/>
      <c r="G175" s="406"/>
      <c r="H175" s="524"/>
      <c r="I175" s="530">
        <f t="shared" si="4"/>
        <v>25000</v>
      </c>
      <c r="J175" s="124"/>
      <c r="K175" s="124"/>
      <c r="L175" s="124">
        <v>25000</v>
      </c>
      <c r="M175" s="124"/>
      <c r="N175" s="329"/>
    </row>
    <row r="176" spans="1:14" s="327" customFormat="1" ht="17.25">
      <c r="A176" s="908">
        <v>170</v>
      </c>
      <c r="B176" s="128"/>
      <c r="C176" s="336"/>
      <c r="D176" s="330" t="s">
        <v>405</v>
      </c>
      <c r="E176" s="331"/>
      <c r="F176" s="408"/>
      <c r="G176" s="408"/>
      <c r="H176" s="525"/>
      <c r="I176" s="531">
        <f t="shared" si="4"/>
        <v>0</v>
      </c>
      <c r="J176" s="332"/>
      <c r="K176" s="332"/>
      <c r="L176" s="332"/>
      <c r="M176" s="332"/>
      <c r="N176" s="333"/>
    </row>
    <row r="177" spans="1:14" s="1500" customFormat="1" ht="17.25">
      <c r="A177" s="908">
        <v>171</v>
      </c>
      <c r="B177" s="337"/>
      <c r="C177" s="338"/>
      <c r="D177" s="334" t="s">
        <v>1067</v>
      </c>
      <c r="E177" s="335"/>
      <c r="F177" s="407"/>
      <c r="G177" s="407"/>
      <c r="H177" s="526"/>
      <c r="I177" s="532">
        <f t="shared" si="4"/>
        <v>25000</v>
      </c>
      <c r="J177" s="407">
        <f>SUM(J175:J176)</f>
        <v>0</v>
      </c>
      <c r="K177" s="407">
        <f>SUM(K175:K176)</f>
        <v>0</v>
      </c>
      <c r="L177" s="407">
        <f>SUM(L175:L176)</f>
        <v>25000</v>
      </c>
      <c r="M177" s="407">
        <f>SUM(M175:M176)</f>
        <v>0</v>
      </c>
      <c r="N177" s="514">
        <f>SUM(N175:N176)</f>
        <v>0</v>
      </c>
    </row>
    <row r="178" spans="1:14" s="42" customFormat="1" ht="21.75" customHeight="1">
      <c r="A178" s="908">
        <v>172</v>
      </c>
      <c r="B178" s="126"/>
      <c r="C178" s="121">
        <v>26</v>
      </c>
      <c r="D178" s="122" t="s">
        <v>113</v>
      </c>
      <c r="E178" s="123" t="s">
        <v>799</v>
      </c>
      <c r="F178" s="406"/>
      <c r="G178" s="406">
        <v>2000</v>
      </c>
      <c r="H178" s="524"/>
      <c r="I178" s="530"/>
      <c r="J178" s="123"/>
      <c r="K178" s="123"/>
      <c r="L178" s="123"/>
      <c r="M178" s="123"/>
      <c r="N178" s="515"/>
    </row>
    <row r="179" spans="1:14" s="893" customFormat="1" ht="16.5">
      <c r="A179" s="908">
        <v>173</v>
      </c>
      <c r="B179" s="894"/>
      <c r="C179" s="895"/>
      <c r="D179" s="896" t="s">
        <v>403</v>
      </c>
      <c r="E179" s="897"/>
      <c r="F179" s="888"/>
      <c r="G179" s="888"/>
      <c r="H179" s="889"/>
      <c r="I179" s="890">
        <f t="shared" si="4"/>
        <v>2000</v>
      </c>
      <c r="J179" s="891"/>
      <c r="K179" s="891"/>
      <c r="L179" s="891"/>
      <c r="M179" s="891"/>
      <c r="N179" s="892">
        <v>2000</v>
      </c>
    </row>
    <row r="180" spans="1:14" s="42" customFormat="1" ht="16.5">
      <c r="A180" s="908">
        <v>174</v>
      </c>
      <c r="B180" s="126"/>
      <c r="C180" s="121"/>
      <c r="D180" s="122" t="s">
        <v>957</v>
      </c>
      <c r="E180" s="123"/>
      <c r="F180" s="406"/>
      <c r="G180" s="406"/>
      <c r="H180" s="524"/>
      <c r="I180" s="530">
        <f t="shared" si="4"/>
        <v>0</v>
      </c>
      <c r="J180" s="124"/>
      <c r="K180" s="124"/>
      <c r="L180" s="124"/>
      <c r="M180" s="124"/>
      <c r="N180" s="329">
        <v>0</v>
      </c>
    </row>
    <row r="181" spans="1:14" s="327" customFormat="1" ht="17.25">
      <c r="A181" s="908">
        <v>175</v>
      </c>
      <c r="B181" s="128"/>
      <c r="C181" s="336"/>
      <c r="D181" s="330" t="s">
        <v>405</v>
      </c>
      <c r="E181" s="331"/>
      <c r="F181" s="408"/>
      <c r="G181" s="408"/>
      <c r="H181" s="525"/>
      <c r="I181" s="531">
        <f t="shared" si="4"/>
        <v>0</v>
      </c>
      <c r="J181" s="332"/>
      <c r="K181" s="332"/>
      <c r="L181" s="332"/>
      <c r="M181" s="332"/>
      <c r="N181" s="333"/>
    </row>
    <row r="182" spans="1:14" s="1500" customFormat="1" ht="17.25">
      <c r="A182" s="908">
        <v>176</v>
      </c>
      <c r="B182" s="337"/>
      <c r="C182" s="338"/>
      <c r="D182" s="334" t="s">
        <v>1067</v>
      </c>
      <c r="E182" s="335"/>
      <c r="F182" s="407"/>
      <c r="G182" s="407"/>
      <c r="H182" s="526"/>
      <c r="I182" s="532">
        <f t="shared" si="4"/>
        <v>0</v>
      </c>
      <c r="J182" s="407">
        <f>SUM(J180:J181)</f>
        <v>0</v>
      </c>
      <c r="K182" s="407">
        <f>SUM(K180:K181)</f>
        <v>0</v>
      </c>
      <c r="L182" s="407">
        <f>SUM(L180:L181)</f>
        <v>0</v>
      </c>
      <c r="M182" s="407">
        <f>SUM(M180:M181)</f>
        <v>0</v>
      </c>
      <c r="N182" s="514">
        <f>SUM(N180:N181)</f>
        <v>0</v>
      </c>
    </row>
    <row r="183" spans="1:14" s="42" customFormat="1" ht="21.75" customHeight="1">
      <c r="A183" s="908">
        <v>177</v>
      </c>
      <c r="B183" s="126"/>
      <c r="C183" s="121">
        <v>27</v>
      </c>
      <c r="D183" s="122" t="s">
        <v>115</v>
      </c>
      <c r="E183" s="123" t="s">
        <v>799</v>
      </c>
      <c r="F183" s="406">
        <f>SUM(F188:F208)</f>
        <v>6190</v>
      </c>
      <c r="G183" s="406">
        <f>SUM(G188:G208)</f>
        <v>7500</v>
      </c>
      <c r="H183" s="524">
        <f>SUM(H188:H208)</f>
        <v>6740</v>
      </c>
      <c r="I183" s="530"/>
      <c r="J183" s="123"/>
      <c r="K183" s="123"/>
      <c r="L183" s="123"/>
      <c r="M183" s="123"/>
      <c r="N183" s="515"/>
    </row>
    <row r="184" spans="1:14" s="893" customFormat="1" ht="16.5">
      <c r="A184" s="908">
        <v>178</v>
      </c>
      <c r="B184" s="894"/>
      <c r="C184" s="895"/>
      <c r="D184" s="896" t="s">
        <v>403</v>
      </c>
      <c r="E184" s="897"/>
      <c r="F184" s="888"/>
      <c r="G184" s="888"/>
      <c r="H184" s="889"/>
      <c r="I184" s="890">
        <f t="shared" si="4"/>
        <v>10500</v>
      </c>
      <c r="J184" s="888">
        <f aca="true" t="shared" si="5" ref="J184:N186">SUM(J189,J194,J199,J204,J209)</f>
        <v>0</v>
      </c>
      <c r="K184" s="888">
        <f t="shared" si="5"/>
        <v>0</v>
      </c>
      <c r="L184" s="888">
        <f t="shared" si="5"/>
        <v>1500</v>
      </c>
      <c r="M184" s="888">
        <f t="shared" si="5"/>
        <v>0</v>
      </c>
      <c r="N184" s="898">
        <f t="shared" si="5"/>
        <v>9000</v>
      </c>
    </row>
    <row r="185" spans="1:14" s="42" customFormat="1" ht="16.5">
      <c r="A185" s="908">
        <v>179</v>
      </c>
      <c r="B185" s="126"/>
      <c r="C185" s="121"/>
      <c r="D185" s="122" t="s">
        <v>957</v>
      </c>
      <c r="E185" s="123"/>
      <c r="F185" s="406"/>
      <c r="G185" s="406"/>
      <c r="H185" s="524"/>
      <c r="I185" s="530">
        <f t="shared" si="4"/>
        <v>8250</v>
      </c>
      <c r="J185" s="406">
        <f t="shared" si="5"/>
        <v>0</v>
      </c>
      <c r="K185" s="406">
        <f t="shared" si="5"/>
        <v>0</v>
      </c>
      <c r="L185" s="406">
        <f t="shared" si="5"/>
        <v>1500</v>
      </c>
      <c r="M185" s="406">
        <f t="shared" si="5"/>
        <v>0</v>
      </c>
      <c r="N185" s="511">
        <f t="shared" si="5"/>
        <v>6750</v>
      </c>
    </row>
    <row r="186" spans="1:14" s="327" customFormat="1" ht="17.25">
      <c r="A186" s="908">
        <v>180</v>
      </c>
      <c r="B186" s="128"/>
      <c r="C186" s="336"/>
      <c r="D186" s="330" t="s">
        <v>405</v>
      </c>
      <c r="E186" s="331"/>
      <c r="F186" s="408"/>
      <c r="G186" s="408"/>
      <c r="H186" s="525"/>
      <c r="I186" s="531">
        <f t="shared" si="4"/>
        <v>0</v>
      </c>
      <c r="J186" s="408">
        <f t="shared" si="5"/>
        <v>0</v>
      </c>
      <c r="K186" s="408">
        <f t="shared" si="5"/>
        <v>0</v>
      </c>
      <c r="L186" s="408">
        <f t="shared" si="5"/>
        <v>0</v>
      </c>
      <c r="M186" s="408">
        <f t="shared" si="5"/>
        <v>0</v>
      </c>
      <c r="N186" s="512">
        <f t="shared" si="5"/>
        <v>0</v>
      </c>
    </row>
    <row r="187" spans="1:14" s="1500" customFormat="1" ht="17.25">
      <c r="A187" s="908">
        <v>181</v>
      </c>
      <c r="B187" s="337"/>
      <c r="C187" s="338"/>
      <c r="D187" s="334" t="s">
        <v>1067</v>
      </c>
      <c r="E187" s="335"/>
      <c r="F187" s="407"/>
      <c r="G187" s="407"/>
      <c r="H187" s="526"/>
      <c r="I187" s="532">
        <f t="shared" si="4"/>
        <v>8250</v>
      </c>
      <c r="J187" s="407">
        <f>SUM(J185:J186)</f>
        <v>0</v>
      </c>
      <c r="K187" s="407">
        <f>SUM(K185:K186)</f>
        <v>0</v>
      </c>
      <c r="L187" s="407">
        <f>SUM(L185:L186)</f>
        <v>1500</v>
      </c>
      <c r="M187" s="407">
        <f>SUM(M185:M186)</f>
        <v>0</v>
      </c>
      <c r="N187" s="514">
        <f>SUM(N185:N186)</f>
        <v>6750</v>
      </c>
    </row>
    <row r="188" spans="1:14" s="42" customFormat="1" ht="17.25">
      <c r="A188" s="908">
        <v>182</v>
      </c>
      <c r="B188" s="126"/>
      <c r="C188" s="121"/>
      <c r="D188" s="1044" t="s">
        <v>179</v>
      </c>
      <c r="E188" s="331"/>
      <c r="F188" s="408"/>
      <c r="G188" s="408">
        <v>2000</v>
      </c>
      <c r="H188" s="525"/>
      <c r="I188" s="531"/>
      <c r="J188" s="332"/>
      <c r="K188" s="332"/>
      <c r="L188" s="332"/>
      <c r="M188" s="332"/>
      <c r="N188" s="333"/>
    </row>
    <row r="189" spans="1:14" s="893" customFormat="1" ht="16.5">
      <c r="A189" s="908">
        <v>183</v>
      </c>
      <c r="B189" s="894"/>
      <c r="C189" s="895"/>
      <c r="D189" s="1036" t="s">
        <v>403</v>
      </c>
      <c r="E189" s="897"/>
      <c r="F189" s="888"/>
      <c r="G189" s="888"/>
      <c r="H189" s="889"/>
      <c r="I189" s="890">
        <f t="shared" si="4"/>
        <v>2500</v>
      </c>
      <c r="J189" s="891"/>
      <c r="K189" s="891"/>
      <c r="L189" s="891"/>
      <c r="M189" s="891"/>
      <c r="N189" s="892">
        <v>2500</v>
      </c>
    </row>
    <row r="190" spans="1:14" s="42" customFormat="1" ht="16.5">
      <c r="A190" s="908">
        <v>184</v>
      </c>
      <c r="B190" s="126"/>
      <c r="C190" s="121"/>
      <c r="D190" s="1043" t="s">
        <v>957</v>
      </c>
      <c r="E190" s="123"/>
      <c r="F190" s="406"/>
      <c r="G190" s="406"/>
      <c r="H190" s="524"/>
      <c r="I190" s="530">
        <f t="shared" si="4"/>
        <v>0</v>
      </c>
      <c r="J190" s="124"/>
      <c r="K190" s="124"/>
      <c r="L190" s="124"/>
      <c r="M190" s="124"/>
      <c r="N190" s="329">
        <v>0</v>
      </c>
    </row>
    <row r="191" spans="1:14" s="327" customFormat="1" ht="17.25">
      <c r="A191" s="908">
        <v>185</v>
      </c>
      <c r="B191" s="128"/>
      <c r="C191" s="336"/>
      <c r="D191" s="1044" t="s">
        <v>405</v>
      </c>
      <c r="E191" s="331"/>
      <c r="F191" s="408"/>
      <c r="G191" s="408"/>
      <c r="H191" s="525"/>
      <c r="I191" s="531">
        <f t="shared" si="4"/>
        <v>0</v>
      </c>
      <c r="J191" s="332"/>
      <c r="K191" s="332"/>
      <c r="L191" s="332"/>
      <c r="M191" s="332"/>
      <c r="N191" s="333"/>
    </row>
    <row r="192" spans="1:14" s="1500" customFormat="1" ht="17.25">
      <c r="A192" s="908">
        <v>186</v>
      </c>
      <c r="B192" s="337"/>
      <c r="C192" s="338"/>
      <c r="D192" s="1051" t="s">
        <v>1067</v>
      </c>
      <c r="E192" s="1046"/>
      <c r="F192" s="1047"/>
      <c r="G192" s="1047"/>
      <c r="H192" s="1048"/>
      <c r="I192" s="1049">
        <f t="shared" si="4"/>
        <v>0</v>
      </c>
      <c r="J192" s="1047">
        <f>SUM(J190:J191)</f>
        <v>0</v>
      </c>
      <c r="K192" s="1047">
        <f>SUM(K190:K191)</f>
        <v>0</v>
      </c>
      <c r="L192" s="1047">
        <f>SUM(L190:L191)</f>
        <v>0</v>
      </c>
      <c r="M192" s="1047">
        <f>SUM(M190:M191)</f>
        <v>0</v>
      </c>
      <c r="N192" s="1050">
        <f>SUM(N190:N191)</f>
        <v>0</v>
      </c>
    </row>
    <row r="193" spans="1:14" s="42" customFormat="1" ht="17.25">
      <c r="A193" s="908">
        <v>187</v>
      </c>
      <c r="B193" s="126"/>
      <c r="C193" s="121"/>
      <c r="D193" s="1044" t="s">
        <v>213</v>
      </c>
      <c r="E193" s="331"/>
      <c r="F193" s="408">
        <v>4690</v>
      </c>
      <c r="G193" s="408">
        <v>4000</v>
      </c>
      <c r="H193" s="525">
        <v>5240</v>
      </c>
      <c r="I193" s="531"/>
      <c r="J193" s="332"/>
      <c r="K193" s="332"/>
      <c r="L193" s="332"/>
      <c r="M193" s="332"/>
      <c r="N193" s="333"/>
    </row>
    <row r="194" spans="1:14" s="893" customFormat="1" ht="16.5">
      <c r="A194" s="908">
        <v>188</v>
      </c>
      <c r="B194" s="894"/>
      <c r="C194" s="895"/>
      <c r="D194" s="1036" t="s">
        <v>403</v>
      </c>
      <c r="E194" s="897"/>
      <c r="F194" s="888"/>
      <c r="G194" s="888"/>
      <c r="H194" s="889"/>
      <c r="I194" s="890">
        <f t="shared" si="4"/>
        <v>6000</v>
      </c>
      <c r="J194" s="891"/>
      <c r="K194" s="891"/>
      <c r="L194" s="891"/>
      <c r="M194" s="891"/>
      <c r="N194" s="892">
        <v>6000</v>
      </c>
    </row>
    <row r="195" spans="1:14" s="42" customFormat="1" ht="16.5">
      <c r="A195" s="908">
        <v>189</v>
      </c>
      <c r="B195" s="126"/>
      <c r="C195" s="121"/>
      <c r="D195" s="1043" t="s">
        <v>957</v>
      </c>
      <c r="E195" s="123"/>
      <c r="F195" s="406"/>
      <c r="G195" s="406"/>
      <c r="H195" s="524"/>
      <c r="I195" s="530">
        <f t="shared" si="4"/>
        <v>6250</v>
      </c>
      <c r="J195" s="124"/>
      <c r="K195" s="124"/>
      <c r="L195" s="124"/>
      <c r="M195" s="124"/>
      <c r="N195" s="329">
        <v>6250</v>
      </c>
    </row>
    <row r="196" spans="1:14" s="327" customFormat="1" ht="17.25">
      <c r="A196" s="908">
        <v>190</v>
      </c>
      <c r="B196" s="128"/>
      <c r="C196" s="336"/>
      <c r="D196" s="1044" t="s">
        <v>405</v>
      </c>
      <c r="E196" s="331"/>
      <c r="F196" s="408"/>
      <c r="G196" s="408"/>
      <c r="H196" s="525"/>
      <c r="I196" s="531">
        <f>SUM(J196:N196)</f>
        <v>0</v>
      </c>
      <c r="J196" s="332"/>
      <c r="K196" s="332"/>
      <c r="L196" s="332"/>
      <c r="M196" s="332"/>
      <c r="N196" s="333"/>
    </row>
    <row r="197" spans="1:14" s="1500" customFormat="1" ht="17.25">
      <c r="A197" s="908">
        <v>191</v>
      </c>
      <c r="B197" s="337"/>
      <c r="C197" s="338"/>
      <c r="D197" s="1051" t="s">
        <v>1067</v>
      </c>
      <c r="E197" s="1046"/>
      <c r="F197" s="1047"/>
      <c r="G197" s="1047"/>
      <c r="H197" s="1048"/>
      <c r="I197" s="1049">
        <f>SUM(J197:M197)+N197</f>
        <v>6250</v>
      </c>
      <c r="J197" s="1047">
        <f>SUM(J195:J196)</f>
        <v>0</v>
      </c>
      <c r="K197" s="1047">
        <f>SUM(K195:K196)</f>
        <v>0</v>
      </c>
      <c r="L197" s="1047">
        <f>SUM(L195:L196)</f>
        <v>0</v>
      </c>
      <c r="M197" s="1047">
        <f>SUM(M195:M196)</f>
        <v>0</v>
      </c>
      <c r="N197" s="1050">
        <f>SUM(N195:N196)</f>
        <v>6250</v>
      </c>
    </row>
    <row r="198" spans="1:14" s="42" customFormat="1" ht="17.25">
      <c r="A198" s="908">
        <v>192</v>
      </c>
      <c r="B198" s="126"/>
      <c r="C198" s="121"/>
      <c r="D198" s="1044" t="s">
        <v>212</v>
      </c>
      <c r="E198" s="331"/>
      <c r="F198" s="408">
        <v>500</v>
      </c>
      <c r="G198" s="408">
        <v>500</v>
      </c>
      <c r="H198" s="525">
        <v>500</v>
      </c>
      <c r="I198" s="531"/>
      <c r="J198" s="332"/>
      <c r="K198" s="332"/>
      <c r="L198" s="332"/>
      <c r="M198" s="332"/>
      <c r="N198" s="333"/>
    </row>
    <row r="199" spans="1:14" s="893" customFormat="1" ht="16.5">
      <c r="A199" s="908">
        <v>193</v>
      </c>
      <c r="B199" s="894"/>
      <c r="C199" s="895"/>
      <c r="D199" s="1036" t="s">
        <v>403</v>
      </c>
      <c r="E199" s="897"/>
      <c r="F199" s="888"/>
      <c r="G199" s="888"/>
      <c r="H199" s="889"/>
      <c r="I199" s="890">
        <f t="shared" si="4"/>
        <v>500</v>
      </c>
      <c r="J199" s="891"/>
      <c r="K199" s="891"/>
      <c r="L199" s="891">
        <v>500</v>
      </c>
      <c r="M199" s="891"/>
      <c r="N199" s="892"/>
    </row>
    <row r="200" spans="1:14" s="42" customFormat="1" ht="16.5">
      <c r="A200" s="908">
        <v>194</v>
      </c>
      <c r="B200" s="126"/>
      <c r="C200" s="121"/>
      <c r="D200" s="1043" t="s">
        <v>957</v>
      </c>
      <c r="E200" s="123"/>
      <c r="F200" s="406"/>
      <c r="G200" s="406"/>
      <c r="H200" s="524"/>
      <c r="I200" s="530">
        <f t="shared" si="4"/>
        <v>500</v>
      </c>
      <c r="J200" s="124"/>
      <c r="K200" s="124"/>
      <c r="L200" s="124">
        <v>500</v>
      </c>
      <c r="M200" s="124"/>
      <c r="N200" s="329"/>
    </row>
    <row r="201" spans="1:14" s="327" customFormat="1" ht="17.25">
      <c r="A201" s="908">
        <v>195</v>
      </c>
      <c r="B201" s="128"/>
      <c r="C201" s="336"/>
      <c r="D201" s="1044" t="s">
        <v>405</v>
      </c>
      <c r="E201" s="331"/>
      <c r="F201" s="408"/>
      <c r="G201" s="408"/>
      <c r="H201" s="525"/>
      <c r="I201" s="531">
        <f t="shared" si="4"/>
        <v>0</v>
      </c>
      <c r="J201" s="332"/>
      <c r="K201" s="332"/>
      <c r="L201" s="332"/>
      <c r="M201" s="332"/>
      <c r="N201" s="333"/>
    </row>
    <row r="202" spans="1:14" s="1500" customFormat="1" ht="17.25">
      <c r="A202" s="908">
        <v>196</v>
      </c>
      <c r="B202" s="337"/>
      <c r="C202" s="338"/>
      <c r="D202" s="1051" t="s">
        <v>1067</v>
      </c>
      <c r="E202" s="1046"/>
      <c r="F202" s="1047"/>
      <c r="G202" s="1047"/>
      <c r="H202" s="1048"/>
      <c r="I202" s="1049">
        <f t="shared" si="4"/>
        <v>500</v>
      </c>
      <c r="J202" s="1047">
        <f>SUM(J200:J201)</f>
        <v>0</v>
      </c>
      <c r="K202" s="1047">
        <f>SUM(K200:K201)</f>
        <v>0</v>
      </c>
      <c r="L202" s="1047">
        <f>SUM(L200:L201)</f>
        <v>500</v>
      </c>
      <c r="M202" s="1047">
        <f>SUM(M200:M201)</f>
        <v>0</v>
      </c>
      <c r="N202" s="1050">
        <f>SUM(N200:N201)</f>
        <v>0</v>
      </c>
    </row>
    <row r="203" spans="1:14" s="42" customFormat="1" ht="17.25">
      <c r="A203" s="908">
        <v>197</v>
      </c>
      <c r="B203" s="126"/>
      <c r="C203" s="121"/>
      <c r="D203" s="1044" t="s">
        <v>214</v>
      </c>
      <c r="E203" s="331"/>
      <c r="F203" s="408"/>
      <c r="G203" s="408"/>
      <c r="H203" s="525"/>
      <c r="I203" s="531"/>
      <c r="J203" s="332"/>
      <c r="K203" s="332"/>
      <c r="L203" s="332"/>
      <c r="M203" s="332"/>
      <c r="N203" s="333"/>
    </row>
    <row r="204" spans="1:14" s="893" customFormat="1" ht="16.5">
      <c r="A204" s="908">
        <v>198</v>
      </c>
      <c r="B204" s="894"/>
      <c r="C204" s="895"/>
      <c r="D204" s="1036" t="s">
        <v>403</v>
      </c>
      <c r="E204" s="897"/>
      <c r="F204" s="888"/>
      <c r="G204" s="888"/>
      <c r="H204" s="889"/>
      <c r="I204" s="890">
        <f t="shared" si="4"/>
        <v>500</v>
      </c>
      <c r="J204" s="891"/>
      <c r="K204" s="891"/>
      <c r="L204" s="891"/>
      <c r="M204" s="891"/>
      <c r="N204" s="892">
        <v>500</v>
      </c>
    </row>
    <row r="205" spans="1:14" s="42" customFormat="1" ht="16.5">
      <c r="A205" s="908">
        <v>199</v>
      </c>
      <c r="B205" s="126"/>
      <c r="C205" s="121"/>
      <c r="D205" s="1043" t="s">
        <v>957</v>
      </c>
      <c r="E205" s="123"/>
      <c r="F205" s="406"/>
      <c r="G205" s="406"/>
      <c r="H205" s="524"/>
      <c r="I205" s="530">
        <f t="shared" si="4"/>
        <v>500</v>
      </c>
      <c r="J205" s="124"/>
      <c r="K205" s="124"/>
      <c r="L205" s="124"/>
      <c r="M205" s="124"/>
      <c r="N205" s="329">
        <v>500</v>
      </c>
    </row>
    <row r="206" spans="1:14" s="327" customFormat="1" ht="17.25">
      <c r="A206" s="908">
        <v>200</v>
      </c>
      <c r="B206" s="128"/>
      <c r="C206" s="336"/>
      <c r="D206" s="1044" t="s">
        <v>405</v>
      </c>
      <c r="E206" s="331"/>
      <c r="F206" s="408"/>
      <c r="G206" s="408"/>
      <c r="H206" s="525"/>
      <c r="I206" s="531">
        <f t="shared" si="4"/>
        <v>0</v>
      </c>
      <c r="J206" s="332"/>
      <c r="K206" s="332"/>
      <c r="L206" s="332"/>
      <c r="M206" s="332"/>
      <c r="N206" s="333"/>
    </row>
    <row r="207" spans="1:14" s="1500" customFormat="1" ht="17.25">
      <c r="A207" s="908">
        <v>201</v>
      </c>
      <c r="B207" s="337"/>
      <c r="C207" s="338"/>
      <c r="D207" s="1051" t="s">
        <v>1067</v>
      </c>
      <c r="E207" s="1046"/>
      <c r="F207" s="1047"/>
      <c r="G207" s="1047"/>
      <c r="H207" s="1048"/>
      <c r="I207" s="1049">
        <f t="shared" si="4"/>
        <v>500</v>
      </c>
      <c r="J207" s="1047">
        <f>SUM(J205:J206)</f>
        <v>0</v>
      </c>
      <c r="K207" s="1047">
        <f>SUM(K205:K206)</f>
        <v>0</v>
      </c>
      <c r="L207" s="1047">
        <f>SUM(L205:L206)</f>
        <v>0</v>
      </c>
      <c r="M207" s="1047">
        <f>SUM(M205:M206)</f>
        <v>0</v>
      </c>
      <c r="N207" s="1050">
        <f>SUM(N205:N206)</f>
        <v>500</v>
      </c>
    </row>
    <row r="208" spans="1:14" s="42" customFormat="1" ht="17.25">
      <c r="A208" s="908">
        <v>202</v>
      </c>
      <c r="B208" s="126"/>
      <c r="C208" s="121"/>
      <c r="D208" s="1044" t="s">
        <v>215</v>
      </c>
      <c r="E208" s="331"/>
      <c r="F208" s="408">
        <v>1000</v>
      </c>
      <c r="G208" s="408">
        <v>1000</v>
      </c>
      <c r="H208" s="525">
        <v>1000</v>
      </c>
      <c r="I208" s="531"/>
      <c r="J208" s="332"/>
      <c r="K208" s="332"/>
      <c r="L208" s="332"/>
      <c r="M208" s="332"/>
      <c r="N208" s="333"/>
    </row>
    <row r="209" spans="1:14" s="893" customFormat="1" ht="16.5">
      <c r="A209" s="908">
        <v>203</v>
      </c>
      <c r="B209" s="894"/>
      <c r="C209" s="895"/>
      <c r="D209" s="1036" t="s">
        <v>403</v>
      </c>
      <c r="E209" s="897"/>
      <c r="F209" s="888"/>
      <c r="G209" s="888"/>
      <c r="H209" s="889"/>
      <c r="I209" s="890">
        <f t="shared" si="4"/>
        <v>1000</v>
      </c>
      <c r="J209" s="891"/>
      <c r="K209" s="891"/>
      <c r="L209" s="891">
        <v>1000</v>
      </c>
      <c r="M209" s="891"/>
      <c r="N209" s="892"/>
    </row>
    <row r="210" spans="1:14" s="42" customFormat="1" ht="16.5">
      <c r="A210" s="908">
        <v>204</v>
      </c>
      <c r="B210" s="126"/>
      <c r="C210" s="121"/>
      <c r="D210" s="1043" t="s">
        <v>957</v>
      </c>
      <c r="E210" s="123"/>
      <c r="F210" s="406"/>
      <c r="G210" s="406"/>
      <c r="H210" s="524"/>
      <c r="I210" s="530">
        <f t="shared" si="4"/>
        <v>1000</v>
      </c>
      <c r="J210" s="124"/>
      <c r="K210" s="124"/>
      <c r="L210" s="124">
        <v>1000</v>
      </c>
      <c r="M210" s="124"/>
      <c r="N210" s="329"/>
    </row>
    <row r="211" spans="1:14" s="327" customFormat="1" ht="17.25">
      <c r="A211" s="908">
        <v>205</v>
      </c>
      <c r="B211" s="128"/>
      <c r="C211" s="336"/>
      <c r="D211" s="1044" t="s">
        <v>405</v>
      </c>
      <c r="E211" s="331"/>
      <c r="F211" s="408"/>
      <c r="G211" s="408"/>
      <c r="H211" s="525"/>
      <c r="I211" s="531">
        <f t="shared" si="4"/>
        <v>0</v>
      </c>
      <c r="J211" s="332"/>
      <c r="K211" s="332"/>
      <c r="L211" s="332"/>
      <c r="M211" s="332"/>
      <c r="N211" s="333"/>
    </row>
    <row r="212" spans="1:14" s="1500" customFormat="1" ht="17.25">
      <c r="A212" s="908">
        <v>206</v>
      </c>
      <c r="B212" s="337"/>
      <c r="C212" s="338"/>
      <c r="D212" s="1051" t="s">
        <v>1067</v>
      </c>
      <c r="E212" s="1046"/>
      <c r="F212" s="1047"/>
      <c r="G212" s="1047"/>
      <c r="H212" s="1048"/>
      <c r="I212" s="1049">
        <f t="shared" si="4"/>
        <v>1000</v>
      </c>
      <c r="J212" s="1047">
        <f>SUM(J210:J211)</f>
        <v>0</v>
      </c>
      <c r="K212" s="1047">
        <f>SUM(K210:K211)</f>
        <v>0</v>
      </c>
      <c r="L212" s="1047">
        <f>SUM(L210:L211)</f>
        <v>1000</v>
      </c>
      <c r="M212" s="1047">
        <f>SUM(M210:M211)</f>
        <v>0</v>
      </c>
      <c r="N212" s="1050">
        <f>SUM(N210:N211)</f>
        <v>0</v>
      </c>
    </row>
    <row r="213" spans="1:14" s="42" customFormat="1" ht="19.5" customHeight="1">
      <c r="A213" s="908">
        <v>207</v>
      </c>
      <c r="B213" s="126"/>
      <c r="C213" s="121">
        <v>28</v>
      </c>
      <c r="D213" s="122" t="s">
        <v>83</v>
      </c>
      <c r="E213" s="123" t="s">
        <v>768</v>
      </c>
      <c r="F213" s="406">
        <v>12226</v>
      </c>
      <c r="G213" s="406">
        <v>13000</v>
      </c>
      <c r="H213" s="524">
        <v>10585</v>
      </c>
      <c r="I213" s="530"/>
      <c r="J213" s="123"/>
      <c r="K213" s="123"/>
      <c r="L213" s="123"/>
      <c r="M213" s="123"/>
      <c r="N213" s="515"/>
    </row>
    <row r="214" spans="1:14" s="893" customFormat="1" ht="16.5">
      <c r="A214" s="908">
        <v>208</v>
      </c>
      <c r="B214" s="894"/>
      <c r="C214" s="895"/>
      <c r="D214" s="896" t="s">
        <v>403</v>
      </c>
      <c r="E214" s="897"/>
      <c r="F214" s="888"/>
      <c r="G214" s="888"/>
      <c r="H214" s="889"/>
      <c r="I214" s="890">
        <f t="shared" si="4"/>
        <v>11000</v>
      </c>
      <c r="J214" s="891"/>
      <c r="K214" s="891"/>
      <c r="L214" s="891"/>
      <c r="M214" s="891">
        <v>11000</v>
      </c>
      <c r="N214" s="892"/>
    </row>
    <row r="215" spans="1:14" s="42" customFormat="1" ht="16.5">
      <c r="A215" s="908">
        <v>209</v>
      </c>
      <c r="B215" s="126"/>
      <c r="C215" s="121"/>
      <c r="D215" s="122" t="s">
        <v>957</v>
      </c>
      <c r="E215" s="123"/>
      <c r="F215" s="406"/>
      <c r="G215" s="406"/>
      <c r="H215" s="524"/>
      <c r="I215" s="530">
        <f t="shared" si="4"/>
        <v>11000</v>
      </c>
      <c r="J215" s="124"/>
      <c r="K215" s="124"/>
      <c r="L215" s="124"/>
      <c r="M215" s="124">
        <v>11000</v>
      </c>
      <c r="N215" s="329"/>
    </row>
    <row r="216" spans="1:14" s="327" customFormat="1" ht="17.25">
      <c r="A216" s="908">
        <v>210</v>
      </c>
      <c r="B216" s="128"/>
      <c r="C216" s="336"/>
      <c r="D216" s="330" t="s">
        <v>405</v>
      </c>
      <c r="E216" s="331"/>
      <c r="F216" s="408"/>
      <c r="G216" s="408"/>
      <c r="H216" s="525"/>
      <c r="I216" s="531">
        <f t="shared" si="4"/>
        <v>0</v>
      </c>
      <c r="J216" s="332"/>
      <c r="K216" s="332"/>
      <c r="L216" s="332"/>
      <c r="M216" s="332"/>
      <c r="N216" s="333"/>
    </row>
    <row r="217" spans="1:14" s="1500" customFormat="1" ht="17.25">
      <c r="A217" s="908">
        <v>211</v>
      </c>
      <c r="B217" s="337"/>
      <c r="C217" s="338"/>
      <c r="D217" s="334" t="s">
        <v>1067</v>
      </c>
      <c r="E217" s="335"/>
      <c r="F217" s="407"/>
      <c r="G217" s="407"/>
      <c r="H217" s="526"/>
      <c r="I217" s="532">
        <f t="shared" si="4"/>
        <v>11000</v>
      </c>
      <c r="J217" s="407">
        <f>SUM(J215:J216)</f>
        <v>0</v>
      </c>
      <c r="K217" s="407">
        <f>SUM(K215:K216)</f>
        <v>0</v>
      </c>
      <c r="L217" s="407">
        <f>SUM(L215:L216)</f>
        <v>0</v>
      </c>
      <c r="M217" s="407">
        <f>SUM(M215:M216)</f>
        <v>11000</v>
      </c>
      <c r="N217" s="514">
        <f>SUM(N215:N216)</f>
        <v>0</v>
      </c>
    </row>
    <row r="218" spans="1:14" s="42" customFormat="1" ht="19.5" customHeight="1">
      <c r="A218" s="908">
        <v>212</v>
      </c>
      <c r="B218" s="126"/>
      <c r="C218" s="121">
        <v>29</v>
      </c>
      <c r="D218" s="122" t="s">
        <v>84</v>
      </c>
      <c r="E218" s="123" t="s">
        <v>768</v>
      </c>
      <c r="F218" s="406">
        <v>40</v>
      </c>
      <c r="G218" s="406">
        <v>100</v>
      </c>
      <c r="H218" s="524">
        <v>100</v>
      </c>
      <c r="I218" s="530"/>
      <c r="J218" s="123"/>
      <c r="K218" s="123"/>
      <c r="L218" s="123"/>
      <c r="M218" s="123"/>
      <c r="N218" s="515"/>
    </row>
    <row r="219" spans="1:14" s="893" customFormat="1" ht="16.5">
      <c r="A219" s="908">
        <v>213</v>
      </c>
      <c r="B219" s="894"/>
      <c r="C219" s="895"/>
      <c r="D219" s="896" t="s">
        <v>403</v>
      </c>
      <c r="E219" s="897"/>
      <c r="F219" s="888"/>
      <c r="G219" s="888"/>
      <c r="H219" s="889"/>
      <c r="I219" s="890">
        <f t="shared" si="4"/>
        <v>300</v>
      </c>
      <c r="J219" s="891"/>
      <c r="K219" s="891"/>
      <c r="L219" s="891"/>
      <c r="M219" s="891">
        <v>300</v>
      </c>
      <c r="N219" s="892"/>
    </row>
    <row r="220" spans="1:14" s="42" customFormat="1" ht="16.5">
      <c r="A220" s="908">
        <v>214</v>
      </c>
      <c r="B220" s="126"/>
      <c r="C220" s="121"/>
      <c r="D220" s="122" t="s">
        <v>957</v>
      </c>
      <c r="E220" s="123"/>
      <c r="F220" s="406"/>
      <c r="G220" s="406"/>
      <c r="H220" s="524"/>
      <c r="I220" s="530">
        <f t="shared" si="4"/>
        <v>300</v>
      </c>
      <c r="J220" s="124"/>
      <c r="K220" s="124"/>
      <c r="L220" s="124"/>
      <c r="M220" s="124">
        <v>300</v>
      </c>
      <c r="N220" s="329"/>
    </row>
    <row r="221" spans="1:14" s="327" customFormat="1" ht="17.25">
      <c r="A221" s="908">
        <v>215</v>
      </c>
      <c r="B221" s="128"/>
      <c r="C221" s="336"/>
      <c r="D221" s="330" t="s">
        <v>405</v>
      </c>
      <c r="E221" s="331"/>
      <c r="F221" s="408"/>
      <c r="G221" s="408"/>
      <c r="H221" s="525"/>
      <c r="I221" s="531">
        <f t="shared" si="4"/>
        <v>0</v>
      </c>
      <c r="J221" s="332"/>
      <c r="K221" s="332"/>
      <c r="L221" s="332"/>
      <c r="M221" s="332"/>
      <c r="N221" s="333"/>
    </row>
    <row r="222" spans="1:14" s="1500" customFormat="1" ht="17.25">
      <c r="A222" s="908">
        <v>216</v>
      </c>
      <c r="B222" s="337"/>
      <c r="C222" s="338"/>
      <c r="D222" s="334" t="s">
        <v>1067</v>
      </c>
      <c r="E222" s="335"/>
      <c r="F222" s="407"/>
      <c r="G222" s="407"/>
      <c r="H222" s="526"/>
      <c r="I222" s="532">
        <f t="shared" si="4"/>
        <v>300</v>
      </c>
      <c r="J222" s="407">
        <f>SUM(J220:J221)</f>
        <v>0</v>
      </c>
      <c r="K222" s="407">
        <f>SUM(K220:K221)</f>
        <v>0</v>
      </c>
      <c r="L222" s="407">
        <f>SUM(L220:L221)</f>
        <v>0</v>
      </c>
      <c r="M222" s="407">
        <f>SUM(M220:M221)</f>
        <v>300</v>
      </c>
      <c r="N222" s="514">
        <f>SUM(N220:N221)</f>
        <v>0</v>
      </c>
    </row>
    <row r="223" spans="1:14" s="42" customFormat="1" ht="19.5" customHeight="1">
      <c r="A223" s="908">
        <v>217</v>
      </c>
      <c r="B223" s="126"/>
      <c r="C223" s="121">
        <v>30</v>
      </c>
      <c r="D223" s="122" t="s">
        <v>88</v>
      </c>
      <c r="E223" s="123" t="s">
        <v>768</v>
      </c>
      <c r="F223" s="406">
        <v>2099</v>
      </c>
      <c r="G223" s="406">
        <v>3000</v>
      </c>
      <c r="H223" s="524">
        <v>540</v>
      </c>
      <c r="I223" s="530"/>
      <c r="J223" s="123"/>
      <c r="K223" s="123"/>
      <c r="L223" s="123"/>
      <c r="M223" s="123"/>
      <c r="N223" s="515"/>
    </row>
    <row r="224" spans="1:14" s="893" customFormat="1" ht="16.5">
      <c r="A224" s="908">
        <v>218</v>
      </c>
      <c r="B224" s="894"/>
      <c r="C224" s="895"/>
      <c r="D224" s="896" t="s">
        <v>403</v>
      </c>
      <c r="E224" s="897"/>
      <c r="F224" s="888"/>
      <c r="G224" s="888"/>
      <c r="H224" s="889"/>
      <c r="I224" s="890">
        <f t="shared" si="4"/>
        <v>600</v>
      </c>
      <c r="J224" s="891"/>
      <c r="K224" s="891"/>
      <c r="L224" s="891"/>
      <c r="M224" s="891">
        <v>600</v>
      </c>
      <c r="N224" s="892"/>
    </row>
    <row r="225" spans="1:14" s="42" customFormat="1" ht="16.5">
      <c r="A225" s="908">
        <v>219</v>
      </c>
      <c r="B225" s="126"/>
      <c r="C225" s="121"/>
      <c r="D225" s="122" t="s">
        <v>957</v>
      </c>
      <c r="E225" s="123"/>
      <c r="F225" s="406"/>
      <c r="G225" s="406"/>
      <c r="H225" s="524"/>
      <c r="I225" s="530">
        <f t="shared" si="4"/>
        <v>600</v>
      </c>
      <c r="J225" s="124"/>
      <c r="K225" s="124"/>
      <c r="L225" s="124"/>
      <c r="M225" s="124">
        <v>600</v>
      </c>
      <c r="N225" s="329"/>
    </row>
    <row r="226" spans="1:14" s="327" customFormat="1" ht="17.25">
      <c r="A226" s="908">
        <v>220</v>
      </c>
      <c r="B226" s="128"/>
      <c r="C226" s="336"/>
      <c r="D226" s="330" t="s">
        <v>405</v>
      </c>
      <c r="E226" s="331"/>
      <c r="F226" s="408"/>
      <c r="G226" s="408"/>
      <c r="H226" s="525"/>
      <c r="I226" s="531">
        <f t="shared" si="4"/>
        <v>0</v>
      </c>
      <c r="J226" s="332"/>
      <c r="K226" s="332"/>
      <c r="L226" s="332"/>
      <c r="M226" s="332"/>
      <c r="N226" s="333"/>
    </row>
    <row r="227" spans="1:14" s="1500" customFormat="1" ht="17.25">
      <c r="A227" s="908">
        <v>221</v>
      </c>
      <c r="B227" s="337"/>
      <c r="C227" s="338"/>
      <c r="D227" s="334" t="s">
        <v>1067</v>
      </c>
      <c r="E227" s="335"/>
      <c r="F227" s="407"/>
      <c r="G227" s="407"/>
      <c r="H227" s="526"/>
      <c r="I227" s="532">
        <f t="shared" si="4"/>
        <v>600</v>
      </c>
      <c r="J227" s="407">
        <f>SUM(J225:J226)</f>
        <v>0</v>
      </c>
      <c r="K227" s="407">
        <f>SUM(K225:K226)</f>
        <v>0</v>
      </c>
      <c r="L227" s="407">
        <f>SUM(L225:L226)</f>
        <v>0</v>
      </c>
      <c r="M227" s="407">
        <f>SUM(M225:M226)</f>
        <v>600</v>
      </c>
      <c r="N227" s="514">
        <f>SUM(N225:N226)</f>
        <v>0</v>
      </c>
    </row>
    <row r="228" spans="1:14" s="42" customFormat="1" ht="19.5" customHeight="1">
      <c r="A228" s="908">
        <v>222</v>
      </c>
      <c r="B228" s="126"/>
      <c r="C228" s="121">
        <v>31</v>
      </c>
      <c r="D228" s="122" t="s">
        <v>86</v>
      </c>
      <c r="E228" s="123" t="s">
        <v>768</v>
      </c>
      <c r="F228" s="406">
        <v>165674</v>
      </c>
      <c r="G228" s="406">
        <v>186000</v>
      </c>
      <c r="H228" s="524">
        <v>144043</v>
      </c>
      <c r="I228" s="530"/>
      <c r="J228" s="123"/>
      <c r="K228" s="123"/>
      <c r="L228" s="123"/>
      <c r="M228" s="123"/>
      <c r="N228" s="515"/>
    </row>
    <row r="229" spans="1:14" s="893" customFormat="1" ht="16.5">
      <c r="A229" s="908">
        <v>223</v>
      </c>
      <c r="B229" s="894"/>
      <c r="C229" s="895"/>
      <c r="D229" s="896" t="s">
        <v>403</v>
      </c>
      <c r="E229" s="897"/>
      <c r="F229" s="888"/>
      <c r="G229" s="888"/>
      <c r="H229" s="889"/>
      <c r="I229" s="890">
        <f t="shared" si="4"/>
        <v>150000</v>
      </c>
      <c r="J229" s="891"/>
      <c r="K229" s="891"/>
      <c r="L229" s="891"/>
      <c r="M229" s="891">
        <v>150000</v>
      </c>
      <c r="N229" s="892"/>
    </row>
    <row r="230" spans="1:14" s="42" customFormat="1" ht="16.5">
      <c r="A230" s="908">
        <v>224</v>
      </c>
      <c r="B230" s="126"/>
      <c r="C230" s="121"/>
      <c r="D230" s="122" t="s">
        <v>957</v>
      </c>
      <c r="E230" s="123"/>
      <c r="F230" s="406"/>
      <c r="G230" s="406"/>
      <c r="H230" s="524"/>
      <c r="I230" s="530">
        <f t="shared" si="4"/>
        <v>150000</v>
      </c>
      <c r="J230" s="124"/>
      <c r="K230" s="124"/>
      <c r="L230" s="124"/>
      <c r="M230" s="124">
        <v>150000</v>
      </c>
      <c r="N230" s="329"/>
    </row>
    <row r="231" spans="1:14" s="327" customFormat="1" ht="17.25">
      <c r="A231" s="908">
        <v>225</v>
      </c>
      <c r="B231" s="128"/>
      <c r="C231" s="336"/>
      <c r="D231" s="330" t="s">
        <v>1080</v>
      </c>
      <c r="E231" s="331"/>
      <c r="F231" s="408"/>
      <c r="G231" s="408"/>
      <c r="H231" s="525"/>
      <c r="I231" s="531">
        <f t="shared" si="4"/>
        <v>-53000</v>
      </c>
      <c r="J231" s="332"/>
      <c r="K231" s="332"/>
      <c r="L231" s="332"/>
      <c r="M231" s="332">
        <v>-53000</v>
      </c>
      <c r="N231" s="333"/>
    </row>
    <row r="232" spans="1:14" s="1500" customFormat="1" ht="17.25">
      <c r="A232" s="908">
        <v>226</v>
      </c>
      <c r="B232" s="337"/>
      <c r="C232" s="338"/>
      <c r="D232" s="334" t="s">
        <v>1067</v>
      </c>
      <c r="E232" s="335"/>
      <c r="F232" s="407"/>
      <c r="G232" s="407"/>
      <c r="H232" s="526"/>
      <c r="I232" s="532">
        <f t="shared" si="4"/>
        <v>97000</v>
      </c>
      <c r="J232" s="407">
        <f>SUM(J230:J231)</f>
        <v>0</v>
      </c>
      <c r="K232" s="407">
        <f>SUM(K230:K231)</f>
        <v>0</v>
      </c>
      <c r="L232" s="407">
        <f>SUM(L230:L231)</f>
        <v>0</v>
      </c>
      <c r="M232" s="407">
        <f>SUM(M230:M231)</f>
        <v>97000</v>
      </c>
      <c r="N232" s="514">
        <f>SUM(N230:N231)</f>
        <v>0</v>
      </c>
    </row>
    <row r="233" spans="1:14" s="42" customFormat="1" ht="19.5" customHeight="1">
      <c r="A233" s="908">
        <v>227</v>
      </c>
      <c r="B233" s="126"/>
      <c r="C233" s="121">
        <v>32</v>
      </c>
      <c r="D233" s="122" t="s">
        <v>90</v>
      </c>
      <c r="E233" s="123" t="s">
        <v>768</v>
      </c>
      <c r="F233" s="406">
        <v>53807</v>
      </c>
      <c r="G233" s="406">
        <v>46000</v>
      </c>
      <c r="H233" s="524">
        <v>38728</v>
      </c>
      <c r="I233" s="530"/>
      <c r="J233" s="123"/>
      <c r="K233" s="123"/>
      <c r="L233" s="123"/>
      <c r="M233" s="123"/>
      <c r="N233" s="515"/>
    </row>
    <row r="234" spans="1:14" s="893" customFormat="1" ht="16.5">
      <c r="A234" s="908">
        <v>228</v>
      </c>
      <c r="B234" s="894"/>
      <c r="C234" s="895"/>
      <c r="D234" s="896" t="s">
        <v>403</v>
      </c>
      <c r="E234" s="897"/>
      <c r="F234" s="888"/>
      <c r="G234" s="888"/>
      <c r="H234" s="889"/>
      <c r="I234" s="890">
        <f t="shared" si="4"/>
        <v>40000</v>
      </c>
      <c r="J234" s="891"/>
      <c r="K234" s="891"/>
      <c r="L234" s="891"/>
      <c r="M234" s="891">
        <v>40000</v>
      </c>
      <c r="N234" s="892"/>
    </row>
    <row r="235" spans="1:14" s="42" customFormat="1" ht="16.5">
      <c r="A235" s="908">
        <v>229</v>
      </c>
      <c r="B235" s="126"/>
      <c r="C235" s="121"/>
      <c r="D235" s="122" t="s">
        <v>957</v>
      </c>
      <c r="E235" s="123"/>
      <c r="F235" s="406"/>
      <c r="G235" s="406"/>
      <c r="H235" s="524"/>
      <c r="I235" s="530">
        <f t="shared" si="4"/>
        <v>40000</v>
      </c>
      <c r="J235" s="124"/>
      <c r="K235" s="124"/>
      <c r="L235" s="124"/>
      <c r="M235" s="124">
        <v>40000</v>
      </c>
      <c r="N235" s="329"/>
    </row>
    <row r="236" spans="1:14" s="327" customFormat="1" ht="17.25">
      <c r="A236" s="908">
        <v>230</v>
      </c>
      <c r="B236" s="128"/>
      <c r="C236" s="336"/>
      <c r="D236" s="330" t="s">
        <v>1080</v>
      </c>
      <c r="E236" s="331"/>
      <c r="F236" s="408"/>
      <c r="G236" s="408"/>
      <c r="H236" s="525"/>
      <c r="I236" s="531">
        <f t="shared" si="4"/>
        <v>-12000</v>
      </c>
      <c r="J236" s="332"/>
      <c r="K236" s="332"/>
      <c r="L236" s="332"/>
      <c r="M236" s="332">
        <v>-12000</v>
      </c>
      <c r="N236" s="333"/>
    </row>
    <row r="237" spans="1:14" s="1500" customFormat="1" ht="17.25">
      <c r="A237" s="908">
        <v>231</v>
      </c>
      <c r="B237" s="337"/>
      <c r="C237" s="338"/>
      <c r="D237" s="334" t="s">
        <v>1067</v>
      </c>
      <c r="E237" s="335"/>
      <c r="F237" s="407"/>
      <c r="G237" s="407"/>
      <c r="H237" s="526"/>
      <c r="I237" s="532">
        <f t="shared" si="4"/>
        <v>28000</v>
      </c>
      <c r="J237" s="407">
        <f>SUM(J235:J236)</f>
        <v>0</v>
      </c>
      <c r="K237" s="407">
        <f>SUM(K235:K236)</f>
        <v>0</v>
      </c>
      <c r="L237" s="407">
        <f>SUM(L235:L236)</f>
        <v>0</v>
      </c>
      <c r="M237" s="407">
        <f>SUM(M235:M236)</f>
        <v>28000</v>
      </c>
      <c r="N237" s="514">
        <f>SUM(N235:N236)</f>
        <v>0</v>
      </c>
    </row>
    <row r="238" spans="1:14" s="42" customFormat="1" ht="19.5" customHeight="1">
      <c r="A238" s="908">
        <v>232</v>
      </c>
      <c r="B238" s="126"/>
      <c r="C238" s="121">
        <v>33</v>
      </c>
      <c r="D238" s="122" t="s">
        <v>85</v>
      </c>
      <c r="E238" s="123" t="s">
        <v>768</v>
      </c>
      <c r="F238" s="406">
        <v>36074</v>
      </c>
      <c r="G238" s="406">
        <v>40000</v>
      </c>
      <c r="H238" s="524">
        <v>40173</v>
      </c>
      <c r="I238" s="530"/>
      <c r="J238" s="123"/>
      <c r="K238" s="123"/>
      <c r="L238" s="123"/>
      <c r="M238" s="123"/>
      <c r="N238" s="515"/>
    </row>
    <row r="239" spans="1:14" s="893" customFormat="1" ht="16.5">
      <c r="A239" s="908">
        <v>233</v>
      </c>
      <c r="B239" s="894"/>
      <c r="C239" s="895"/>
      <c r="D239" s="896" t="s">
        <v>403</v>
      </c>
      <c r="E239" s="897"/>
      <c r="F239" s="888"/>
      <c r="G239" s="888"/>
      <c r="H239" s="889"/>
      <c r="I239" s="890">
        <f t="shared" si="4"/>
        <v>42000</v>
      </c>
      <c r="J239" s="891"/>
      <c r="K239" s="891"/>
      <c r="L239" s="891"/>
      <c r="M239" s="891">
        <v>42000</v>
      </c>
      <c r="N239" s="892"/>
    </row>
    <row r="240" spans="1:14" s="42" customFormat="1" ht="16.5">
      <c r="A240" s="908">
        <v>234</v>
      </c>
      <c r="B240" s="126"/>
      <c r="C240" s="121"/>
      <c r="D240" s="122" t="s">
        <v>957</v>
      </c>
      <c r="E240" s="123"/>
      <c r="F240" s="406"/>
      <c r="G240" s="406"/>
      <c r="H240" s="524"/>
      <c r="I240" s="530">
        <f t="shared" si="4"/>
        <v>42000</v>
      </c>
      <c r="J240" s="124"/>
      <c r="K240" s="124"/>
      <c r="L240" s="124"/>
      <c r="M240" s="124">
        <v>42000</v>
      </c>
      <c r="N240" s="329"/>
    </row>
    <row r="241" spans="1:14" s="327" customFormat="1" ht="17.25">
      <c r="A241" s="908">
        <v>235</v>
      </c>
      <c r="B241" s="128"/>
      <c r="C241" s="336"/>
      <c r="D241" s="330" t="s">
        <v>405</v>
      </c>
      <c r="E241" s="331"/>
      <c r="F241" s="408"/>
      <c r="G241" s="408"/>
      <c r="H241" s="525"/>
      <c r="I241" s="531">
        <f t="shared" si="4"/>
        <v>0</v>
      </c>
      <c r="J241" s="332"/>
      <c r="K241" s="332"/>
      <c r="L241" s="332"/>
      <c r="M241" s="332"/>
      <c r="N241" s="333"/>
    </row>
    <row r="242" spans="1:14" s="1500" customFormat="1" ht="17.25">
      <c r="A242" s="908">
        <v>236</v>
      </c>
      <c r="B242" s="337"/>
      <c r="C242" s="338"/>
      <c r="D242" s="334" t="s">
        <v>1067</v>
      </c>
      <c r="E242" s="335"/>
      <c r="F242" s="407"/>
      <c r="G242" s="407"/>
      <c r="H242" s="526"/>
      <c r="I242" s="532">
        <f t="shared" si="4"/>
        <v>42000</v>
      </c>
      <c r="J242" s="407">
        <f>SUM(J240:J241)</f>
        <v>0</v>
      </c>
      <c r="K242" s="407">
        <f>SUM(K240:K241)</f>
        <v>0</v>
      </c>
      <c r="L242" s="407">
        <f>SUM(L240:L241)</f>
        <v>0</v>
      </c>
      <c r="M242" s="407">
        <f>SUM(M240:M241)</f>
        <v>42000</v>
      </c>
      <c r="N242" s="514">
        <f>SUM(N240:N241)</f>
        <v>0</v>
      </c>
    </row>
    <row r="243" spans="1:14" s="42" customFormat="1" ht="19.5" customHeight="1">
      <c r="A243" s="908">
        <v>237</v>
      </c>
      <c r="B243" s="126"/>
      <c r="C243" s="121">
        <v>34</v>
      </c>
      <c r="D243" s="122" t="s">
        <v>92</v>
      </c>
      <c r="E243" s="123" t="s">
        <v>859</v>
      </c>
      <c r="F243" s="406">
        <v>1916</v>
      </c>
      <c r="G243" s="406">
        <v>2300</v>
      </c>
      <c r="H243" s="524">
        <v>2604</v>
      </c>
      <c r="I243" s="530"/>
      <c r="J243" s="123"/>
      <c r="K243" s="123"/>
      <c r="L243" s="123"/>
      <c r="M243" s="123"/>
      <c r="N243" s="515"/>
    </row>
    <row r="244" spans="1:14" s="893" customFormat="1" ht="16.5">
      <c r="A244" s="908">
        <v>238</v>
      </c>
      <c r="B244" s="894"/>
      <c r="C244" s="895"/>
      <c r="D244" s="896" t="s">
        <v>403</v>
      </c>
      <c r="E244" s="897"/>
      <c r="F244" s="888"/>
      <c r="G244" s="888"/>
      <c r="H244" s="889"/>
      <c r="I244" s="890">
        <f t="shared" si="4"/>
        <v>3000</v>
      </c>
      <c r="J244" s="891"/>
      <c r="K244" s="891"/>
      <c r="L244" s="891"/>
      <c r="M244" s="891">
        <v>3000</v>
      </c>
      <c r="N244" s="892"/>
    </row>
    <row r="245" spans="1:14" s="42" customFormat="1" ht="16.5">
      <c r="A245" s="908">
        <v>239</v>
      </c>
      <c r="B245" s="126"/>
      <c r="C245" s="121"/>
      <c r="D245" s="122" t="s">
        <v>957</v>
      </c>
      <c r="E245" s="123"/>
      <c r="F245" s="406"/>
      <c r="G245" s="406"/>
      <c r="H245" s="524"/>
      <c r="I245" s="530">
        <f t="shared" si="4"/>
        <v>3000</v>
      </c>
      <c r="J245" s="124"/>
      <c r="K245" s="124"/>
      <c r="L245" s="124"/>
      <c r="M245" s="124">
        <v>3000</v>
      </c>
      <c r="N245" s="329"/>
    </row>
    <row r="246" spans="1:14" s="327" customFormat="1" ht="17.25">
      <c r="A246" s="908">
        <v>240</v>
      </c>
      <c r="B246" s="128"/>
      <c r="C246" s="336"/>
      <c r="D246" s="330" t="s">
        <v>1080</v>
      </c>
      <c r="E246" s="331"/>
      <c r="F246" s="408"/>
      <c r="G246" s="408"/>
      <c r="H246" s="525"/>
      <c r="I246" s="531">
        <f t="shared" si="4"/>
        <v>-1400</v>
      </c>
      <c r="J246" s="332"/>
      <c r="K246" s="332"/>
      <c r="L246" s="332"/>
      <c r="M246" s="332">
        <v>-1400</v>
      </c>
      <c r="N246" s="333"/>
    </row>
    <row r="247" spans="1:14" s="1500" customFormat="1" ht="17.25">
      <c r="A247" s="908">
        <v>241</v>
      </c>
      <c r="B247" s="337"/>
      <c r="C247" s="338"/>
      <c r="D247" s="334" t="s">
        <v>1067</v>
      </c>
      <c r="E247" s="335"/>
      <c r="F247" s="407"/>
      <c r="G247" s="407"/>
      <c r="H247" s="526"/>
      <c r="I247" s="532">
        <f t="shared" si="4"/>
        <v>1600</v>
      </c>
      <c r="J247" s="407">
        <f>SUM(J245:J246)</f>
        <v>0</v>
      </c>
      <c r="K247" s="407">
        <f>SUM(K245:K246)</f>
        <v>0</v>
      </c>
      <c r="L247" s="407">
        <f>SUM(L245:L246)</f>
        <v>0</v>
      </c>
      <c r="M247" s="407">
        <f>SUM(M245:M246)</f>
        <v>1600</v>
      </c>
      <c r="N247" s="514">
        <f>SUM(N245:N246)</f>
        <v>0</v>
      </c>
    </row>
    <row r="248" spans="1:14" s="42" customFormat="1" ht="19.5" customHeight="1">
      <c r="A248" s="908">
        <v>242</v>
      </c>
      <c r="B248" s="126"/>
      <c r="C248" s="121">
        <v>35</v>
      </c>
      <c r="D248" s="122" t="s">
        <v>240</v>
      </c>
      <c r="E248" s="123" t="s">
        <v>859</v>
      </c>
      <c r="F248" s="406">
        <v>5427</v>
      </c>
      <c r="G248" s="406">
        <v>7600</v>
      </c>
      <c r="H248" s="524">
        <v>4905</v>
      </c>
      <c r="I248" s="530"/>
      <c r="J248" s="123"/>
      <c r="K248" s="123"/>
      <c r="L248" s="123"/>
      <c r="M248" s="123"/>
      <c r="N248" s="515"/>
    </row>
    <row r="249" spans="1:14" s="893" customFormat="1" ht="16.5">
      <c r="A249" s="908">
        <v>243</v>
      </c>
      <c r="B249" s="894"/>
      <c r="C249" s="895"/>
      <c r="D249" s="896" t="s">
        <v>403</v>
      </c>
      <c r="E249" s="897"/>
      <c r="F249" s="888"/>
      <c r="G249" s="888"/>
      <c r="H249" s="889"/>
      <c r="I249" s="890">
        <f t="shared" si="4"/>
        <v>0</v>
      </c>
      <c r="J249" s="891"/>
      <c r="K249" s="891"/>
      <c r="L249" s="891"/>
      <c r="M249" s="891"/>
      <c r="N249" s="892"/>
    </row>
    <row r="250" spans="1:14" s="42" customFormat="1" ht="16.5">
      <c r="A250" s="908">
        <v>244</v>
      </c>
      <c r="B250" s="126"/>
      <c r="C250" s="121"/>
      <c r="D250" s="122" t="s">
        <v>957</v>
      </c>
      <c r="E250" s="123"/>
      <c r="F250" s="406"/>
      <c r="G250" s="406"/>
      <c r="H250" s="524"/>
      <c r="I250" s="530">
        <f t="shared" si="4"/>
        <v>0</v>
      </c>
      <c r="J250" s="124"/>
      <c r="K250" s="124"/>
      <c r="L250" s="124"/>
      <c r="M250" s="124"/>
      <c r="N250" s="329"/>
    </row>
    <row r="251" spans="1:14" s="327" customFormat="1" ht="17.25">
      <c r="A251" s="908">
        <v>245</v>
      </c>
      <c r="B251" s="128"/>
      <c r="C251" s="336"/>
      <c r="D251" s="330" t="s">
        <v>405</v>
      </c>
      <c r="E251" s="331"/>
      <c r="F251" s="408"/>
      <c r="G251" s="408"/>
      <c r="H251" s="525"/>
      <c r="I251" s="531">
        <f aca="true" t="shared" si="6" ref="I251:I331">SUM(J251:N251)</f>
        <v>0</v>
      </c>
      <c r="J251" s="332"/>
      <c r="K251" s="332"/>
      <c r="L251" s="332"/>
      <c r="M251" s="332"/>
      <c r="N251" s="333"/>
    </row>
    <row r="252" spans="1:14" s="1500" customFormat="1" ht="17.25">
      <c r="A252" s="908">
        <v>246</v>
      </c>
      <c r="B252" s="337"/>
      <c r="C252" s="338"/>
      <c r="D252" s="334" t="s">
        <v>1067</v>
      </c>
      <c r="E252" s="335"/>
      <c r="F252" s="407"/>
      <c r="G252" s="407"/>
      <c r="H252" s="526"/>
      <c r="I252" s="532">
        <f t="shared" si="6"/>
        <v>0</v>
      </c>
      <c r="J252" s="407">
        <f>SUM(J250:J251)</f>
        <v>0</v>
      </c>
      <c r="K252" s="407">
        <f>SUM(K250:K251)</f>
        <v>0</v>
      </c>
      <c r="L252" s="407">
        <f>SUM(L250:L251)</f>
        <v>0</v>
      </c>
      <c r="M252" s="407">
        <f>SUM(M250:M251)</f>
        <v>0</v>
      </c>
      <c r="N252" s="514">
        <f>SUM(N250:N251)</f>
        <v>0</v>
      </c>
    </row>
    <row r="253" spans="1:14" s="42" customFormat="1" ht="25.5" customHeight="1">
      <c r="A253" s="908">
        <v>247</v>
      </c>
      <c r="B253" s="126"/>
      <c r="C253" s="121">
        <v>36</v>
      </c>
      <c r="D253" s="122" t="s">
        <v>241</v>
      </c>
      <c r="E253" s="123" t="s">
        <v>859</v>
      </c>
      <c r="F253" s="406">
        <v>16649</v>
      </c>
      <c r="G253" s="406">
        <v>19000</v>
      </c>
      <c r="H253" s="524">
        <v>12688</v>
      </c>
      <c r="I253" s="530"/>
      <c r="J253" s="123"/>
      <c r="K253" s="123"/>
      <c r="L253" s="123"/>
      <c r="M253" s="123"/>
      <c r="N253" s="515"/>
    </row>
    <row r="254" spans="1:14" s="893" customFormat="1" ht="16.5">
      <c r="A254" s="908">
        <v>248</v>
      </c>
      <c r="B254" s="894"/>
      <c r="C254" s="895"/>
      <c r="D254" s="896" t="s">
        <v>403</v>
      </c>
      <c r="E254" s="897"/>
      <c r="F254" s="888"/>
      <c r="G254" s="888"/>
      <c r="H254" s="889"/>
      <c r="I254" s="890">
        <f t="shared" si="6"/>
        <v>0</v>
      </c>
      <c r="J254" s="891"/>
      <c r="K254" s="891"/>
      <c r="L254" s="891"/>
      <c r="M254" s="891"/>
      <c r="N254" s="892"/>
    </row>
    <row r="255" spans="1:14" s="42" customFormat="1" ht="16.5">
      <c r="A255" s="908">
        <v>249</v>
      </c>
      <c r="B255" s="126"/>
      <c r="C255" s="121"/>
      <c r="D255" s="122" t="s">
        <v>957</v>
      </c>
      <c r="E255" s="123"/>
      <c r="F255" s="406"/>
      <c r="G255" s="406"/>
      <c r="H255" s="524"/>
      <c r="I255" s="530">
        <f t="shared" si="6"/>
        <v>0</v>
      </c>
      <c r="J255" s="124"/>
      <c r="K255" s="124"/>
      <c r="L255" s="124"/>
      <c r="M255" s="124"/>
      <c r="N255" s="329"/>
    </row>
    <row r="256" spans="1:14" s="327" customFormat="1" ht="17.25">
      <c r="A256" s="908">
        <v>250</v>
      </c>
      <c r="B256" s="128"/>
      <c r="C256" s="336"/>
      <c r="D256" s="330" t="s">
        <v>405</v>
      </c>
      <c r="E256" s="331"/>
      <c r="F256" s="408"/>
      <c r="G256" s="408"/>
      <c r="H256" s="525"/>
      <c r="I256" s="531">
        <f t="shared" si="6"/>
        <v>0</v>
      </c>
      <c r="J256" s="332"/>
      <c r="K256" s="332"/>
      <c r="L256" s="332"/>
      <c r="M256" s="332"/>
      <c r="N256" s="333"/>
    </row>
    <row r="257" spans="1:14" s="1500" customFormat="1" ht="17.25">
      <c r="A257" s="908">
        <v>251</v>
      </c>
      <c r="B257" s="337"/>
      <c r="C257" s="338"/>
      <c r="D257" s="334" t="s">
        <v>1067</v>
      </c>
      <c r="E257" s="335"/>
      <c r="F257" s="407"/>
      <c r="G257" s="407"/>
      <c r="H257" s="526"/>
      <c r="I257" s="532">
        <f t="shared" si="6"/>
        <v>0</v>
      </c>
      <c r="J257" s="407">
        <f>SUM(J255:J256)</f>
        <v>0</v>
      </c>
      <c r="K257" s="407">
        <f>SUM(K255:K256)</f>
        <v>0</v>
      </c>
      <c r="L257" s="407">
        <f>SUM(L255:L256)</f>
        <v>0</v>
      </c>
      <c r="M257" s="407">
        <f>SUM(M255:M256)</f>
        <v>0</v>
      </c>
      <c r="N257" s="514">
        <f>SUM(N255:N256)</f>
        <v>0</v>
      </c>
    </row>
    <row r="258" spans="1:14" s="42" customFormat="1" ht="25.5" customHeight="1">
      <c r="A258" s="908">
        <v>252</v>
      </c>
      <c r="B258" s="126"/>
      <c r="C258" s="121">
        <v>37</v>
      </c>
      <c r="D258" s="122" t="s">
        <v>769</v>
      </c>
      <c r="E258" s="123" t="s">
        <v>859</v>
      </c>
      <c r="F258" s="406"/>
      <c r="G258" s="406"/>
      <c r="H258" s="524"/>
      <c r="I258" s="530"/>
      <c r="J258" s="123"/>
      <c r="K258" s="123"/>
      <c r="L258" s="123"/>
      <c r="M258" s="123"/>
      <c r="N258" s="515"/>
    </row>
    <row r="259" spans="1:14" s="893" customFormat="1" ht="16.5">
      <c r="A259" s="908">
        <v>253</v>
      </c>
      <c r="B259" s="894"/>
      <c r="C259" s="895"/>
      <c r="D259" s="896" t="s">
        <v>403</v>
      </c>
      <c r="E259" s="897"/>
      <c r="F259" s="888"/>
      <c r="G259" s="888"/>
      <c r="H259" s="889"/>
      <c r="I259" s="890">
        <f t="shared" si="6"/>
        <v>28000</v>
      </c>
      <c r="J259" s="891"/>
      <c r="K259" s="891"/>
      <c r="L259" s="891"/>
      <c r="M259" s="891">
        <v>28000</v>
      </c>
      <c r="N259" s="892"/>
    </row>
    <row r="260" spans="1:14" s="42" customFormat="1" ht="16.5">
      <c r="A260" s="908">
        <v>254</v>
      </c>
      <c r="B260" s="126"/>
      <c r="C260" s="121"/>
      <c r="D260" s="122" t="s">
        <v>957</v>
      </c>
      <c r="E260" s="123"/>
      <c r="F260" s="406"/>
      <c r="G260" s="406"/>
      <c r="H260" s="524"/>
      <c r="I260" s="530">
        <f t="shared" si="6"/>
        <v>23350</v>
      </c>
      <c r="J260" s="124"/>
      <c r="K260" s="124"/>
      <c r="L260" s="124"/>
      <c r="M260" s="124">
        <v>23350</v>
      </c>
      <c r="N260" s="329"/>
    </row>
    <row r="261" spans="1:14" s="327" customFormat="1" ht="17.25">
      <c r="A261" s="908">
        <v>255</v>
      </c>
      <c r="B261" s="128"/>
      <c r="C261" s="336"/>
      <c r="D261" s="330" t="s">
        <v>1080</v>
      </c>
      <c r="E261" s="331"/>
      <c r="F261" s="408"/>
      <c r="G261" s="408"/>
      <c r="H261" s="525"/>
      <c r="I261" s="531">
        <f t="shared" si="6"/>
        <v>-365</v>
      </c>
      <c r="J261" s="332"/>
      <c r="K261" s="332"/>
      <c r="L261" s="332"/>
      <c r="M261" s="332">
        <v>-365</v>
      </c>
      <c r="N261" s="333"/>
    </row>
    <row r="262" spans="1:14" s="327" customFormat="1" ht="17.25">
      <c r="A262" s="908">
        <v>256</v>
      </c>
      <c r="B262" s="128"/>
      <c r="C262" s="336"/>
      <c r="D262" s="330" t="s">
        <v>1087</v>
      </c>
      <c r="E262" s="331"/>
      <c r="F262" s="408"/>
      <c r="G262" s="408"/>
      <c r="H262" s="525"/>
      <c r="I262" s="531">
        <f t="shared" si="6"/>
        <v>-4800</v>
      </c>
      <c r="J262" s="332"/>
      <c r="K262" s="332"/>
      <c r="L262" s="332"/>
      <c r="M262" s="332">
        <v>-4800</v>
      </c>
      <c r="N262" s="333"/>
    </row>
    <row r="263" spans="1:14" s="1500" customFormat="1" ht="17.25">
      <c r="A263" s="908">
        <v>257</v>
      </c>
      <c r="B263" s="337"/>
      <c r="C263" s="338"/>
      <c r="D263" s="334" t="s">
        <v>1067</v>
      </c>
      <c r="E263" s="335"/>
      <c r="F263" s="407"/>
      <c r="G263" s="407"/>
      <c r="H263" s="526"/>
      <c r="I263" s="532">
        <f>SUM(J263:N263)</f>
        <v>18185</v>
      </c>
      <c r="J263" s="407">
        <f>SUM(J260:J262)</f>
        <v>0</v>
      </c>
      <c r="K263" s="407">
        <f>SUM(K260:K262)</f>
        <v>0</v>
      </c>
      <c r="L263" s="407">
        <f>SUM(L260:L262)</f>
        <v>0</v>
      </c>
      <c r="M263" s="407">
        <f>SUM(M260:M262)</f>
        <v>18185</v>
      </c>
      <c r="N263" s="514">
        <f>SUM(N260:N262)</f>
        <v>0</v>
      </c>
    </row>
    <row r="264" spans="1:14" s="42" customFormat="1" ht="25.5" customHeight="1">
      <c r="A264" s="908">
        <v>258</v>
      </c>
      <c r="B264" s="126"/>
      <c r="C264" s="121">
        <v>38</v>
      </c>
      <c r="D264" s="122" t="s">
        <v>770</v>
      </c>
      <c r="E264" s="123" t="s">
        <v>859</v>
      </c>
      <c r="F264" s="406"/>
      <c r="G264" s="406"/>
      <c r="H264" s="524"/>
      <c r="I264" s="530"/>
      <c r="J264" s="123"/>
      <c r="K264" s="123"/>
      <c r="L264" s="123"/>
      <c r="M264" s="123"/>
      <c r="N264" s="515"/>
    </row>
    <row r="265" spans="1:14" s="893" customFormat="1" ht="16.5">
      <c r="A265" s="908">
        <v>259</v>
      </c>
      <c r="B265" s="894"/>
      <c r="C265" s="895"/>
      <c r="D265" s="896" t="s">
        <v>403</v>
      </c>
      <c r="E265" s="897"/>
      <c r="F265" s="888"/>
      <c r="G265" s="888"/>
      <c r="H265" s="889"/>
      <c r="I265" s="890">
        <f t="shared" si="6"/>
        <v>1000</v>
      </c>
      <c r="J265" s="891"/>
      <c r="K265" s="891"/>
      <c r="L265" s="891"/>
      <c r="M265" s="891">
        <v>1000</v>
      </c>
      <c r="N265" s="892"/>
    </row>
    <row r="266" spans="1:14" s="42" customFormat="1" ht="16.5">
      <c r="A266" s="908">
        <v>260</v>
      </c>
      <c r="B266" s="126"/>
      <c r="C266" s="121"/>
      <c r="D266" s="122" t="s">
        <v>957</v>
      </c>
      <c r="E266" s="123"/>
      <c r="F266" s="406"/>
      <c r="G266" s="406"/>
      <c r="H266" s="524"/>
      <c r="I266" s="530">
        <f t="shared" si="6"/>
        <v>5650</v>
      </c>
      <c r="J266" s="124"/>
      <c r="K266" s="124"/>
      <c r="L266" s="124"/>
      <c r="M266" s="124">
        <v>5650</v>
      </c>
      <c r="N266" s="329"/>
    </row>
    <row r="267" spans="1:14" s="327" customFormat="1" ht="17.25">
      <c r="A267" s="908">
        <v>261</v>
      </c>
      <c r="B267" s="128"/>
      <c r="C267" s="336"/>
      <c r="D267" s="330" t="s">
        <v>1080</v>
      </c>
      <c r="E267" s="331"/>
      <c r="F267" s="408"/>
      <c r="G267" s="408"/>
      <c r="H267" s="525"/>
      <c r="I267" s="531">
        <f t="shared" si="6"/>
        <v>-1800</v>
      </c>
      <c r="J267" s="332"/>
      <c r="K267" s="332"/>
      <c r="L267" s="332"/>
      <c r="M267" s="332">
        <v>-1800</v>
      </c>
      <c r="N267" s="333"/>
    </row>
    <row r="268" spans="1:14" s="1500" customFormat="1" ht="17.25">
      <c r="A268" s="908">
        <v>262</v>
      </c>
      <c r="B268" s="337"/>
      <c r="C268" s="338"/>
      <c r="D268" s="334" t="s">
        <v>1067</v>
      </c>
      <c r="E268" s="335"/>
      <c r="F268" s="407"/>
      <c r="G268" s="407"/>
      <c r="H268" s="526"/>
      <c r="I268" s="532">
        <f t="shared" si="6"/>
        <v>3850</v>
      </c>
      <c r="J268" s="407">
        <f>SUM(J266:J267)</f>
        <v>0</v>
      </c>
      <c r="K268" s="407">
        <f>SUM(K266:K267)</f>
        <v>0</v>
      </c>
      <c r="L268" s="407">
        <f>SUM(L266:L267)</f>
        <v>0</v>
      </c>
      <c r="M268" s="407">
        <f>SUM(M266:M267)</f>
        <v>3850</v>
      </c>
      <c r="N268" s="514">
        <f>SUM(N266:N267)</f>
        <v>0</v>
      </c>
    </row>
    <row r="269" spans="1:14" s="42" customFormat="1" ht="25.5" customHeight="1">
      <c r="A269" s="908">
        <v>263</v>
      </c>
      <c r="B269" s="126"/>
      <c r="C269" s="121">
        <v>39</v>
      </c>
      <c r="D269" s="122" t="s">
        <v>91</v>
      </c>
      <c r="E269" s="123" t="s">
        <v>859</v>
      </c>
      <c r="F269" s="406">
        <v>2279</v>
      </c>
      <c r="G269" s="406">
        <v>15632</v>
      </c>
      <c r="H269" s="524">
        <v>16993</v>
      </c>
      <c r="I269" s="530"/>
      <c r="J269" s="123"/>
      <c r="K269" s="123"/>
      <c r="L269" s="123"/>
      <c r="M269" s="123"/>
      <c r="N269" s="515"/>
    </row>
    <row r="270" spans="1:14" s="893" customFormat="1" ht="16.5">
      <c r="A270" s="908">
        <v>264</v>
      </c>
      <c r="B270" s="894"/>
      <c r="C270" s="895"/>
      <c r="D270" s="896" t="s">
        <v>403</v>
      </c>
      <c r="E270" s="897"/>
      <c r="F270" s="888"/>
      <c r="G270" s="888"/>
      <c r="H270" s="889"/>
      <c r="I270" s="890">
        <f t="shared" si="6"/>
        <v>46400</v>
      </c>
      <c r="J270" s="891">
        <v>38844</v>
      </c>
      <c r="K270" s="891">
        <v>5244</v>
      </c>
      <c r="L270" s="891">
        <v>2312</v>
      </c>
      <c r="M270" s="891"/>
      <c r="N270" s="892"/>
    </row>
    <row r="271" spans="1:14" s="42" customFormat="1" ht="16.5">
      <c r="A271" s="908">
        <v>265</v>
      </c>
      <c r="B271" s="126"/>
      <c r="C271" s="121"/>
      <c r="D271" s="122" t="s">
        <v>957</v>
      </c>
      <c r="E271" s="123"/>
      <c r="F271" s="406"/>
      <c r="G271" s="406"/>
      <c r="H271" s="524"/>
      <c r="I271" s="530">
        <f t="shared" si="6"/>
        <v>56500</v>
      </c>
      <c r="J271" s="124">
        <v>46994</v>
      </c>
      <c r="K271" s="124">
        <v>6564</v>
      </c>
      <c r="L271" s="124">
        <v>2942</v>
      </c>
      <c r="M271" s="124"/>
      <c r="N271" s="329"/>
    </row>
    <row r="272" spans="1:14" s="327" customFormat="1" ht="17.25">
      <c r="A272" s="908">
        <v>266</v>
      </c>
      <c r="B272" s="128"/>
      <c r="C272" s="336"/>
      <c r="D272" s="330" t="s">
        <v>1100</v>
      </c>
      <c r="E272" s="331"/>
      <c r="F272" s="408"/>
      <c r="G272" s="408"/>
      <c r="H272" s="525"/>
      <c r="I272" s="531">
        <f t="shared" si="6"/>
        <v>1603</v>
      </c>
      <c r="J272" s="332">
        <v>1968</v>
      </c>
      <c r="K272" s="332">
        <v>-15</v>
      </c>
      <c r="L272" s="332">
        <v>-350</v>
      </c>
      <c r="M272" s="332"/>
      <c r="N272" s="333"/>
    </row>
    <row r="273" spans="1:14" s="1500" customFormat="1" ht="17.25">
      <c r="A273" s="908">
        <v>267</v>
      </c>
      <c r="B273" s="337"/>
      <c r="C273" s="338"/>
      <c r="D273" s="334" t="s">
        <v>1067</v>
      </c>
      <c r="E273" s="335"/>
      <c r="F273" s="407"/>
      <c r="G273" s="407"/>
      <c r="H273" s="526"/>
      <c r="I273" s="532">
        <f t="shared" si="6"/>
        <v>58103</v>
      </c>
      <c r="J273" s="407">
        <f>SUM(J271:J272)</f>
        <v>48962</v>
      </c>
      <c r="K273" s="407">
        <f>SUM(K271:K272)</f>
        <v>6549</v>
      </c>
      <c r="L273" s="407">
        <f>SUM(L271:L272)</f>
        <v>2592</v>
      </c>
      <c r="M273" s="407">
        <f>SUM(M271:M272)</f>
        <v>0</v>
      </c>
      <c r="N273" s="514">
        <f>SUM(N271:N272)</f>
        <v>0</v>
      </c>
    </row>
    <row r="274" spans="1:14" s="42" customFormat="1" ht="25.5" customHeight="1">
      <c r="A274" s="908">
        <v>268</v>
      </c>
      <c r="B274" s="126"/>
      <c r="C274" s="121">
        <v>40</v>
      </c>
      <c r="D274" s="122" t="s">
        <v>89</v>
      </c>
      <c r="E274" s="123" t="s">
        <v>859</v>
      </c>
      <c r="F274" s="406">
        <v>10000</v>
      </c>
      <c r="G274" s="406">
        <v>10000</v>
      </c>
      <c r="H274" s="524">
        <v>10000</v>
      </c>
      <c r="I274" s="530"/>
      <c r="J274" s="123"/>
      <c r="K274" s="123"/>
      <c r="L274" s="123"/>
      <c r="M274" s="123"/>
      <c r="N274" s="515"/>
    </row>
    <row r="275" spans="1:14" s="893" customFormat="1" ht="16.5">
      <c r="A275" s="908">
        <v>269</v>
      </c>
      <c r="B275" s="894"/>
      <c r="C275" s="895"/>
      <c r="D275" s="896" t="s">
        <v>403</v>
      </c>
      <c r="E275" s="897"/>
      <c r="F275" s="888"/>
      <c r="G275" s="888"/>
      <c r="H275" s="889"/>
      <c r="I275" s="890">
        <f t="shared" si="6"/>
        <v>11000</v>
      </c>
      <c r="J275" s="891"/>
      <c r="K275" s="891"/>
      <c r="L275" s="891"/>
      <c r="M275" s="891"/>
      <c r="N275" s="892">
        <v>11000</v>
      </c>
    </row>
    <row r="276" spans="1:14" s="42" customFormat="1" ht="16.5">
      <c r="A276" s="908">
        <v>270</v>
      </c>
      <c r="B276" s="126"/>
      <c r="C276" s="121"/>
      <c r="D276" s="122" t="s">
        <v>957</v>
      </c>
      <c r="E276" s="123"/>
      <c r="F276" s="406"/>
      <c r="G276" s="406"/>
      <c r="H276" s="524"/>
      <c r="I276" s="530">
        <f t="shared" si="6"/>
        <v>11000</v>
      </c>
      <c r="J276" s="124"/>
      <c r="K276" s="124"/>
      <c r="L276" s="124"/>
      <c r="M276" s="124"/>
      <c r="N276" s="329">
        <v>11000</v>
      </c>
    </row>
    <row r="277" spans="1:14" s="327" customFormat="1" ht="17.25">
      <c r="A277" s="908">
        <v>271</v>
      </c>
      <c r="B277" s="128"/>
      <c r="C277" s="336"/>
      <c r="D277" s="330" t="s">
        <v>405</v>
      </c>
      <c r="E277" s="331"/>
      <c r="F277" s="408"/>
      <c r="G277" s="408"/>
      <c r="H277" s="525"/>
      <c r="I277" s="531">
        <f t="shared" si="6"/>
        <v>0</v>
      </c>
      <c r="J277" s="332"/>
      <c r="K277" s="332"/>
      <c r="L277" s="332"/>
      <c r="M277" s="332"/>
      <c r="N277" s="333"/>
    </row>
    <row r="278" spans="1:14" s="1500" customFormat="1" ht="17.25">
      <c r="A278" s="908">
        <v>272</v>
      </c>
      <c r="B278" s="337"/>
      <c r="C278" s="338"/>
      <c r="D278" s="334" t="s">
        <v>1067</v>
      </c>
      <c r="E278" s="335"/>
      <c r="F278" s="407"/>
      <c r="G278" s="407"/>
      <c r="H278" s="526"/>
      <c r="I278" s="532">
        <f t="shared" si="6"/>
        <v>11000</v>
      </c>
      <c r="J278" s="407">
        <f>SUM(J276:J277)</f>
        <v>0</v>
      </c>
      <c r="K278" s="407">
        <f>SUM(K276:K277)</f>
        <v>0</v>
      </c>
      <c r="L278" s="407">
        <f>SUM(L276:L277)</f>
        <v>0</v>
      </c>
      <c r="M278" s="407">
        <f>SUM(M276:M277)</f>
        <v>0</v>
      </c>
      <c r="N278" s="514">
        <f>SUM(N276:N277)</f>
        <v>11000</v>
      </c>
    </row>
    <row r="279" spans="1:14" s="42" customFormat="1" ht="25.5" customHeight="1">
      <c r="A279" s="908">
        <v>273</v>
      </c>
      <c r="B279" s="126"/>
      <c r="C279" s="121">
        <v>41</v>
      </c>
      <c r="D279" s="122" t="s">
        <v>93</v>
      </c>
      <c r="E279" s="123" t="s">
        <v>859</v>
      </c>
      <c r="F279" s="406">
        <v>60000</v>
      </c>
      <c r="G279" s="406">
        <v>54000</v>
      </c>
      <c r="H279" s="524">
        <v>54000</v>
      </c>
      <c r="I279" s="530"/>
      <c r="J279" s="123"/>
      <c r="K279" s="123"/>
      <c r="L279" s="123"/>
      <c r="M279" s="123"/>
      <c r="N279" s="515"/>
    </row>
    <row r="280" spans="1:14" s="893" customFormat="1" ht="16.5">
      <c r="A280" s="908">
        <v>274</v>
      </c>
      <c r="B280" s="894"/>
      <c r="C280" s="895"/>
      <c r="D280" s="896" t="s">
        <v>403</v>
      </c>
      <c r="E280" s="897"/>
      <c r="F280" s="888"/>
      <c r="G280" s="888"/>
      <c r="H280" s="889"/>
      <c r="I280" s="890">
        <f t="shared" si="6"/>
        <v>60000</v>
      </c>
      <c r="J280" s="891"/>
      <c r="K280" s="891"/>
      <c r="L280" s="891"/>
      <c r="M280" s="891"/>
      <c r="N280" s="892">
        <v>60000</v>
      </c>
    </row>
    <row r="281" spans="1:14" s="42" customFormat="1" ht="16.5">
      <c r="A281" s="908">
        <v>275</v>
      </c>
      <c r="B281" s="126"/>
      <c r="C281" s="121"/>
      <c r="D281" s="122" t="s">
        <v>957</v>
      </c>
      <c r="E281" s="123"/>
      <c r="F281" s="406"/>
      <c r="G281" s="406"/>
      <c r="H281" s="524"/>
      <c r="I281" s="530">
        <f t="shared" si="6"/>
        <v>60000</v>
      </c>
      <c r="J281" s="124"/>
      <c r="K281" s="124"/>
      <c r="L281" s="124"/>
      <c r="M281" s="124"/>
      <c r="N281" s="329">
        <v>60000</v>
      </c>
    </row>
    <row r="282" spans="1:14" s="327" customFormat="1" ht="17.25">
      <c r="A282" s="908">
        <v>276</v>
      </c>
      <c r="B282" s="128"/>
      <c r="C282" s="336"/>
      <c r="D282" s="330" t="s">
        <v>405</v>
      </c>
      <c r="E282" s="331"/>
      <c r="F282" s="408"/>
      <c r="G282" s="408"/>
      <c r="H282" s="525"/>
      <c r="I282" s="531">
        <f t="shared" si="6"/>
        <v>0</v>
      </c>
      <c r="J282" s="332"/>
      <c r="K282" s="332"/>
      <c r="L282" s="332"/>
      <c r="M282" s="332"/>
      <c r="N282" s="333"/>
    </row>
    <row r="283" spans="1:14" s="1500" customFormat="1" ht="17.25">
      <c r="A283" s="908">
        <v>277</v>
      </c>
      <c r="B283" s="337"/>
      <c r="C283" s="338"/>
      <c r="D283" s="334" t="s">
        <v>1067</v>
      </c>
      <c r="E283" s="335"/>
      <c r="F283" s="407"/>
      <c r="G283" s="407"/>
      <c r="H283" s="526"/>
      <c r="I283" s="532">
        <f t="shared" si="6"/>
        <v>60000</v>
      </c>
      <c r="J283" s="407">
        <f>SUM(J281:J282)</f>
        <v>0</v>
      </c>
      <c r="K283" s="407">
        <f>SUM(K281:K282)</f>
        <v>0</v>
      </c>
      <c r="L283" s="407">
        <f>SUM(L281:L282)</f>
        <v>0</v>
      </c>
      <c r="M283" s="407">
        <f>SUM(M281:M282)</f>
        <v>0</v>
      </c>
      <c r="N283" s="514">
        <f>SUM(N281:N282)</f>
        <v>60000</v>
      </c>
    </row>
    <row r="284" spans="1:14" s="42" customFormat="1" ht="25.5" customHeight="1">
      <c r="A284" s="908">
        <v>278</v>
      </c>
      <c r="B284" s="126"/>
      <c r="C284" s="121">
        <v>42</v>
      </c>
      <c r="D284" s="122" t="s">
        <v>94</v>
      </c>
      <c r="E284" s="123" t="s">
        <v>859</v>
      </c>
      <c r="F284" s="406">
        <v>104000</v>
      </c>
      <c r="G284" s="406">
        <v>104000</v>
      </c>
      <c r="H284" s="524">
        <v>201585</v>
      </c>
      <c r="I284" s="530"/>
      <c r="J284" s="123"/>
      <c r="K284" s="123"/>
      <c r="L284" s="123"/>
      <c r="M284" s="123"/>
      <c r="N284" s="515"/>
    </row>
    <row r="285" spans="1:14" s="893" customFormat="1" ht="16.5">
      <c r="A285" s="908">
        <v>279</v>
      </c>
      <c r="B285" s="894"/>
      <c r="C285" s="895"/>
      <c r="D285" s="896" t="s">
        <v>403</v>
      </c>
      <c r="E285" s="897"/>
      <c r="F285" s="888"/>
      <c r="G285" s="888"/>
      <c r="H285" s="889"/>
      <c r="I285" s="890">
        <f t="shared" si="6"/>
        <v>268213</v>
      </c>
      <c r="J285" s="891"/>
      <c r="K285" s="891"/>
      <c r="L285" s="891"/>
      <c r="M285" s="891"/>
      <c r="N285" s="892">
        <v>268213</v>
      </c>
    </row>
    <row r="286" spans="1:14" s="42" customFormat="1" ht="16.5">
      <c r="A286" s="908">
        <v>280</v>
      </c>
      <c r="B286" s="126"/>
      <c r="C286" s="121"/>
      <c r="D286" s="122" t="s">
        <v>957</v>
      </c>
      <c r="E286" s="123"/>
      <c r="F286" s="406"/>
      <c r="G286" s="406"/>
      <c r="H286" s="524"/>
      <c r="I286" s="530">
        <f t="shared" si="6"/>
        <v>293573</v>
      </c>
      <c r="J286" s="124"/>
      <c r="K286" s="124"/>
      <c r="L286" s="124"/>
      <c r="M286" s="124"/>
      <c r="N286" s="329">
        <v>293573</v>
      </c>
    </row>
    <row r="287" spans="1:14" s="327" customFormat="1" ht="17.25">
      <c r="A287" s="908">
        <v>281</v>
      </c>
      <c r="B287" s="128"/>
      <c r="C287" s="336"/>
      <c r="D287" s="507" t="s">
        <v>1074</v>
      </c>
      <c r="E287" s="331"/>
      <c r="F287" s="408"/>
      <c r="G287" s="408"/>
      <c r="H287" s="525"/>
      <c r="I287" s="531">
        <f t="shared" si="6"/>
        <v>739</v>
      </c>
      <c r="J287" s="332"/>
      <c r="K287" s="332"/>
      <c r="L287" s="332"/>
      <c r="M287" s="332"/>
      <c r="N287" s="333">
        <v>739</v>
      </c>
    </row>
    <row r="288" spans="1:14" s="1500" customFormat="1" ht="17.25">
      <c r="A288" s="908">
        <v>282</v>
      </c>
      <c r="B288" s="337"/>
      <c r="C288" s="338"/>
      <c r="D288" s="334" t="s">
        <v>1067</v>
      </c>
      <c r="E288" s="335"/>
      <c r="F288" s="407"/>
      <c r="G288" s="407"/>
      <c r="H288" s="526"/>
      <c r="I288" s="532">
        <f>SUM(J288:N288)</f>
        <v>294312</v>
      </c>
      <c r="J288" s="407">
        <f>SUM(J286:J287)</f>
        <v>0</v>
      </c>
      <c r="K288" s="407">
        <f>SUM(K286:K287)</f>
        <v>0</v>
      </c>
      <c r="L288" s="407">
        <f>SUM(L286:L287)</f>
        <v>0</v>
      </c>
      <c r="M288" s="407">
        <f>SUM(M286:M287)</f>
        <v>0</v>
      </c>
      <c r="N288" s="514">
        <f>SUM(N286:N287)</f>
        <v>294312</v>
      </c>
    </row>
    <row r="289" spans="1:14" s="42" customFormat="1" ht="25.5" customHeight="1">
      <c r="A289" s="908">
        <v>283</v>
      </c>
      <c r="B289" s="126"/>
      <c r="C289" s="121">
        <v>43</v>
      </c>
      <c r="D289" s="122" t="s">
        <v>195</v>
      </c>
      <c r="E289" s="123" t="s">
        <v>859</v>
      </c>
      <c r="F289" s="406"/>
      <c r="G289" s="406"/>
      <c r="H289" s="524">
        <v>128658</v>
      </c>
      <c r="I289" s="530"/>
      <c r="J289" s="123"/>
      <c r="K289" s="123"/>
      <c r="L289" s="123"/>
      <c r="M289" s="123"/>
      <c r="N289" s="515"/>
    </row>
    <row r="290" spans="1:14" s="893" customFormat="1" ht="16.5">
      <c r="A290" s="908">
        <v>284</v>
      </c>
      <c r="B290" s="894"/>
      <c r="C290" s="895"/>
      <c r="D290" s="896" t="s">
        <v>403</v>
      </c>
      <c r="E290" s="897"/>
      <c r="F290" s="888"/>
      <c r="G290" s="888"/>
      <c r="H290" s="889"/>
      <c r="I290" s="890">
        <f t="shared" si="6"/>
        <v>128806</v>
      </c>
      <c r="J290" s="891"/>
      <c r="K290" s="891"/>
      <c r="L290" s="891"/>
      <c r="M290" s="891"/>
      <c r="N290" s="892">
        <v>128806</v>
      </c>
    </row>
    <row r="291" spans="1:14" s="42" customFormat="1" ht="16.5">
      <c r="A291" s="908">
        <v>285</v>
      </c>
      <c r="B291" s="126"/>
      <c r="C291" s="121"/>
      <c r="D291" s="122" t="s">
        <v>957</v>
      </c>
      <c r="E291" s="123"/>
      <c r="F291" s="406"/>
      <c r="G291" s="406"/>
      <c r="H291" s="524"/>
      <c r="I291" s="530">
        <f t="shared" si="6"/>
        <v>138881</v>
      </c>
      <c r="J291" s="124"/>
      <c r="K291" s="124"/>
      <c r="L291" s="124"/>
      <c r="M291" s="124"/>
      <c r="N291" s="329">
        <v>138881</v>
      </c>
    </row>
    <row r="292" spans="1:14" s="327" customFormat="1" ht="17.25">
      <c r="A292" s="908">
        <v>286</v>
      </c>
      <c r="B292" s="128"/>
      <c r="C292" s="336"/>
      <c r="D292" s="507" t="s">
        <v>1074</v>
      </c>
      <c r="E292" s="331"/>
      <c r="F292" s="408"/>
      <c r="G292" s="408"/>
      <c r="H292" s="525"/>
      <c r="I292" s="531">
        <f t="shared" si="6"/>
        <v>471</v>
      </c>
      <c r="J292" s="332"/>
      <c r="K292" s="332"/>
      <c r="L292" s="332"/>
      <c r="M292" s="332"/>
      <c r="N292" s="333">
        <v>471</v>
      </c>
    </row>
    <row r="293" spans="1:14" s="1500" customFormat="1" ht="17.25">
      <c r="A293" s="908">
        <v>287</v>
      </c>
      <c r="B293" s="337"/>
      <c r="C293" s="338"/>
      <c r="D293" s="334" t="s">
        <v>1067</v>
      </c>
      <c r="E293" s="335"/>
      <c r="F293" s="407"/>
      <c r="G293" s="407"/>
      <c r="H293" s="526"/>
      <c r="I293" s="532">
        <f t="shared" si="6"/>
        <v>139352</v>
      </c>
      <c r="J293" s="407">
        <f>SUM(J291:J292)</f>
        <v>0</v>
      </c>
      <c r="K293" s="407">
        <f>SUM(K291:K292)</f>
        <v>0</v>
      </c>
      <c r="L293" s="407">
        <f>SUM(L291:L292)</f>
        <v>0</v>
      </c>
      <c r="M293" s="407">
        <f>SUM(M291:M292)</f>
        <v>0</v>
      </c>
      <c r="N293" s="514">
        <f>SUM(N291:N292)</f>
        <v>139352</v>
      </c>
    </row>
    <row r="294" spans="1:14" s="42" customFormat="1" ht="25.5" customHeight="1">
      <c r="A294" s="908">
        <v>288</v>
      </c>
      <c r="B294" s="126"/>
      <c r="C294" s="121">
        <v>44</v>
      </c>
      <c r="D294" s="122" t="s">
        <v>771</v>
      </c>
      <c r="E294" s="123" t="s">
        <v>859</v>
      </c>
      <c r="F294" s="406"/>
      <c r="G294" s="406"/>
      <c r="H294" s="524"/>
      <c r="I294" s="530"/>
      <c r="J294" s="123"/>
      <c r="K294" s="123"/>
      <c r="L294" s="123"/>
      <c r="M294" s="123"/>
      <c r="N294" s="515"/>
    </row>
    <row r="295" spans="1:14" s="893" customFormat="1" ht="16.5">
      <c r="A295" s="908">
        <v>289</v>
      </c>
      <c r="B295" s="894"/>
      <c r="C295" s="895"/>
      <c r="D295" s="896" t="s">
        <v>403</v>
      </c>
      <c r="E295" s="897"/>
      <c r="F295" s="888"/>
      <c r="G295" s="888"/>
      <c r="H295" s="889"/>
      <c r="I295" s="890">
        <f t="shared" si="6"/>
        <v>17400</v>
      </c>
      <c r="J295" s="891"/>
      <c r="K295" s="891"/>
      <c r="L295" s="891"/>
      <c r="M295" s="891"/>
      <c r="N295" s="892">
        <v>17400</v>
      </c>
    </row>
    <row r="296" spans="1:14" s="42" customFormat="1" ht="16.5">
      <c r="A296" s="908">
        <v>290</v>
      </c>
      <c r="B296" s="126"/>
      <c r="C296" s="121"/>
      <c r="D296" s="122" t="s">
        <v>957</v>
      </c>
      <c r="E296" s="123"/>
      <c r="F296" s="406"/>
      <c r="G296" s="406"/>
      <c r="H296" s="524"/>
      <c r="I296" s="530">
        <f t="shared" si="6"/>
        <v>17400</v>
      </c>
      <c r="J296" s="124"/>
      <c r="K296" s="124"/>
      <c r="L296" s="124">
        <v>17400</v>
      </c>
      <c r="M296" s="124"/>
      <c r="N296" s="329"/>
    </row>
    <row r="297" spans="1:14" s="327" customFormat="1" ht="17.25">
      <c r="A297" s="908">
        <v>291</v>
      </c>
      <c r="B297" s="128"/>
      <c r="C297" s="336"/>
      <c r="D297" s="330" t="s">
        <v>405</v>
      </c>
      <c r="E297" s="331"/>
      <c r="F297" s="408"/>
      <c r="G297" s="408"/>
      <c r="H297" s="525"/>
      <c r="I297" s="531">
        <f t="shared" si="6"/>
        <v>0</v>
      </c>
      <c r="J297" s="332"/>
      <c r="K297" s="332"/>
      <c r="L297" s="332"/>
      <c r="M297" s="332"/>
      <c r="N297" s="333"/>
    </row>
    <row r="298" spans="1:14" s="1500" customFormat="1" ht="17.25">
      <c r="A298" s="908">
        <v>292</v>
      </c>
      <c r="B298" s="337"/>
      <c r="C298" s="338"/>
      <c r="D298" s="334" t="s">
        <v>1067</v>
      </c>
      <c r="E298" s="335"/>
      <c r="F298" s="407"/>
      <c r="G298" s="407"/>
      <c r="H298" s="526"/>
      <c r="I298" s="532">
        <f t="shared" si="6"/>
        <v>17400</v>
      </c>
      <c r="J298" s="407">
        <f>SUM(J296:J297)</f>
        <v>0</v>
      </c>
      <c r="K298" s="407">
        <f>SUM(K296:K297)</f>
        <v>0</v>
      </c>
      <c r="L298" s="407">
        <f>SUM(L296:L297)</f>
        <v>17400</v>
      </c>
      <c r="M298" s="407">
        <f>SUM(M296:M297)</f>
        <v>0</v>
      </c>
      <c r="N298" s="514">
        <f>SUM(N296:N297)</f>
        <v>0</v>
      </c>
    </row>
    <row r="299" spans="1:14" s="42" customFormat="1" ht="27.75" customHeight="1">
      <c r="A299" s="908">
        <v>293</v>
      </c>
      <c r="B299" s="126"/>
      <c r="C299" s="121">
        <v>45</v>
      </c>
      <c r="D299" s="122" t="s">
        <v>87</v>
      </c>
      <c r="E299" s="123" t="s">
        <v>799</v>
      </c>
      <c r="F299" s="406">
        <v>500</v>
      </c>
      <c r="G299" s="406">
        <v>1000</v>
      </c>
      <c r="H299" s="524">
        <v>1000</v>
      </c>
      <c r="I299" s="530"/>
      <c r="J299" s="123"/>
      <c r="K299" s="123"/>
      <c r="L299" s="123"/>
      <c r="M299" s="123"/>
      <c r="N299" s="515"/>
    </row>
    <row r="300" spans="1:14" s="893" customFormat="1" ht="16.5">
      <c r="A300" s="908">
        <v>294</v>
      </c>
      <c r="B300" s="894"/>
      <c r="C300" s="895"/>
      <c r="D300" s="896" t="s">
        <v>403</v>
      </c>
      <c r="E300" s="897"/>
      <c r="F300" s="888"/>
      <c r="G300" s="888"/>
      <c r="H300" s="889"/>
      <c r="I300" s="890">
        <f t="shared" si="6"/>
        <v>1700</v>
      </c>
      <c r="J300" s="891"/>
      <c r="K300" s="891"/>
      <c r="L300" s="891">
        <v>1700</v>
      </c>
      <c r="M300" s="891"/>
      <c r="N300" s="892"/>
    </row>
    <row r="301" spans="1:14" s="42" customFormat="1" ht="16.5">
      <c r="A301" s="908">
        <v>295</v>
      </c>
      <c r="B301" s="126"/>
      <c r="C301" s="121"/>
      <c r="D301" s="122" t="s">
        <v>957</v>
      </c>
      <c r="E301" s="123"/>
      <c r="F301" s="406"/>
      <c r="G301" s="406"/>
      <c r="H301" s="524"/>
      <c r="I301" s="530">
        <f t="shared" si="6"/>
        <v>1700</v>
      </c>
      <c r="J301" s="124"/>
      <c r="K301" s="124"/>
      <c r="L301" s="124">
        <v>1700</v>
      </c>
      <c r="M301" s="124"/>
      <c r="N301" s="329"/>
    </row>
    <row r="302" spans="1:14" s="327" customFormat="1" ht="17.25">
      <c r="A302" s="908">
        <v>296</v>
      </c>
      <c r="B302" s="128"/>
      <c r="C302" s="336"/>
      <c r="D302" s="330" t="s">
        <v>405</v>
      </c>
      <c r="E302" s="331"/>
      <c r="F302" s="408"/>
      <c r="G302" s="408"/>
      <c r="H302" s="525"/>
      <c r="I302" s="531">
        <f t="shared" si="6"/>
        <v>0</v>
      </c>
      <c r="J302" s="332"/>
      <c r="K302" s="332"/>
      <c r="L302" s="332"/>
      <c r="M302" s="332"/>
      <c r="N302" s="333"/>
    </row>
    <row r="303" spans="1:14" s="1500" customFormat="1" ht="17.25">
      <c r="A303" s="908">
        <v>297</v>
      </c>
      <c r="B303" s="337"/>
      <c r="C303" s="338"/>
      <c r="D303" s="334" t="s">
        <v>1067</v>
      </c>
      <c r="E303" s="335"/>
      <c r="F303" s="407"/>
      <c r="G303" s="407"/>
      <c r="H303" s="526"/>
      <c r="I303" s="532">
        <f t="shared" si="6"/>
        <v>1700</v>
      </c>
      <c r="J303" s="407">
        <f>SUM(J301:J302)</f>
        <v>0</v>
      </c>
      <c r="K303" s="407">
        <f>SUM(K301:K302)</f>
        <v>0</v>
      </c>
      <c r="L303" s="407">
        <f>SUM(L301:L302)</f>
        <v>1700</v>
      </c>
      <c r="M303" s="407">
        <f>SUM(M301:M302)</f>
        <v>0</v>
      </c>
      <c r="N303" s="514">
        <f>SUM(N301:N302)</f>
        <v>0</v>
      </c>
    </row>
    <row r="304" spans="1:14" s="42" customFormat="1" ht="27.75" customHeight="1">
      <c r="A304" s="908">
        <v>298</v>
      </c>
      <c r="B304" s="126"/>
      <c r="C304" s="121">
        <v>46</v>
      </c>
      <c r="D304" s="122" t="s">
        <v>180</v>
      </c>
      <c r="E304" s="123" t="s">
        <v>799</v>
      </c>
      <c r="F304" s="406">
        <v>115</v>
      </c>
      <c r="G304" s="406">
        <v>500</v>
      </c>
      <c r="H304" s="524">
        <v>0</v>
      </c>
      <c r="I304" s="530"/>
      <c r="J304" s="123"/>
      <c r="K304" s="123"/>
      <c r="L304" s="123"/>
      <c r="M304" s="123"/>
      <c r="N304" s="515"/>
    </row>
    <row r="305" spans="1:14" s="893" customFormat="1" ht="16.5">
      <c r="A305" s="908">
        <v>299</v>
      </c>
      <c r="B305" s="894"/>
      <c r="C305" s="895"/>
      <c r="D305" s="896" t="s">
        <v>403</v>
      </c>
      <c r="E305" s="897"/>
      <c r="F305" s="888"/>
      <c r="G305" s="888"/>
      <c r="H305" s="889"/>
      <c r="I305" s="890">
        <f t="shared" si="6"/>
        <v>500</v>
      </c>
      <c r="J305" s="891"/>
      <c r="K305" s="891"/>
      <c r="L305" s="891"/>
      <c r="M305" s="891">
        <v>500</v>
      </c>
      <c r="N305" s="892"/>
    </row>
    <row r="306" spans="1:14" s="42" customFormat="1" ht="16.5">
      <c r="A306" s="908">
        <v>300</v>
      </c>
      <c r="B306" s="126"/>
      <c r="C306" s="121"/>
      <c r="D306" s="122" t="s">
        <v>957</v>
      </c>
      <c r="E306" s="123"/>
      <c r="F306" s="406"/>
      <c r="G306" s="406"/>
      <c r="H306" s="524"/>
      <c r="I306" s="530">
        <f t="shared" si="6"/>
        <v>500</v>
      </c>
      <c r="J306" s="124"/>
      <c r="K306" s="124"/>
      <c r="L306" s="124"/>
      <c r="M306" s="124">
        <v>500</v>
      </c>
      <c r="N306" s="329"/>
    </row>
    <row r="307" spans="1:14" s="327" customFormat="1" ht="17.25">
      <c r="A307" s="908">
        <v>301</v>
      </c>
      <c r="B307" s="128"/>
      <c r="C307" s="336"/>
      <c r="D307" s="330" t="s">
        <v>405</v>
      </c>
      <c r="E307" s="331"/>
      <c r="F307" s="408"/>
      <c r="G307" s="408"/>
      <c r="H307" s="525"/>
      <c r="I307" s="531">
        <f t="shared" si="6"/>
        <v>0</v>
      </c>
      <c r="J307" s="332"/>
      <c r="K307" s="332"/>
      <c r="L307" s="332"/>
      <c r="M307" s="332"/>
      <c r="N307" s="333"/>
    </row>
    <row r="308" spans="1:14" s="1500" customFormat="1" ht="17.25">
      <c r="A308" s="908">
        <v>302</v>
      </c>
      <c r="B308" s="337"/>
      <c r="C308" s="338"/>
      <c r="D308" s="334" t="s">
        <v>1067</v>
      </c>
      <c r="E308" s="335"/>
      <c r="F308" s="407"/>
      <c r="G308" s="407"/>
      <c r="H308" s="526"/>
      <c r="I308" s="532">
        <f t="shared" si="6"/>
        <v>500</v>
      </c>
      <c r="J308" s="407">
        <f>SUM(J306:J307)</f>
        <v>0</v>
      </c>
      <c r="K308" s="407">
        <f>SUM(K306:K307)</f>
        <v>0</v>
      </c>
      <c r="L308" s="407">
        <f>SUM(L306:L307)</f>
        <v>0</v>
      </c>
      <c r="M308" s="407">
        <f>SUM(M306:M307)</f>
        <v>500</v>
      </c>
      <c r="N308" s="514">
        <f>SUM(N306:N307)</f>
        <v>0</v>
      </c>
    </row>
    <row r="309" spans="1:14" s="42" customFormat="1" ht="27.75" customHeight="1">
      <c r="A309" s="908">
        <v>303</v>
      </c>
      <c r="B309" s="126"/>
      <c r="C309" s="121">
        <v>47</v>
      </c>
      <c r="D309" s="122" t="s">
        <v>96</v>
      </c>
      <c r="E309" s="123" t="s">
        <v>799</v>
      </c>
      <c r="F309" s="406">
        <v>24120</v>
      </c>
      <c r="G309" s="406"/>
      <c r="H309" s="524">
        <v>2110</v>
      </c>
      <c r="I309" s="530"/>
      <c r="J309" s="123"/>
      <c r="K309" s="123"/>
      <c r="L309" s="123"/>
      <c r="M309" s="123"/>
      <c r="N309" s="515"/>
    </row>
    <row r="310" spans="1:14" s="893" customFormat="1" ht="16.5">
      <c r="A310" s="908">
        <v>304</v>
      </c>
      <c r="B310" s="894"/>
      <c r="C310" s="895"/>
      <c r="D310" s="896" t="s">
        <v>403</v>
      </c>
      <c r="E310" s="897"/>
      <c r="F310" s="888"/>
      <c r="G310" s="888"/>
      <c r="H310" s="889"/>
      <c r="I310" s="890">
        <f t="shared" si="6"/>
        <v>6000</v>
      </c>
      <c r="J310" s="891"/>
      <c r="K310" s="891"/>
      <c r="L310" s="891"/>
      <c r="M310" s="891"/>
      <c r="N310" s="892">
        <v>6000</v>
      </c>
    </row>
    <row r="311" spans="1:14" s="42" customFormat="1" ht="16.5">
      <c r="A311" s="908">
        <v>305</v>
      </c>
      <c r="B311" s="126"/>
      <c r="C311" s="121"/>
      <c r="D311" s="122" t="s">
        <v>957</v>
      </c>
      <c r="E311" s="123"/>
      <c r="F311" s="406"/>
      <c r="G311" s="406"/>
      <c r="H311" s="524"/>
      <c r="I311" s="530">
        <f t="shared" si="6"/>
        <v>1000</v>
      </c>
      <c r="J311" s="124"/>
      <c r="K311" s="124"/>
      <c r="L311" s="124"/>
      <c r="M311" s="124"/>
      <c r="N311" s="329">
        <v>1000</v>
      </c>
    </row>
    <row r="312" spans="1:14" s="327" customFormat="1" ht="17.25">
      <c r="A312" s="908">
        <v>306</v>
      </c>
      <c r="B312" s="128"/>
      <c r="C312" s="336"/>
      <c r="D312" s="330" t="s">
        <v>405</v>
      </c>
      <c r="E312" s="331"/>
      <c r="F312" s="408"/>
      <c r="G312" s="408"/>
      <c r="H312" s="525"/>
      <c r="I312" s="531">
        <f t="shared" si="6"/>
        <v>0</v>
      </c>
      <c r="J312" s="332"/>
      <c r="K312" s="332"/>
      <c r="L312" s="332"/>
      <c r="M312" s="332"/>
      <c r="N312" s="333"/>
    </row>
    <row r="313" spans="1:14" s="1500" customFormat="1" ht="17.25">
      <c r="A313" s="908">
        <v>307</v>
      </c>
      <c r="B313" s="337"/>
      <c r="C313" s="338"/>
      <c r="D313" s="334" t="s">
        <v>1067</v>
      </c>
      <c r="E313" s="335"/>
      <c r="F313" s="407"/>
      <c r="G313" s="407"/>
      <c r="H313" s="526"/>
      <c r="I313" s="532">
        <f t="shared" si="6"/>
        <v>1000</v>
      </c>
      <c r="J313" s="407">
        <f>SUM(J311:J312)</f>
        <v>0</v>
      </c>
      <c r="K313" s="407">
        <f>SUM(K311:K312)</f>
        <v>0</v>
      </c>
      <c r="L313" s="407">
        <f>SUM(L311:L312)</f>
        <v>0</v>
      </c>
      <c r="M313" s="407">
        <f>SUM(M311:M312)</f>
        <v>0</v>
      </c>
      <c r="N313" s="514">
        <f>SUM(N311:N312)</f>
        <v>1000</v>
      </c>
    </row>
    <row r="314" spans="1:14" s="42" customFormat="1" ht="27.75" customHeight="1">
      <c r="A314" s="908">
        <v>308</v>
      </c>
      <c r="B314" s="126"/>
      <c r="C314" s="121">
        <v>48</v>
      </c>
      <c r="D314" s="122" t="s">
        <v>114</v>
      </c>
      <c r="E314" s="123" t="s">
        <v>799</v>
      </c>
      <c r="F314" s="406">
        <v>1000</v>
      </c>
      <c r="G314" s="406">
        <v>500</v>
      </c>
      <c r="H314" s="524">
        <v>500</v>
      </c>
      <c r="I314" s="530"/>
      <c r="J314" s="123"/>
      <c r="K314" s="123"/>
      <c r="L314" s="123"/>
      <c r="M314" s="123"/>
      <c r="N314" s="515"/>
    </row>
    <row r="315" spans="1:14" s="893" customFormat="1" ht="16.5">
      <c r="A315" s="908">
        <v>309</v>
      </c>
      <c r="B315" s="894"/>
      <c r="C315" s="895"/>
      <c r="D315" s="896" t="s">
        <v>403</v>
      </c>
      <c r="E315" s="897"/>
      <c r="F315" s="888"/>
      <c r="G315" s="888"/>
      <c r="H315" s="889"/>
      <c r="I315" s="890">
        <f t="shared" si="6"/>
        <v>2000</v>
      </c>
      <c r="J315" s="891"/>
      <c r="K315" s="891"/>
      <c r="L315" s="891"/>
      <c r="M315" s="891"/>
      <c r="N315" s="892">
        <v>2000</v>
      </c>
    </row>
    <row r="316" spans="1:14" s="42" customFormat="1" ht="16.5">
      <c r="A316" s="908">
        <v>310</v>
      </c>
      <c r="B316" s="126"/>
      <c r="C316" s="121"/>
      <c r="D316" s="122" t="s">
        <v>957</v>
      </c>
      <c r="E316" s="123"/>
      <c r="F316" s="406"/>
      <c r="G316" s="406"/>
      <c r="H316" s="524"/>
      <c r="I316" s="530">
        <f t="shared" si="6"/>
        <v>2000</v>
      </c>
      <c r="J316" s="124"/>
      <c r="K316" s="124"/>
      <c r="L316" s="124">
        <v>2000</v>
      </c>
      <c r="M316" s="124"/>
      <c r="N316" s="329">
        <v>0</v>
      </c>
    </row>
    <row r="317" spans="1:14" s="327" customFormat="1" ht="17.25">
      <c r="A317" s="908">
        <v>311</v>
      </c>
      <c r="B317" s="128"/>
      <c r="C317" s="336"/>
      <c r="D317" s="330" t="s">
        <v>405</v>
      </c>
      <c r="E317" s="331"/>
      <c r="F317" s="408"/>
      <c r="G317" s="408"/>
      <c r="H317" s="525"/>
      <c r="I317" s="531">
        <f t="shared" si="6"/>
        <v>0</v>
      </c>
      <c r="J317" s="332"/>
      <c r="K317" s="332"/>
      <c r="L317" s="332"/>
      <c r="M317" s="332"/>
      <c r="N317" s="333"/>
    </row>
    <row r="318" spans="1:14" s="1500" customFormat="1" ht="17.25">
      <c r="A318" s="908">
        <v>312</v>
      </c>
      <c r="B318" s="337"/>
      <c r="C318" s="338"/>
      <c r="D318" s="334" t="s">
        <v>1067</v>
      </c>
      <c r="E318" s="335"/>
      <c r="F318" s="407"/>
      <c r="G318" s="407"/>
      <c r="H318" s="526"/>
      <c r="I318" s="532">
        <f t="shared" si="6"/>
        <v>2000</v>
      </c>
      <c r="J318" s="407">
        <f>SUM(J316:J317)</f>
        <v>0</v>
      </c>
      <c r="K318" s="407">
        <f>SUM(K316:K317)</f>
        <v>0</v>
      </c>
      <c r="L318" s="407">
        <f>SUM(L316:L317)</f>
        <v>2000</v>
      </c>
      <c r="M318" s="407">
        <f>SUM(M316:M317)</f>
        <v>0</v>
      </c>
      <c r="N318" s="514">
        <f>SUM(N316:N317)</f>
        <v>0</v>
      </c>
    </row>
    <row r="319" spans="1:14" s="42" customFormat="1" ht="27.75" customHeight="1">
      <c r="A319" s="908">
        <v>313</v>
      </c>
      <c r="B319" s="126"/>
      <c r="C319" s="121">
        <v>49</v>
      </c>
      <c r="D319" s="122" t="s">
        <v>377</v>
      </c>
      <c r="E319" s="123" t="s">
        <v>859</v>
      </c>
      <c r="F319" s="406">
        <v>10000</v>
      </c>
      <c r="G319" s="406">
        <v>5000</v>
      </c>
      <c r="H319" s="524">
        <v>5000</v>
      </c>
      <c r="I319" s="530"/>
      <c r="J319" s="123"/>
      <c r="K319" s="123"/>
      <c r="L319" s="123"/>
      <c r="M319" s="123"/>
      <c r="N319" s="515"/>
    </row>
    <row r="320" spans="1:14" s="893" customFormat="1" ht="16.5">
      <c r="A320" s="908">
        <v>314</v>
      </c>
      <c r="B320" s="894"/>
      <c r="C320" s="895"/>
      <c r="D320" s="896" t="s">
        <v>403</v>
      </c>
      <c r="E320" s="897"/>
      <c r="F320" s="888"/>
      <c r="G320" s="888"/>
      <c r="H320" s="889"/>
      <c r="I320" s="890">
        <f t="shared" si="6"/>
        <v>5000</v>
      </c>
      <c r="J320" s="891"/>
      <c r="K320" s="891"/>
      <c r="L320" s="891">
        <v>5000</v>
      </c>
      <c r="M320" s="891"/>
      <c r="N320" s="892"/>
    </row>
    <row r="321" spans="1:14" s="42" customFormat="1" ht="16.5">
      <c r="A321" s="908">
        <v>315</v>
      </c>
      <c r="B321" s="126"/>
      <c r="C321" s="121"/>
      <c r="D321" s="122" t="s">
        <v>957</v>
      </c>
      <c r="E321" s="123"/>
      <c r="F321" s="406"/>
      <c r="G321" s="406"/>
      <c r="H321" s="524"/>
      <c r="I321" s="530">
        <f t="shared" si="6"/>
        <v>5000</v>
      </c>
      <c r="J321" s="124"/>
      <c r="K321" s="124"/>
      <c r="L321" s="124">
        <v>5000</v>
      </c>
      <c r="M321" s="124"/>
      <c r="N321" s="329"/>
    </row>
    <row r="322" spans="1:14" s="327" customFormat="1" ht="17.25">
      <c r="A322" s="908">
        <v>316</v>
      </c>
      <c r="B322" s="128"/>
      <c r="C322" s="336"/>
      <c r="D322" s="330" t="s">
        <v>405</v>
      </c>
      <c r="E322" s="331"/>
      <c r="F322" s="408"/>
      <c r="G322" s="408"/>
      <c r="H322" s="525"/>
      <c r="I322" s="531">
        <f t="shared" si="6"/>
        <v>0</v>
      </c>
      <c r="J322" s="332"/>
      <c r="K322" s="332"/>
      <c r="L322" s="332"/>
      <c r="M322" s="332"/>
      <c r="N322" s="333"/>
    </row>
    <row r="323" spans="1:14" s="1500" customFormat="1" ht="17.25">
      <c r="A323" s="908">
        <v>317</v>
      </c>
      <c r="B323" s="337"/>
      <c r="C323" s="338"/>
      <c r="D323" s="334" t="s">
        <v>1067</v>
      </c>
      <c r="E323" s="335"/>
      <c r="F323" s="407"/>
      <c r="G323" s="407"/>
      <c r="H323" s="526"/>
      <c r="I323" s="532">
        <f t="shared" si="6"/>
        <v>5000</v>
      </c>
      <c r="J323" s="407">
        <f>SUM(J321:J322)</f>
        <v>0</v>
      </c>
      <c r="K323" s="407">
        <f>SUM(K321:K322)</f>
        <v>0</v>
      </c>
      <c r="L323" s="407">
        <f>SUM(L321:L322)</f>
        <v>5000</v>
      </c>
      <c r="M323" s="407">
        <f>SUM(M321:M322)</f>
        <v>0</v>
      </c>
      <c r="N323" s="514">
        <f>SUM(N321:N322)</f>
        <v>0</v>
      </c>
    </row>
    <row r="324" spans="1:14" s="42" customFormat="1" ht="27.75" customHeight="1">
      <c r="A324" s="908">
        <v>318</v>
      </c>
      <c r="B324" s="126"/>
      <c r="C324" s="121">
        <v>50</v>
      </c>
      <c r="D324" s="122" t="s">
        <v>97</v>
      </c>
      <c r="E324" s="123" t="s">
        <v>799</v>
      </c>
      <c r="F324" s="406">
        <v>5735</v>
      </c>
      <c r="G324" s="406">
        <v>4760</v>
      </c>
      <c r="H324" s="524">
        <v>5760</v>
      </c>
      <c r="I324" s="530"/>
      <c r="J324" s="123"/>
      <c r="K324" s="123"/>
      <c r="L324" s="123"/>
      <c r="M324" s="123"/>
      <c r="N324" s="515"/>
    </row>
    <row r="325" spans="1:14" s="893" customFormat="1" ht="16.5">
      <c r="A325" s="908">
        <v>319</v>
      </c>
      <c r="B325" s="894"/>
      <c r="C325" s="895"/>
      <c r="D325" s="896" t="s">
        <v>403</v>
      </c>
      <c r="E325" s="897"/>
      <c r="F325" s="888"/>
      <c r="G325" s="888"/>
      <c r="H325" s="889"/>
      <c r="I325" s="890">
        <f t="shared" si="6"/>
        <v>5760</v>
      </c>
      <c r="J325" s="891"/>
      <c r="K325" s="891"/>
      <c r="L325" s="891">
        <v>5760</v>
      </c>
      <c r="M325" s="891"/>
      <c r="N325" s="892"/>
    </row>
    <row r="326" spans="1:14" s="42" customFormat="1" ht="16.5">
      <c r="A326" s="908">
        <v>320</v>
      </c>
      <c r="B326" s="126"/>
      <c r="C326" s="121"/>
      <c r="D326" s="122" t="s">
        <v>957</v>
      </c>
      <c r="E326" s="123"/>
      <c r="F326" s="406"/>
      <c r="G326" s="406"/>
      <c r="H326" s="524"/>
      <c r="I326" s="530">
        <f t="shared" si="6"/>
        <v>5760</v>
      </c>
      <c r="J326" s="124"/>
      <c r="K326" s="124"/>
      <c r="L326" s="124">
        <v>5760</v>
      </c>
      <c r="M326" s="124"/>
      <c r="N326" s="329"/>
    </row>
    <row r="327" spans="1:14" s="327" customFormat="1" ht="17.25">
      <c r="A327" s="908">
        <v>321</v>
      </c>
      <c r="B327" s="128"/>
      <c r="C327" s="336"/>
      <c r="D327" s="330" t="s">
        <v>405</v>
      </c>
      <c r="E327" s="331"/>
      <c r="F327" s="408"/>
      <c r="G327" s="408"/>
      <c r="H327" s="525"/>
      <c r="I327" s="531">
        <f t="shared" si="6"/>
        <v>0</v>
      </c>
      <c r="J327" s="332"/>
      <c r="K327" s="332"/>
      <c r="L327" s="332"/>
      <c r="M327" s="332"/>
      <c r="N327" s="333"/>
    </row>
    <row r="328" spans="1:14" s="1500" customFormat="1" ht="17.25">
      <c r="A328" s="908">
        <v>322</v>
      </c>
      <c r="B328" s="337"/>
      <c r="C328" s="338"/>
      <c r="D328" s="334" t="s">
        <v>1067</v>
      </c>
      <c r="E328" s="335"/>
      <c r="F328" s="407"/>
      <c r="G328" s="407"/>
      <c r="H328" s="526"/>
      <c r="I328" s="532">
        <f t="shared" si="6"/>
        <v>5760</v>
      </c>
      <c r="J328" s="407">
        <f>SUM(J326:J327)</f>
        <v>0</v>
      </c>
      <c r="K328" s="407">
        <f>SUM(K326:K327)</f>
        <v>0</v>
      </c>
      <c r="L328" s="407">
        <f>SUM(L326:L327)</f>
        <v>5760</v>
      </c>
      <c r="M328" s="407">
        <f>SUM(M326:M327)</f>
        <v>0</v>
      </c>
      <c r="N328" s="514">
        <f>SUM(N326:N327)</f>
        <v>0</v>
      </c>
    </row>
    <row r="329" spans="1:14" s="42" customFormat="1" ht="27.75" customHeight="1">
      <c r="A329" s="908">
        <v>323</v>
      </c>
      <c r="B329" s="126"/>
      <c r="C329" s="121">
        <v>51</v>
      </c>
      <c r="D329" s="122" t="s">
        <v>379</v>
      </c>
      <c r="E329" s="123" t="s">
        <v>799</v>
      </c>
      <c r="F329" s="406">
        <v>3095</v>
      </c>
      <c r="G329" s="406">
        <v>3000</v>
      </c>
      <c r="H329" s="524">
        <v>1942</v>
      </c>
      <c r="I329" s="530"/>
      <c r="J329" s="123"/>
      <c r="K329" s="123"/>
      <c r="L329" s="123"/>
      <c r="M329" s="123"/>
      <c r="N329" s="515"/>
    </row>
    <row r="330" spans="1:14" s="893" customFormat="1" ht="16.5">
      <c r="A330" s="908">
        <v>324</v>
      </c>
      <c r="B330" s="894"/>
      <c r="C330" s="895"/>
      <c r="D330" s="896" t="s">
        <v>403</v>
      </c>
      <c r="E330" s="897"/>
      <c r="F330" s="888"/>
      <c r="G330" s="888"/>
      <c r="H330" s="889"/>
      <c r="I330" s="890">
        <f t="shared" si="6"/>
        <v>3000</v>
      </c>
      <c r="J330" s="891"/>
      <c r="K330" s="891"/>
      <c r="L330" s="891">
        <v>3000</v>
      </c>
      <c r="M330" s="891"/>
      <c r="N330" s="892"/>
    </row>
    <row r="331" spans="1:14" s="42" customFormat="1" ht="16.5">
      <c r="A331" s="908">
        <v>325</v>
      </c>
      <c r="B331" s="126"/>
      <c r="C331" s="121"/>
      <c r="D331" s="122" t="s">
        <v>957</v>
      </c>
      <c r="E331" s="123"/>
      <c r="F331" s="406"/>
      <c r="G331" s="406"/>
      <c r="H331" s="524"/>
      <c r="I331" s="530">
        <f t="shared" si="6"/>
        <v>3000</v>
      </c>
      <c r="J331" s="124"/>
      <c r="K331" s="124"/>
      <c r="L331" s="124">
        <v>3000</v>
      </c>
      <c r="M331" s="124"/>
      <c r="N331" s="329"/>
    </row>
    <row r="332" spans="1:14" s="327" customFormat="1" ht="17.25">
      <c r="A332" s="908">
        <v>326</v>
      </c>
      <c r="B332" s="128"/>
      <c r="C332" s="336"/>
      <c r="D332" s="330" t="s">
        <v>405</v>
      </c>
      <c r="E332" s="331"/>
      <c r="F332" s="408"/>
      <c r="G332" s="408"/>
      <c r="H332" s="525"/>
      <c r="I332" s="531">
        <f aca="true" t="shared" si="7" ref="I332:I411">SUM(J332:N332)</f>
        <v>0</v>
      </c>
      <c r="J332" s="332"/>
      <c r="K332" s="332"/>
      <c r="L332" s="332"/>
      <c r="M332" s="332"/>
      <c r="N332" s="333"/>
    </row>
    <row r="333" spans="1:14" s="1500" customFormat="1" ht="17.25">
      <c r="A333" s="908">
        <v>327</v>
      </c>
      <c r="B333" s="337"/>
      <c r="C333" s="338"/>
      <c r="D333" s="334" t="s">
        <v>1067</v>
      </c>
      <c r="E333" s="335"/>
      <c r="F333" s="407"/>
      <c r="G333" s="407"/>
      <c r="H333" s="526"/>
      <c r="I333" s="532">
        <f t="shared" si="7"/>
        <v>3000</v>
      </c>
      <c r="J333" s="407">
        <f>SUM(J331:J332)</f>
        <v>0</v>
      </c>
      <c r="K333" s="407">
        <f>SUM(K331:K332)</f>
        <v>0</v>
      </c>
      <c r="L333" s="407">
        <f>SUM(L331:L332)</f>
        <v>3000</v>
      </c>
      <c r="M333" s="407">
        <f>SUM(M331:M332)</f>
        <v>0</v>
      </c>
      <c r="N333" s="514">
        <f>SUM(N331:N332)</f>
        <v>0</v>
      </c>
    </row>
    <row r="334" spans="1:14" s="42" customFormat="1" ht="27.75" customHeight="1">
      <c r="A334" s="908">
        <v>328</v>
      </c>
      <c r="B334" s="126"/>
      <c r="C334" s="121">
        <v>52</v>
      </c>
      <c r="D334" s="122" t="s">
        <v>772</v>
      </c>
      <c r="E334" s="123" t="s">
        <v>799</v>
      </c>
      <c r="F334" s="406">
        <v>39210</v>
      </c>
      <c r="G334" s="406">
        <v>45649</v>
      </c>
      <c r="H334" s="524">
        <v>42884</v>
      </c>
      <c r="I334" s="530"/>
      <c r="J334" s="123"/>
      <c r="K334" s="123"/>
      <c r="L334" s="123"/>
      <c r="M334" s="123"/>
      <c r="N334" s="515"/>
    </row>
    <row r="335" spans="1:14" s="893" customFormat="1" ht="16.5">
      <c r="A335" s="908">
        <v>329</v>
      </c>
      <c r="B335" s="894"/>
      <c r="C335" s="895"/>
      <c r="D335" s="896" t="s">
        <v>403</v>
      </c>
      <c r="E335" s="897"/>
      <c r="F335" s="888"/>
      <c r="G335" s="888"/>
      <c r="H335" s="889"/>
      <c r="I335" s="890">
        <f t="shared" si="7"/>
        <v>59233</v>
      </c>
      <c r="J335" s="891">
        <v>9088</v>
      </c>
      <c r="K335" s="891">
        <v>2208</v>
      </c>
      <c r="L335" s="891">
        <v>47937</v>
      </c>
      <c r="M335" s="891"/>
      <c r="N335" s="892"/>
    </row>
    <row r="336" spans="1:14" s="42" customFormat="1" ht="16.5">
      <c r="A336" s="908">
        <v>330</v>
      </c>
      <c r="B336" s="126"/>
      <c r="C336" s="121"/>
      <c r="D336" s="122" t="s">
        <v>957</v>
      </c>
      <c r="E336" s="123"/>
      <c r="F336" s="406"/>
      <c r="G336" s="406"/>
      <c r="H336" s="524"/>
      <c r="I336" s="530">
        <f t="shared" si="7"/>
        <v>59233</v>
      </c>
      <c r="J336" s="124">
        <v>9088</v>
      </c>
      <c r="K336" s="124">
        <v>2208</v>
      </c>
      <c r="L336" s="124">
        <v>47937</v>
      </c>
      <c r="M336" s="124"/>
      <c r="N336" s="329"/>
    </row>
    <row r="337" spans="1:14" s="327" customFormat="1" ht="17.25">
      <c r="A337" s="908">
        <v>331</v>
      </c>
      <c r="B337" s="128"/>
      <c r="C337" s="336"/>
      <c r="D337" s="330" t="s">
        <v>405</v>
      </c>
      <c r="E337" s="331"/>
      <c r="F337" s="408"/>
      <c r="G337" s="408"/>
      <c r="H337" s="525"/>
      <c r="I337" s="531">
        <f t="shared" si="7"/>
        <v>0</v>
      </c>
      <c r="J337" s="332"/>
      <c r="K337" s="332"/>
      <c r="L337" s="332"/>
      <c r="M337" s="332"/>
      <c r="N337" s="333"/>
    </row>
    <row r="338" spans="1:14" s="1500" customFormat="1" ht="17.25">
      <c r="A338" s="908">
        <v>332</v>
      </c>
      <c r="B338" s="337"/>
      <c r="C338" s="338"/>
      <c r="D338" s="334" t="s">
        <v>1067</v>
      </c>
      <c r="E338" s="335"/>
      <c r="F338" s="407"/>
      <c r="G338" s="407"/>
      <c r="H338" s="526"/>
      <c r="I338" s="532">
        <f t="shared" si="7"/>
        <v>59233</v>
      </c>
      <c r="J338" s="407">
        <f>SUM(J336:J337)</f>
        <v>9088</v>
      </c>
      <c r="K338" s="407">
        <f>SUM(K336:K337)</f>
        <v>2208</v>
      </c>
      <c r="L338" s="407">
        <f>SUM(L336:L337)</f>
        <v>47937</v>
      </c>
      <c r="M338" s="407">
        <f>SUM(M336:M337)</f>
        <v>0</v>
      </c>
      <c r="N338" s="514">
        <f>SUM(N336:N337)</f>
        <v>0</v>
      </c>
    </row>
    <row r="339" spans="1:14" s="42" customFormat="1" ht="25.5" customHeight="1">
      <c r="A339" s="908">
        <v>333</v>
      </c>
      <c r="B339" s="126"/>
      <c r="C339" s="121">
        <v>53</v>
      </c>
      <c r="D339" s="122" t="s">
        <v>15</v>
      </c>
      <c r="E339" s="123" t="s">
        <v>799</v>
      </c>
      <c r="F339" s="406">
        <v>82397</v>
      </c>
      <c r="G339" s="406">
        <v>95800</v>
      </c>
      <c r="H339" s="524">
        <v>80327</v>
      </c>
      <c r="I339" s="530"/>
      <c r="J339" s="123"/>
      <c r="K339" s="123"/>
      <c r="L339" s="123"/>
      <c r="M339" s="123"/>
      <c r="N339" s="515"/>
    </row>
    <row r="340" spans="1:14" s="893" customFormat="1" ht="16.5">
      <c r="A340" s="908">
        <v>334</v>
      </c>
      <c r="B340" s="894"/>
      <c r="C340" s="895"/>
      <c r="D340" s="896" t="s">
        <v>403</v>
      </c>
      <c r="E340" s="897"/>
      <c r="F340" s="888"/>
      <c r="G340" s="888"/>
      <c r="H340" s="889"/>
      <c r="I340" s="890">
        <f t="shared" si="7"/>
        <v>67500</v>
      </c>
      <c r="J340" s="891"/>
      <c r="K340" s="891"/>
      <c r="L340" s="891">
        <v>67500</v>
      </c>
      <c r="M340" s="891"/>
      <c r="N340" s="892"/>
    </row>
    <row r="341" spans="1:14" s="42" customFormat="1" ht="16.5">
      <c r="A341" s="908">
        <v>335</v>
      </c>
      <c r="B341" s="126"/>
      <c r="C341" s="121"/>
      <c r="D341" s="122" t="s">
        <v>957</v>
      </c>
      <c r="E341" s="123"/>
      <c r="F341" s="406"/>
      <c r="G341" s="406"/>
      <c r="H341" s="524"/>
      <c r="I341" s="530">
        <f t="shared" si="7"/>
        <v>116658</v>
      </c>
      <c r="J341" s="124"/>
      <c r="K341" s="124"/>
      <c r="L341" s="124">
        <v>116658</v>
      </c>
      <c r="M341" s="124"/>
      <c r="N341" s="329"/>
    </row>
    <row r="342" spans="1:14" s="327" customFormat="1" ht="17.25">
      <c r="A342" s="908">
        <v>336</v>
      </c>
      <c r="B342" s="128"/>
      <c r="C342" s="336"/>
      <c r="D342" s="330" t="s">
        <v>405</v>
      </c>
      <c r="E342" s="331"/>
      <c r="F342" s="408"/>
      <c r="G342" s="408"/>
      <c r="H342" s="525"/>
      <c r="I342" s="531">
        <f t="shared" si="7"/>
        <v>0</v>
      </c>
      <c r="J342" s="332"/>
      <c r="K342" s="332"/>
      <c r="L342" s="332"/>
      <c r="M342" s="332"/>
      <c r="N342" s="333"/>
    </row>
    <row r="343" spans="1:14" s="1500" customFormat="1" ht="17.25">
      <c r="A343" s="908">
        <v>337</v>
      </c>
      <c r="B343" s="337"/>
      <c r="C343" s="338"/>
      <c r="D343" s="334" t="s">
        <v>1067</v>
      </c>
      <c r="E343" s="335"/>
      <c r="F343" s="407"/>
      <c r="G343" s="407"/>
      <c r="H343" s="526"/>
      <c r="I343" s="532">
        <f t="shared" si="7"/>
        <v>116658</v>
      </c>
      <c r="J343" s="407">
        <f>SUM(J341:J342)</f>
        <v>0</v>
      </c>
      <c r="K343" s="407">
        <f>SUM(K341:K342)</f>
        <v>0</v>
      </c>
      <c r="L343" s="407">
        <f>SUM(L341:L342)</f>
        <v>116658</v>
      </c>
      <c r="M343" s="407">
        <f>SUM(M341:M342)</f>
        <v>0</v>
      </c>
      <c r="N343" s="514">
        <f>SUM(N341:N342)</f>
        <v>0</v>
      </c>
    </row>
    <row r="344" spans="1:14" s="42" customFormat="1" ht="30" customHeight="1">
      <c r="A344" s="908">
        <v>338</v>
      </c>
      <c r="B344" s="126"/>
      <c r="C344" s="121">
        <v>54</v>
      </c>
      <c r="D344" s="122" t="s">
        <v>432</v>
      </c>
      <c r="E344" s="123" t="s">
        <v>799</v>
      </c>
      <c r="F344" s="406">
        <v>568965</v>
      </c>
      <c r="G344" s="406">
        <v>281589</v>
      </c>
      <c r="H344" s="524">
        <v>263651</v>
      </c>
      <c r="I344" s="530"/>
      <c r="J344" s="123"/>
      <c r="K344" s="123"/>
      <c r="L344" s="123"/>
      <c r="M344" s="123"/>
      <c r="N344" s="515"/>
    </row>
    <row r="345" spans="1:14" s="893" customFormat="1" ht="16.5">
      <c r="A345" s="908">
        <v>339</v>
      </c>
      <c r="B345" s="894"/>
      <c r="C345" s="895"/>
      <c r="D345" s="896" t="s">
        <v>403</v>
      </c>
      <c r="E345" s="897"/>
      <c r="F345" s="888"/>
      <c r="G345" s="888"/>
      <c r="H345" s="889"/>
      <c r="I345" s="890">
        <f t="shared" si="7"/>
        <v>87500</v>
      </c>
      <c r="J345" s="891"/>
      <c r="K345" s="891"/>
      <c r="L345" s="891">
        <v>87500</v>
      </c>
      <c r="M345" s="891"/>
      <c r="N345" s="892"/>
    </row>
    <row r="346" spans="1:14" s="42" customFormat="1" ht="16.5">
      <c r="A346" s="908">
        <v>340</v>
      </c>
      <c r="B346" s="126"/>
      <c r="C346" s="121"/>
      <c r="D346" s="122" t="s">
        <v>957</v>
      </c>
      <c r="E346" s="123"/>
      <c r="F346" s="406"/>
      <c r="G346" s="406"/>
      <c r="H346" s="524"/>
      <c r="I346" s="530">
        <f t="shared" si="7"/>
        <v>67048</v>
      </c>
      <c r="J346" s="124"/>
      <c r="K346" s="124"/>
      <c r="L346" s="124">
        <v>67048</v>
      </c>
      <c r="M346" s="124"/>
      <c r="N346" s="329"/>
    </row>
    <row r="347" spans="1:14" s="327" customFormat="1" ht="17.25">
      <c r="A347" s="908">
        <v>341</v>
      </c>
      <c r="B347" s="128"/>
      <c r="C347" s="336"/>
      <c r="D347" s="507" t="s">
        <v>1080</v>
      </c>
      <c r="E347" s="331"/>
      <c r="F347" s="408"/>
      <c r="G347" s="408"/>
      <c r="H347" s="525"/>
      <c r="I347" s="531">
        <f t="shared" si="7"/>
        <v>-36627</v>
      </c>
      <c r="J347" s="332"/>
      <c r="K347" s="332"/>
      <c r="L347" s="332">
        <v>-36627</v>
      </c>
      <c r="M347" s="332"/>
      <c r="N347" s="333"/>
    </row>
    <row r="348" spans="1:14" s="1500" customFormat="1" ht="17.25">
      <c r="A348" s="908">
        <v>342</v>
      </c>
      <c r="B348" s="337"/>
      <c r="C348" s="338"/>
      <c r="D348" s="334" t="s">
        <v>1067</v>
      </c>
      <c r="E348" s="335"/>
      <c r="F348" s="407"/>
      <c r="G348" s="407"/>
      <c r="H348" s="526"/>
      <c r="I348" s="532">
        <f t="shared" si="7"/>
        <v>30421</v>
      </c>
      <c r="J348" s="407">
        <f>SUM(J346:J347)</f>
        <v>0</v>
      </c>
      <c r="K348" s="407">
        <f>SUM(K346:K347)</f>
        <v>0</v>
      </c>
      <c r="L348" s="407">
        <f>SUM(L346:L347)</f>
        <v>30421</v>
      </c>
      <c r="M348" s="407">
        <f>SUM(M346:M347)</f>
        <v>0</v>
      </c>
      <c r="N348" s="514">
        <f>SUM(N346:N347)</f>
        <v>0</v>
      </c>
    </row>
    <row r="349" spans="1:14" s="42" customFormat="1" ht="25.5" customHeight="1">
      <c r="A349" s="908">
        <v>343</v>
      </c>
      <c r="B349" s="126"/>
      <c r="C349" s="121">
        <v>55</v>
      </c>
      <c r="D349" s="122" t="s">
        <v>95</v>
      </c>
      <c r="E349" s="123" t="s">
        <v>799</v>
      </c>
      <c r="F349" s="406">
        <v>2044</v>
      </c>
      <c r="G349" s="406"/>
      <c r="H349" s="524">
        <v>2387</v>
      </c>
      <c r="I349" s="530"/>
      <c r="J349" s="123"/>
      <c r="K349" s="123"/>
      <c r="L349" s="123"/>
      <c r="M349" s="123"/>
      <c r="N349" s="515"/>
    </row>
    <row r="350" spans="1:14" s="893" customFormat="1" ht="16.5">
      <c r="A350" s="908">
        <v>344</v>
      </c>
      <c r="B350" s="894"/>
      <c r="C350" s="895"/>
      <c r="D350" s="896" t="s">
        <v>403</v>
      </c>
      <c r="E350" s="897"/>
      <c r="F350" s="888"/>
      <c r="G350" s="888"/>
      <c r="H350" s="889"/>
      <c r="I350" s="890">
        <f t="shared" si="7"/>
        <v>3000</v>
      </c>
      <c r="J350" s="891">
        <v>1200</v>
      </c>
      <c r="K350" s="891">
        <v>324</v>
      </c>
      <c r="L350" s="891">
        <v>1476</v>
      </c>
      <c r="M350" s="891"/>
      <c r="N350" s="892"/>
    </row>
    <row r="351" spans="1:14" s="42" customFormat="1" ht="16.5">
      <c r="A351" s="908">
        <v>345</v>
      </c>
      <c r="B351" s="126"/>
      <c r="C351" s="121"/>
      <c r="D351" s="122" t="s">
        <v>957</v>
      </c>
      <c r="E351" s="123"/>
      <c r="F351" s="406"/>
      <c r="G351" s="406"/>
      <c r="H351" s="524"/>
      <c r="I351" s="530">
        <f t="shared" si="7"/>
        <v>3000</v>
      </c>
      <c r="J351" s="124">
        <v>1200</v>
      </c>
      <c r="K351" s="124">
        <v>324</v>
      </c>
      <c r="L351" s="124">
        <v>1476</v>
      </c>
      <c r="M351" s="124"/>
      <c r="N351" s="329"/>
    </row>
    <row r="352" spans="1:14" s="327" customFormat="1" ht="17.25">
      <c r="A352" s="908">
        <v>346</v>
      </c>
      <c r="B352" s="128"/>
      <c r="C352" s="336"/>
      <c r="D352" s="330" t="s">
        <v>405</v>
      </c>
      <c r="E352" s="331"/>
      <c r="F352" s="408"/>
      <c r="G352" s="408"/>
      <c r="H352" s="525"/>
      <c r="I352" s="531">
        <f t="shared" si="7"/>
        <v>0</v>
      </c>
      <c r="J352" s="332"/>
      <c r="K352" s="332"/>
      <c r="L352" s="332"/>
      <c r="M352" s="332"/>
      <c r="N352" s="333"/>
    </row>
    <row r="353" spans="1:14" s="1500" customFormat="1" ht="17.25">
      <c r="A353" s="908">
        <v>347</v>
      </c>
      <c r="B353" s="337"/>
      <c r="C353" s="338"/>
      <c r="D353" s="334" t="s">
        <v>1067</v>
      </c>
      <c r="E353" s="335"/>
      <c r="F353" s="407"/>
      <c r="G353" s="407"/>
      <c r="H353" s="526"/>
      <c r="I353" s="532">
        <f t="shared" si="7"/>
        <v>3000</v>
      </c>
      <c r="J353" s="407">
        <f>SUM(J351:J352)</f>
        <v>1200</v>
      </c>
      <c r="K353" s="407">
        <f>SUM(K351:K352)</f>
        <v>324</v>
      </c>
      <c r="L353" s="407">
        <f>SUM(L351:L352)</f>
        <v>1476</v>
      </c>
      <c r="M353" s="407">
        <f>SUM(M351:M352)</f>
        <v>0</v>
      </c>
      <c r="N353" s="514">
        <f>SUM(N351:N352)</f>
        <v>0</v>
      </c>
    </row>
    <row r="354" spans="1:14" s="42" customFormat="1" ht="25.5" customHeight="1">
      <c r="A354" s="908">
        <v>348</v>
      </c>
      <c r="B354" s="126"/>
      <c r="C354" s="121">
        <v>56</v>
      </c>
      <c r="D354" s="122" t="s">
        <v>378</v>
      </c>
      <c r="E354" s="123" t="s">
        <v>799</v>
      </c>
      <c r="F354" s="406">
        <v>2247</v>
      </c>
      <c r="G354" s="406">
        <v>1200</v>
      </c>
      <c r="H354" s="524">
        <v>1200</v>
      </c>
      <c r="I354" s="530"/>
      <c r="J354" s="123"/>
      <c r="K354" s="123"/>
      <c r="L354" s="123"/>
      <c r="M354" s="123"/>
      <c r="N354" s="515"/>
    </row>
    <row r="355" spans="1:14" s="893" customFormat="1" ht="16.5">
      <c r="A355" s="908">
        <v>349</v>
      </c>
      <c r="B355" s="894"/>
      <c r="C355" s="895"/>
      <c r="D355" s="896" t="s">
        <v>403</v>
      </c>
      <c r="E355" s="897"/>
      <c r="F355" s="888"/>
      <c r="G355" s="888"/>
      <c r="H355" s="889"/>
      <c r="I355" s="890">
        <f t="shared" si="7"/>
        <v>1200</v>
      </c>
      <c r="J355" s="891"/>
      <c r="K355" s="891"/>
      <c r="L355" s="891"/>
      <c r="M355" s="891"/>
      <c r="N355" s="892">
        <v>1200</v>
      </c>
    </row>
    <row r="356" spans="1:14" s="42" customFormat="1" ht="16.5">
      <c r="A356" s="908">
        <v>350</v>
      </c>
      <c r="B356" s="126"/>
      <c r="C356" s="121"/>
      <c r="D356" s="122" t="s">
        <v>957</v>
      </c>
      <c r="E356" s="123"/>
      <c r="F356" s="406"/>
      <c r="G356" s="406"/>
      <c r="H356" s="524"/>
      <c r="I356" s="530">
        <f t="shared" si="7"/>
        <v>1200</v>
      </c>
      <c r="J356" s="124"/>
      <c r="K356" s="124"/>
      <c r="L356" s="124"/>
      <c r="M356" s="124"/>
      <c r="N356" s="329">
        <v>1200</v>
      </c>
    </row>
    <row r="357" spans="1:14" s="327" customFormat="1" ht="17.25">
      <c r="A357" s="908">
        <v>351</v>
      </c>
      <c r="B357" s="128"/>
      <c r="C357" s="336"/>
      <c r="D357" s="330" t="s">
        <v>405</v>
      </c>
      <c r="E357" s="331"/>
      <c r="F357" s="408"/>
      <c r="G357" s="408"/>
      <c r="H357" s="525"/>
      <c r="I357" s="531">
        <f t="shared" si="7"/>
        <v>0</v>
      </c>
      <c r="J357" s="332"/>
      <c r="K357" s="332"/>
      <c r="L357" s="332"/>
      <c r="M357" s="332"/>
      <c r="N357" s="333"/>
    </row>
    <row r="358" spans="1:14" s="1500" customFormat="1" ht="17.25">
      <c r="A358" s="908">
        <v>352</v>
      </c>
      <c r="B358" s="337"/>
      <c r="C358" s="338"/>
      <c r="D358" s="334" t="s">
        <v>1067</v>
      </c>
      <c r="E358" s="335"/>
      <c r="F358" s="407"/>
      <c r="G358" s="407"/>
      <c r="H358" s="526"/>
      <c r="I358" s="532">
        <f t="shared" si="7"/>
        <v>1200</v>
      </c>
      <c r="J358" s="407">
        <f>SUM(J356:J357)</f>
        <v>0</v>
      </c>
      <c r="K358" s="407">
        <f>SUM(K356:K357)</f>
        <v>0</v>
      </c>
      <c r="L358" s="407">
        <f>SUM(L356:L357)</f>
        <v>0</v>
      </c>
      <c r="M358" s="407">
        <f>SUM(M356:M357)</f>
        <v>0</v>
      </c>
      <c r="N358" s="514">
        <f>SUM(N356:N357)</f>
        <v>1200</v>
      </c>
    </row>
    <row r="359" spans="1:14" s="42" customFormat="1" ht="30" customHeight="1">
      <c r="A359" s="908">
        <v>353</v>
      </c>
      <c r="B359" s="126"/>
      <c r="C359" s="121">
        <v>57</v>
      </c>
      <c r="D359" s="122" t="s">
        <v>166</v>
      </c>
      <c r="E359" s="123" t="s">
        <v>859</v>
      </c>
      <c r="F359" s="406"/>
      <c r="G359" s="406">
        <v>22860</v>
      </c>
      <c r="H359" s="524">
        <v>20955</v>
      </c>
      <c r="I359" s="530"/>
      <c r="J359" s="123"/>
      <c r="K359" s="123"/>
      <c r="L359" s="123"/>
      <c r="M359" s="123"/>
      <c r="N359" s="515"/>
    </row>
    <row r="360" spans="1:14" s="893" customFormat="1" ht="16.5">
      <c r="A360" s="908">
        <v>354</v>
      </c>
      <c r="B360" s="894"/>
      <c r="C360" s="895"/>
      <c r="D360" s="896" t="s">
        <v>403</v>
      </c>
      <c r="E360" s="897"/>
      <c r="F360" s="888"/>
      <c r="G360" s="888"/>
      <c r="H360" s="889"/>
      <c r="I360" s="890">
        <f t="shared" si="7"/>
        <v>22860</v>
      </c>
      <c r="J360" s="891"/>
      <c r="K360" s="891"/>
      <c r="L360" s="891">
        <v>22860</v>
      </c>
      <c r="M360" s="891"/>
      <c r="N360" s="892"/>
    </row>
    <row r="361" spans="1:14" s="42" customFormat="1" ht="16.5">
      <c r="A361" s="908">
        <v>355</v>
      </c>
      <c r="B361" s="126"/>
      <c r="C361" s="121"/>
      <c r="D361" s="122" t="s">
        <v>957</v>
      </c>
      <c r="E361" s="123"/>
      <c r="F361" s="406"/>
      <c r="G361" s="406"/>
      <c r="H361" s="524"/>
      <c r="I361" s="530">
        <f t="shared" si="7"/>
        <v>24765</v>
      </c>
      <c r="J361" s="124"/>
      <c r="K361" s="124"/>
      <c r="L361" s="124">
        <v>24765</v>
      </c>
      <c r="M361" s="124"/>
      <c r="N361" s="329"/>
    </row>
    <row r="362" spans="1:14" s="327" customFormat="1" ht="17.25">
      <c r="A362" s="908">
        <v>356</v>
      </c>
      <c r="B362" s="128"/>
      <c r="C362" s="336"/>
      <c r="D362" s="330" t="s">
        <v>405</v>
      </c>
      <c r="E362" s="331"/>
      <c r="F362" s="408"/>
      <c r="G362" s="408"/>
      <c r="H362" s="525"/>
      <c r="I362" s="531">
        <f t="shared" si="7"/>
        <v>0</v>
      </c>
      <c r="J362" s="332"/>
      <c r="K362" s="332"/>
      <c r="L362" s="332"/>
      <c r="M362" s="332"/>
      <c r="N362" s="333"/>
    </row>
    <row r="363" spans="1:14" s="1500" customFormat="1" ht="17.25">
      <c r="A363" s="908">
        <v>357</v>
      </c>
      <c r="B363" s="337"/>
      <c r="C363" s="338"/>
      <c r="D363" s="334" t="s">
        <v>1067</v>
      </c>
      <c r="E363" s="335"/>
      <c r="F363" s="407"/>
      <c r="G363" s="407"/>
      <c r="H363" s="526"/>
      <c r="I363" s="532">
        <f t="shared" si="7"/>
        <v>24765</v>
      </c>
      <c r="J363" s="407">
        <f>SUM(J361:J362)</f>
        <v>0</v>
      </c>
      <c r="K363" s="407">
        <f>SUM(K361:K362)</f>
        <v>0</v>
      </c>
      <c r="L363" s="407">
        <f>SUM(L361:L362)</f>
        <v>24765</v>
      </c>
      <c r="M363" s="407">
        <f>SUM(M361:M362)</f>
        <v>0</v>
      </c>
      <c r="N363" s="514">
        <f>SUM(N361:N362)</f>
        <v>0</v>
      </c>
    </row>
    <row r="364" spans="1:14" s="42" customFormat="1" ht="30" customHeight="1">
      <c r="A364" s="908">
        <v>358</v>
      </c>
      <c r="B364" s="126"/>
      <c r="C364" s="121">
        <v>58</v>
      </c>
      <c r="D364" s="122" t="s">
        <v>33</v>
      </c>
      <c r="E364" s="123" t="s">
        <v>859</v>
      </c>
      <c r="F364" s="406"/>
      <c r="G364" s="406">
        <v>230897</v>
      </c>
      <c r="H364" s="524">
        <v>222353</v>
      </c>
      <c r="I364" s="530"/>
      <c r="J364" s="123"/>
      <c r="K364" s="123"/>
      <c r="L364" s="123"/>
      <c r="M364" s="123"/>
      <c r="N364" s="515"/>
    </row>
    <row r="365" spans="1:14" s="893" customFormat="1" ht="16.5">
      <c r="A365" s="908">
        <v>359</v>
      </c>
      <c r="B365" s="894"/>
      <c r="C365" s="895"/>
      <c r="D365" s="896" t="s">
        <v>403</v>
      </c>
      <c r="E365" s="897"/>
      <c r="F365" s="888"/>
      <c r="G365" s="888"/>
      <c r="H365" s="889"/>
      <c r="I365" s="890">
        <f t="shared" si="7"/>
        <v>289200</v>
      </c>
      <c r="J365" s="891"/>
      <c r="K365" s="891"/>
      <c r="L365" s="891">
        <v>289200</v>
      </c>
      <c r="M365" s="891"/>
      <c r="N365" s="892"/>
    </row>
    <row r="366" spans="1:14" s="42" customFormat="1" ht="16.5">
      <c r="A366" s="908">
        <v>360</v>
      </c>
      <c r="B366" s="126"/>
      <c r="C366" s="121"/>
      <c r="D366" s="122" t="s">
        <v>957</v>
      </c>
      <c r="E366" s="123"/>
      <c r="F366" s="406"/>
      <c r="G366" s="406"/>
      <c r="H366" s="524"/>
      <c r="I366" s="530">
        <f t="shared" si="7"/>
        <v>297744</v>
      </c>
      <c r="J366" s="124"/>
      <c r="K366" s="124"/>
      <c r="L366" s="124">
        <v>297744</v>
      </c>
      <c r="M366" s="124"/>
      <c r="N366" s="329"/>
    </row>
    <row r="367" spans="1:14" s="327" customFormat="1" ht="17.25">
      <c r="A367" s="908">
        <v>361</v>
      </c>
      <c r="B367" s="128"/>
      <c r="C367" s="336"/>
      <c r="D367" s="330" t="s">
        <v>405</v>
      </c>
      <c r="E367" s="331"/>
      <c r="F367" s="408"/>
      <c r="G367" s="408"/>
      <c r="H367" s="525"/>
      <c r="I367" s="531">
        <f t="shared" si="7"/>
        <v>0</v>
      </c>
      <c r="J367" s="332"/>
      <c r="K367" s="332"/>
      <c r="L367" s="332"/>
      <c r="M367" s="332"/>
      <c r="N367" s="333"/>
    </row>
    <row r="368" spans="1:14" s="1500" customFormat="1" ht="17.25">
      <c r="A368" s="908">
        <v>362</v>
      </c>
      <c r="B368" s="337"/>
      <c r="C368" s="338"/>
      <c r="D368" s="334" t="s">
        <v>1067</v>
      </c>
      <c r="E368" s="335"/>
      <c r="F368" s="407"/>
      <c r="G368" s="407"/>
      <c r="H368" s="526"/>
      <c r="I368" s="532">
        <f t="shared" si="7"/>
        <v>297744</v>
      </c>
      <c r="J368" s="407">
        <f>SUM(J366:J367)</f>
        <v>0</v>
      </c>
      <c r="K368" s="407">
        <f>SUM(K366:K367)</f>
        <v>0</v>
      </c>
      <c r="L368" s="407">
        <f>SUM(L366:L367)</f>
        <v>297744</v>
      </c>
      <c r="M368" s="407">
        <f>SUM(M366:M367)</f>
        <v>0</v>
      </c>
      <c r="N368" s="514">
        <f>SUM(N366:N367)</f>
        <v>0</v>
      </c>
    </row>
    <row r="369" spans="1:14" s="42" customFormat="1" ht="30" customHeight="1">
      <c r="A369" s="908">
        <v>363</v>
      </c>
      <c r="B369" s="126"/>
      <c r="C369" s="121">
        <v>59</v>
      </c>
      <c r="D369" s="122" t="s">
        <v>773</v>
      </c>
      <c r="E369" s="123" t="s">
        <v>859</v>
      </c>
      <c r="F369" s="406"/>
      <c r="G369" s="406">
        <v>500000</v>
      </c>
      <c r="H369" s="524">
        <f>686819-273</f>
        <v>686546</v>
      </c>
      <c r="I369" s="530"/>
      <c r="J369" s="123"/>
      <c r="K369" s="123"/>
      <c r="L369" s="123"/>
      <c r="M369" s="123"/>
      <c r="N369" s="515"/>
    </row>
    <row r="370" spans="1:14" s="893" customFormat="1" ht="16.5">
      <c r="A370" s="908">
        <v>364</v>
      </c>
      <c r="B370" s="894"/>
      <c r="C370" s="895"/>
      <c r="D370" s="896" t="s">
        <v>403</v>
      </c>
      <c r="E370" s="897"/>
      <c r="F370" s="888"/>
      <c r="G370" s="888"/>
      <c r="H370" s="889"/>
      <c r="I370" s="890">
        <f t="shared" si="7"/>
        <v>550000</v>
      </c>
      <c r="J370" s="891"/>
      <c r="K370" s="891"/>
      <c r="L370" s="891">
        <v>550000</v>
      </c>
      <c r="M370" s="891"/>
      <c r="N370" s="892"/>
    </row>
    <row r="371" spans="1:14" s="42" customFormat="1" ht="16.5">
      <c r="A371" s="908">
        <v>365</v>
      </c>
      <c r="B371" s="126"/>
      <c r="C371" s="121"/>
      <c r="D371" s="122" t="s">
        <v>957</v>
      </c>
      <c r="E371" s="123"/>
      <c r="F371" s="406"/>
      <c r="G371" s="406"/>
      <c r="H371" s="524"/>
      <c r="I371" s="530">
        <f t="shared" si="7"/>
        <v>550000</v>
      </c>
      <c r="J371" s="124"/>
      <c r="K371" s="124"/>
      <c r="L371" s="124">
        <v>550000</v>
      </c>
      <c r="M371" s="124"/>
      <c r="N371" s="329"/>
    </row>
    <row r="372" spans="1:14" s="327" customFormat="1" ht="17.25">
      <c r="A372" s="908">
        <v>366</v>
      </c>
      <c r="B372" s="128"/>
      <c r="C372" s="336"/>
      <c r="D372" s="330" t="s">
        <v>1080</v>
      </c>
      <c r="E372" s="331"/>
      <c r="F372" s="408"/>
      <c r="G372" s="408"/>
      <c r="H372" s="525"/>
      <c r="I372" s="531">
        <f t="shared" si="7"/>
        <v>123000</v>
      </c>
      <c r="J372" s="332"/>
      <c r="K372" s="332"/>
      <c r="L372" s="332">
        <v>123000</v>
      </c>
      <c r="M372" s="332"/>
      <c r="N372" s="333"/>
    </row>
    <row r="373" spans="1:14" s="1500" customFormat="1" ht="17.25">
      <c r="A373" s="908">
        <v>367</v>
      </c>
      <c r="B373" s="337"/>
      <c r="C373" s="338"/>
      <c r="D373" s="334" t="s">
        <v>1067</v>
      </c>
      <c r="E373" s="335"/>
      <c r="F373" s="407"/>
      <c r="G373" s="407"/>
      <c r="H373" s="526"/>
      <c r="I373" s="532">
        <f t="shared" si="7"/>
        <v>673000</v>
      </c>
      <c r="J373" s="407">
        <f>SUM(J371:J372)</f>
        <v>0</v>
      </c>
      <c r="K373" s="407">
        <f>SUM(K371:K372)</f>
        <v>0</v>
      </c>
      <c r="L373" s="407">
        <f>SUM(L371:L372)</f>
        <v>673000</v>
      </c>
      <c r="M373" s="407">
        <f>SUM(M371:M372)</f>
        <v>0</v>
      </c>
      <c r="N373" s="514">
        <f>SUM(N371:N372)</f>
        <v>0</v>
      </c>
    </row>
    <row r="374" spans="1:14" s="42" customFormat="1" ht="30" customHeight="1">
      <c r="A374" s="908">
        <v>368</v>
      </c>
      <c r="B374" s="126"/>
      <c r="C374" s="121">
        <v>60</v>
      </c>
      <c r="D374" s="122" t="s">
        <v>167</v>
      </c>
      <c r="E374" s="123" t="s">
        <v>859</v>
      </c>
      <c r="F374" s="406"/>
      <c r="G374" s="406">
        <v>18500</v>
      </c>
      <c r="H374" s="524">
        <v>18144</v>
      </c>
      <c r="I374" s="530"/>
      <c r="J374" s="123"/>
      <c r="K374" s="123"/>
      <c r="L374" s="123"/>
      <c r="M374" s="123"/>
      <c r="N374" s="515"/>
    </row>
    <row r="375" spans="1:14" s="893" customFormat="1" ht="16.5">
      <c r="A375" s="908">
        <v>369</v>
      </c>
      <c r="B375" s="894"/>
      <c r="C375" s="895"/>
      <c r="D375" s="896" t="s">
        <v>403</v>
      </c>
      <c r="E375" s="897"/>
      <c r="F375" s="888"/>
      <c r="G375" s="888"/>
      <c r="H375" s="889"/>
      <c r="I375" s="890">
        <f t="shared" si="7"/>
        <v>19200</v>
      </c>
      <c r="J375" s="891"/>
      <c r="K375" s="891"/>
      <c r="L375" s="891">
        <v>19200</v>
      </c>
      <c r="M375" s="891"/>
      <c r="N375" s="892"/>
    </row>
    <row r="376" spans="1:14" s="42" customFormat="1" ht="16.5">
      <c r="A376" s="908">
        <v>370</v>
      </c>
      <c r="B376" s="126"/>
      <c r="C376" s="121"/>
      <c r="D376" s="122" t="s">
        <v>957</v>
      </c>
      <c r="E376" s="123"/>
      <c r="F376" s="406"/>
      <c r="G376" s="406"/>
      <c r="H376" s="524"/>
      <c r="I376" s="530">
        <f t="shared" si="7"/>
        <v>19145</v>
      </c>
      <c r="J376" s="124"/>
      <c r="K376" s="124"/>
      <c r="L376" s="124">
        <v>19145</v>
      </c>
      <c r="M376" s="124"/>
      <c r="N376" s="329"/>
    </row>
    <row r="377" spans="1:14" s="327" customFormat="1" ht="17.25">
      <c r="A377" s="908">
        <v>371</v>
      </c>
      <c r="B377" s="128"/>
      <c r="C377" s="336"/>
      <c r="D377" s="330" t="s">
        <v>405</v>
      </c>
      <c r="E377" s="331"/>
      <c r="F377" s="408"/>
      <c r="G377" s="408"/>
      <c r="H377" s="525"/>
      <c r="I377" s="531">
        <f t="shared" si="7"/>
        <v>0</v>
      </c>
      <c r="J377" s="332"/>
      <c r="K377" s="332"/>
      <c r="L377" s="332"/>
      <c r="M377" s="332"/>
      <c r="N377" s="333"/>
    </row>
    <row r="378" spans="1:14" s="1500" customFormat="1" ht="17.25">
      <c r="A378" s="908">
        <v>372</v>
      </c>
      <c r="B378" s="337"/>
      <c r="C378" s="338"/>
      <c r="D378" s="334" t="s">
        <v>1067</v>
      </c>
      <c r="E378" s="335"/>
      <c r="F378" s="407"/>
      <c r="G378" s="407"/>
      <c r="H378" s="526"/>
      <c r="I378" s="532">
        <f t="shared" si="7"/>
        <v>19145</v>
      </c>
      <c r="J378" s="407">
        <f>SUM(J376:J377)</f>
        <v>0</v>
      </c>
      <c r="K378" s="407">
        <f>SUM(K376:K377)</f>
        <v>0</v>
      </c>
      <c r="L378" s="407">
        <f>SUM(L376:L377)</f>
        <v>19145</v>
      </c>
      <c r="M378" s="407">
        <f>SUM(M376:M377)</f>
        <v>0</v>
      </c>
      <c r="N378" s="514">
        <f>SUM(N376:N377)</f>
        <v>0</v>
      </c>
    </row>
    <row r="379" spans="1:14" s="42" customFormat="1" ht="30" customHeight="1">
      <c r="A379" s="908">
        <v>373</v>
      </c>
      <c r="B379" s="126"/>
      <c r="C379" s="121">
        <v>61</v>
      </c>
      <c r="D379" s="122" t="s">
        <v>415</v>
      </c>
      <c r="E379" s="123" t="s">
        <v>859</v>
      </c>
      <c r="F379" s="406">
        <v>20000</v>
      </c>
      <c r="G379" s="406">
        <v>20000</v>
      </c>
      <c r="H379" s="524">
        <v>20000</v>
      </c>
      <c r="I379" s="530"/>
      <c r="J379" s="123"/>
      <c r="K379" s="123"/>
      <c r="L379" s="123"/>
      <c r="M379" s="123"/>
      <c r="N379" s="515"/>
    </row>
    <row r="380" spans="1:14" s="893" customFormat="1" ht="16.5">
      <c r="A380" s="908">
        <v>374</v>
      </c>
      <c r="B380" s="894"/>
      <c r="C380" s="895"/>
      <c r="D380" s="896" t="s">
        <v>403</v>
      </c>
      <c r="E380" s="897"/>
      <c r="F380" s="888"/>
      <c r="G380" s="888"/>
      <c r="H380" s="889"/>
      <c r="I380" s="890">
        <f t="shared" si="7"/>
        <v>23000</v>
      </c>
      <c r="J380" s="891"/>
      <c r="K380" s="891"/>
      <c r="L380" s="891">
        <v>23000</v>
      </c>
      <c r="M380" s="891"/>
      <c r="N380" s="892"/>
    </row>
    <row r="381" spans="1:14" s="42" customFormat="1" ht="16.5">
      <c r="A381" s="908">
        <v>375</v>
      </c>
      <c r="B381" s="126"/>
      <c r="C381" s="121"/>
      <c r="D381" s="122" t="s">
        <v>957</v>
      </c>
      <c r="E381" s="123"/>
      <c r="F381" s="406"/>
      <c r="G381" s="406"/>
      <c r="H381" s="524"/>
      <c r="I381" s="530">
        <f t="shared" si="7"/>
        <v>23000</v>
      </c>
      <c r="J381" s="124"/>
      <c r="K381" s="124"/>
      <c r="L381" s="124"/>
      <c r="M381" s="124"/>
      <c r="N381" s="329">
        <v>23000</v>
      </c>
    </row>
    <row r="382" spans="1:14" s="327" customFormat="1" ht="17.25">
      <c r="A382" s="908">
        <v>376</v>
      </c>
      <c r="B382" s="128"/>
      <c r="C382" s="336"/>
      <c r="D382" s="330" t="s">
        <v>405</v>
      </c>
      <c r="E382" s="331"/>
      <c r="F382" s="408"/>
      <c r="G382" s="408"/>
      <c r="H382" s="525"/>
      <c r="I382" s="531">
        <f t="shared" si="7"/>
        <v>0</v>
      </c>
      <c r="J382" s="332"/>
      <c r="K382" s="332"/>
      <c r="L382" s="332"/>
      <c r="M382" s="332"/>
      <c r="N382" s="333"/>
    </row>
    <row r="383" spans="1:14" s="1500" customFormat="1" ht="17.25">
      <c r="A383" s="908">
        <v>377</v>
      </c>
      <c r="B383" s="337"/>
      <c r="C383" s="338"/>
      <c r="D383" s="334" t="s">
        <v>1067</v>
      </c>
      <c r="E383" s="335"/>
      <c r="F383" s="407"/>
      <c r="G383" s="407"/>
      <c r="H383" s="526"/>
      <c r="I383" s="532">
        <f t="shared" si="7"/>
        <v>23000</v>
      </c>
      <c r="J383" s="407">
        <f>SUM(J381:J382)</f>
        <v>0</v>
      </c>
      <c r="K383" s="407">
        <f>SUM(K381:K382)</f>
        <v>0</v>
      </c>
      <c r="L383" s="407">
        <f>SUM(L381:L382)</f>
        <v>0</v>
      </c>
      <c r="M383" s="407">
        <f>SUM(M381:M382)</f>
        <v>0</v>
      </c>
      <c r="N383" s="514">
        <f>SUM(N381:N382)</f>
        <v>23000</v>
      </c>
    </row>
    <row r="384" spans="1:14" s="42" customFormat="1" ht="30" customHeight="1">
      <c r="A384" s="908">
        <v>378</v>
      </c>
      <c r="B384" s="126"/>
      <c r="C384" s="121">
        <v>62</v>
      </c>
      <c r="D384" s="122" t="s">
        <v>774</v>
      </c>
      <c r="E384" s="123" t="s">
        <v>859</v>
      </c>
      <c r="F384" s="406"/>
      <c r="G384" s="406"/>
      <c r="H384" s="524"/>
      <c r="I384" s="530"/>
      <c r="J384" s="123"/>
      <c r="K384" s="123"/>
      <c r="L384" s="123"/>
      <c r="M384" s="123"/>
      <c r="N384" s="515"/>
    </row>
    <row r="385" spans="1:14" s="893" customFormat="1" ht="16.5">
      <c r="A385" s="908">
        <v>379</v>
      </c>
      <c r="B385" s="894"/>
      <c r="C385" s="895"/>
      <c r="D385" s="896" t="s">
        <v>403</v>
      </c>
      <c r="E385" s="897"/>
      <c r="F385" s="888"/>
      <c r="G385" s="888"/>
      <c r="H385" s="889"/>
      <c r="I385" s="890">
        <f t="shared" si="7"/>
        <v>50000</v>
      </c>
      <c r="J385" s="891"/>
      <c r="K385" s="891"/>
      <c r="L385" s="891"/>
      <c r="M385" s="891"/>
      <c r="N385" s="892">
        <v>50000</v>
      </c>
    </row>
    <row r="386" spans="1:14" s="42" customFormat="1" ht="16.5">
      <c r="A386" s="908">
        <v>380</v>
      </c>
      <c r="B386" s="126"/>
      <c r="C386" s="121"/>
      <c r="D386" s="122" t="s">
        <v>957</v>
      </c>
      <c r="E386" s="123"/>
      <c r="F386" s="406"/>
      <c r="G386" s="406"/>
      <c r="H386" s="524"/>
      <c r="I386" s="530">
        <f t="shared" si="7"/>
        <v>50000</v>
      </c>
      <c r="J386" s="124"/>
      <c r="K386" s="124"/>
      <c r="L386" s="124"/>
      <c r="M386" s="124"/>
      <c r="N386" s="329">
        <v>50000</v>
      </c>
    </row>
    <row r="387" spans="1:14" s="327" customFormat="1" ht="17.25">
      <c r="A387" s="908">
        <v>381</v>
      </c>
      <c r="B387" s="128"/>
      <c r="C387" s="336"/>
      <c r="D387" s="330" t="s">
        <v>405</v>
      </c>
      <c r="E387" s="331"/>
      <c r="F387" s="408"/>
      <c r="G387" s="408"/>
      <c r="H387" s="525"/>
      <c r="I387" s="531">
        <f t="shared" si="7"/>
        <v>0</v>
      </c>
      <c r="J387" s="332"/>
      <c r="K387" s="332"/>
      <c r="L387" s="332"/>
      <c r="M387" s="332"/>
      <c r="N387" s="333"/>
    </row>
    <row r="388" spans="1:14" s="1500" customFormat="1" ht="17.25">
      <c r="A388" s="908">
        <v>382</v>
      </c>
      <c r="B388" s="337"/>
      <c r="C388" s="338"/>
      <c r="D388" s="334" t="s">
        <v>1067</v>
      </c>
      <c r="E388" s="335"/>
      <c r="F388" s="407"/>
      <c r="G388" s="407"/>
      <c r="H388" s="526"/>
      <c r="I388" s="532">
        <f t="shared" si="7"/>
        <v>50000</v>
      </c>
      <c r="J388" s="407">
        <f>SUM(J386:J387)</f>
        <v>0</v>
      </c>
      <c r="K388" s="407">
        <f>SUM(K386:K387)</f>
        <v>0</v>
      </c>
      <c r="L388" s="407">
        <f>SUM(L386:L387)</f>
        <v>0</v>
      </c>
      <c r="M388" s="407">
        <f>SUM(M386:M387)</f>
        <v>0</v>
      </c>
      <c r="N388" s="514">
        <f>SUM(N386:N387)</f>
        <v>50000</v>
      </c>
    </row>
    <row r="389" spans="1:14" s="42" customFormat="1" ht="25.5" customHeight="1">
      <c r="A389" s="908">
        <v>383</v>
      </c>
      <c r="B389" s="126"/>
      <c r="C389" s="121">
        <v>63</v>
      </c>
      <c r="D389" s="122" t="s">
        <v>775</v>
      </c>
      <c r="E389" s="123" t="s">
        <v>859</v>
      </c>
      <c r="F389" s="406"/>
      <c r="G389" s="406">
        <v>250000</v>
      </c>
      <c r="H389" s="524">
        <v>291122</v>
      </c>
      <c r="I389" s="530"/>
      <c r="J389" s="123"/>
      <c r="K389" s="123"/>
      <c r="L389" s="123"/>
      <c r="M389" s="123"/>
      <c r="N389" s="515"/>
    </row>
    <row r="390" spans="1:14" s="893" customFormat="1" ht="16.5">
      <c r="A390" s="908">
        <v>384</v>
      </c>
      <c r="B390" s="894"/>
      <c r="C390" s="895"/>
      <c r="D390" s="896" t="s">
        <v>403</v>
      </c>
      <c r="E390" s="897"/>
      <c r="F390" s="888"/>
      <c r="G390" s="888"/>
      <c r="H390" s="889"/>
      <c r="I390" s="890">
        <f t="shared" si="7"/>
        <v>250000</v>
      </c>
      <c r="J390" s="891"/>
      <c r="K390" s="891"/>
      <c r="L390" s="891">
        <v>250000</v>
      </c>
      <c r="M390" s="891"/>
      <c r="N390" s="892"/>
    </row>
    <row r="391" spans="1:14" s="42" customFormat="1" ht="16.5">
      <c r="A391" s="908">
        <v>385</v>
      </c>
      <c r="B391" s="126"/>
      <c r="C391" s="121"/>
      <c r="D391" s="122" t="s">
        <v>957</v>
      </c>
      <c r="E391" s="123"/>
      <c r="F391" s="406"/>
      <c r="G391" s="406"/>
      <c r="H391" s="524"/>
      <c r="I391" s="530">
        <f t="shared" si="7"/>
        <v>334735</v>
      </c>
      <c r="J391" s="124"/>
      <c r="K391" s="124"/>
      <c r="L391" s="124">
        <v>0</v>
      </c>
      <c r="M391" s="124"/>
      <c r="N391" s="329">
        <v>334735</v>
      </c>
    </row>
    <row r="392" spans="1:14" s="327" customFormat="1" ht="17.25">
      <c r="A392" s="908">
        <v>386</v>
      </c>
      <c r="B392" s="128"/>
      <c r="C392" s="336"/>
      <c r="D392" s="507" t="s">
        <v>405</v>
      </c>
      <c r="E392" s="331"/>
      <c r="F392" s="408"/>
      <c r="G392" s="408"/>
      <c r="H392" s="525"/>
      <c r="I392" s="531">
        <f t="shared" si="7"/>
        <v>0</v>
      </c>
      <c r="J392" s="332"/>
      <c r="K392" s="332"/>
      <c r="L392" s="332"/>
      <c r="M392" s="332"/>
      <c r="N392" s="333"/>
    </row>
    <row r="393" spans="1:14" s="1500" customFormat="1" ht="17.25">
      <c r="A393" s="908">
        <v>387</v>
      </c>
      <c r="B393" s="337"/>
      <c r="C393" s="338"/>
      <c r="D393" s="334" t="s">
        <v>1067</v>
      </c>
      <c r="E393" s="335"/>
      <c r="F393" s="407"/>
      <c r="G393" s="407"/>
      <c r="H393" s="526"/>
      <c r="I393" s="532">
        <f t="shared" si="7"/>
        <v>334735</v>
      </c>
      <c r="J393" s="407">
        <f>SUM(J391:J392)</f>
        <v>0</v>
      </c>
      <c r="K393" s="407">
        <f>SUM(K391:K392)</f>
        <v>0</v>
      </c>
      <c r="L393" s="407">
        <f>SUM(L391:L392)</f>
        <v>0</v>
      </c>
      <c r="M393" s="407">
        <f>SUM(M391:M392)</f>
        <v>0</v>
      </c>
      <c r="N393" s="514">
        <f>SUM(N391:N392)</f>
        <v>334735</v>
      </c>
    </row>
    <row r="394" spans="1:14" s="42" customFormat="1" ht="25.5" customHeight="1">
      <c r="A394" s="908">
        <v>388</v>
      </c>
      <c r="B394" s="126"/>
      <c r="C394" s="121">
        <v>64</v>
      </c>
      <c r="D394" s="122" t="s">
        <v>181</v>
      </c>
      <c r="E394" s="123" t="s">
        <v>799</v>
      </c>
      <c r="F394" s="406">
        <v>41814</v>
      </c>
      <c r="G394" s="406">
        <v>24355</v>
      </c>
      <c r="H394" s="524">
        <v>24355</v>
      </c>
      <c r="I394" s="530"/>
      <c r="J394" s="123"/>
      <c r="K394" s="123"/>
      <c r="L394" s="123"/>
      <c r="M394" s="123"/>
      <c r="N394" s="515"/>
    </row>
    <row r="395" spans="1:14" s="893" customFormat="1" ht="16.5">
      <c r="A395" s="908">
        <v>389</v>
      </c>
      <c r="B395" s="894"/>
      <c r="C395" s="895"/>
      <c r="D395" s="896" t="s">
        <v>403</v>
      </c>
      <c r="E395" s="897"/>
      <c r="F395" s="888"/>
      <c r="G395" s="888"/>
      <c r="H395" s="889"/>
      <c r="I395" s="890">
        <f t="shared" si="7"/>
        <v>26055</v>
      </c>
      <c r="J395" s="891"/>
      <c r="K395" s="891"/>
      <c r="L395" s="891">
        <v>26055</v>
      </c>
      <c r="M395" s="891"/>
      <c r="N395" s="892"/>
    </row>
    <row r="396" spans="1:14" s="42" customFormat="1" ht="16.5">
      <c r="A396" s="908">
        <v>390</v>
      </c>
      <c r="B396" s="126"/>
      <c r="C396" s="121"/>
      <c r="D396" s="122" t="s">
        <v>957</v>
      </c>
      <c r="E396" s="123"/>
      <c r="F396" s="406"/>
      <c r="G396" s="406"/>
      <c r="H396" s="524"/>
      <c r="I396" s="530">
        <f t="shared" si="7"/>
        <v>26055</v>
      </c>
      <c r="J396" s="124"/>
      <c r="K396" s="124"/>
      <c r="L396" s="124"/>
      <c r="M396" s="124"/>
      <c r="N396" s="329">
        <v>26055</v>
      </c>
    </row>
    <row r="397" spans="1:14" s="327" customFormat="1" ht="17.25">
      <c r="A397" s="908">
        <v>391</v>
      </c>
      <c r="B397" s="128"/>
      <c r="C397" s="336"/>
      <c r="D397" s="330" t="s">
        <v>405</v>
      </c>
      <c r="E397" s="331"/>
      <c r="F397" s="408"/>
      <c r="G397" s="408"/>
      <c r="H397" s="525"/>
      <c r="I397" s="531">
        <f t="shared" si="7"/>
        <v>0</v>
      </c>
      <c r="J397" s="332"/>
      <c r="K397" s="332"/>
      <c r="L397" s="332"/>
      <c r="M397" s="332"/>
      <c r="N397" s="333"/>
    </row>
    <row r="398" spans="1:14" s="1500" customFormat="1" ht="17.25">
      <c r="A398" s="908">
        <v>392</v>
      </c>
      <c r="B398" s="337"/>
      <c r="C398" s="338"/>
      <c r="D398" s="334" t="s">
        <v>1067</v>
      </c>
      <c r="E398" s="335"/>
      <c r="F398" s="407"/>
      <c r="G398" s="407"/>
      <c r="H398" s="526"/>
      <c r="I398" s="532">
        <f t="shared" si="7"/>
        <v>26055</v>
      </c>
      <c r="J398" s="407">
        <f>SUM(J396:J397)</f>
        <v>0</v>
      </c>
      <c r="K398" s="407">
        <f>SUM(K396:K397)</f>
        <v>0</v>
      </c>
      <c r="L398" s="407">
        <f>SUM(L396:L397)</f>
        <v>0</v>
      </c>
      <c r="M398" s="407">
        <f>SUM(M396:M397)</f>
        <v>0</v>
      </c>
      <c r="N398" s="514">
        <f>SUM(N396:N397)</f>
        <v>26055</v>
      </c>
    </row>
    <row r="399" spans="1:14" s="42" customFormat="1" ht="30" customHeight="1">
      <c r="A399" s="908">
        <v>393</v>
      </c>
      <c r="B399" s="126"/>
      <c r="C399" s="121">
        <v>65</v>
      </c>
      <c r="D399" s="122" t="s">
        <v>102</v>
      </c>
      <c r="E399" s="123" t="s">
        <v>799</v>
      </c>
      <c r="F399" s="406">
        <v>50000</v>
      </c>
      <c r="G399" s="406">
        <v>45000</v>
      </c>
      <c r="H399" s="524">
        <v>45000</v>
      </c>
      <c r="I399" s="530"/>
      <c r="J399" s="123"/>
      <c r="K399" s="123"/>
      <c r="L399" s="123"/>
      <c r="M399" s="123"/>
      <c r="N399" s="515"/>
    </row>
    <row r="400" spans="1:14" s="893" customFormat="1" ht="16.5">
      <c r="A400" s="908">
        <v>394</v>
      </c>
      <c r="B400" s="894"/>
      <c r="C400" s="895"/>
      <c r="D400" s="896" t="s">
        <v>403</v>
      </c>
      <c r="E400" s="897"/>
      <c r="F400" s="888"/>
      <c r="G400" s="888"/>
      <c r="H400" s="889"/>
      <c r="I400" s="890">
        <f t="shared" si="7"/>
        <v>50000</v>
      </c>
      <c r="J400" s="891"/>
      <c r="K400" s="891"/>
      <c r="L400" s="891">
        <v>50000</v>
      </c>
      <c r="M400" s="891"/>
      <c r="N400" s="892"/>
    </row>
    <row r="401" spans="1:14" s="42" customFormat="1" ht="16.5">
      <c r="A401" s="908">
        <v>395</v>
      </c>
      <c r="B401" s="126"/>
      <c r="C401" s="121"/>
      <c r="D401" s="122" t="s">
        <v>957</v>
      </c>
      <c r="E401" s="123"/>
      <c r="F401" s="406"/>
      <c r="G401" s="406"/>
      <c r="H401" s="524"/>
      <c r="I401" s="530">
        <f t="shared" si="7"/>
        <v>50000</v>
      </c>
      <c r="J401" s="124"/>
      <c r="K401" s="124"/>
      <c r="L401" s="124"/>
      <c r="M401" s="124"/>
      <c r="N401" s="329">
        <v>50000</v>
      </c>
    </row>
    <row r="402" spans="1:14" s="327" customFormat="1" ht="17.25">
      <c r="A402" s="908">
        <v>396</v>
      </c>
      <c r="B402" s="128"/>
      <c r="C402" s="336"/>
      <c r="D402" s="330" t="s">
        <v>405</v>
      </c>
      <c r="E402" s="331"/>
      <c r="F402" s="408"/>
      <c r="G402" s="408"/>
      <c r="H402" s="525"/>
      <c r="I402" s="531">
        <f t="shared" si="7"/>
        <v>0</v>
      </c>
      <c r="J402" s="332"/>
      <c r="K402" s="332"/>
      <c r="L402" s="332"/>
      <c r="M402" s="332"/>
      <c r="N402" s="333"/>
    </row>
    <row r="403" spans="1:14" s="1500" customFormat="1" ht="17.25">
      <c r="A403" s="908">
        <v>397</v>
      </c>
      <c r="B403" s="337"/>
      <c r="C403" s="338"/>
      <c r="D403" s="334" t="s">
        <v>1067</v>
      </c>
      <c r="E403" s="335"/>
      <c r="F403" s="407"/>
      <c r="G403" s="407"/>
      <c r="H403" s="526"/>
      <c r="I403" s="532">
        <f t="shared" si="7"/>
        <v>50000</v>
      </c>
      <c r="J403" s="407">
        <f>SUM(J401:J402)</f>
        <v>0</v>
      </c>
      <c r="K403" s="407">
        <f>SUM(K401:K402)</f>
        <v>0</v>
      </c>
      <c r="L403" s="407">
        <f>SUM(L401:L402)</f>
        <v>0</v>
      </c>
      <c r="M403" s="407">
        <f>SUM(M401:M402)</f>
        <v>0</v>
      </c>
      <c r="N403" s="514">
        <f>SUM(N401:N402)</f>
        <v>50000</v>
      </c>
    </row>
    <row r="404" spans="1:14" s="42" customFormat="1" ht="30" customHeight="1">
      <c r="A404" s="908">
        <v>398</v>
      </c>
      <c r="B404" s="126"/>
      <c r="C404" s="121">
        <v>66</v>
      </c>
      <c r="D404" s="122" t="s">
        <v>154</v>
      </c>
      <c r="E404" s="123" t="s">
        <v>799</v>
      </c>
      <c r="F404" s="406"/>
      <c r="G404" s="406"/>
      <c r="H404" s="524"/>
      <c r="I404" s="530"/>
      <c r="J404" s="123"/>
      <c r="K404" s="123"/>
      <c r="L404" s="123"/>
      <c r="M404" s="123"/>
      <c r="N404" s="515"/>
    </row>
    <row r="405" spans="1:14" s="893" customFormat="1" ht="16.5">
      <c r="A405" s="908">
        <v>399</v>
      </c>
      <c r="B405" s="894"/>
      <c r="C405" s="895"/>
      <c r="D405" s="896" t="s">
        <v>403</v>
      </c>
      <c r="E405" s="897"/>
      <c r="F405" s="888"/>
      <c r="G405" s="888"/>
      <c r="H405" s="889"/>
      <c r="I405" s="890">
        <f t="shared" si="7"/>
        <v>13900</v>
      </c>
      <c r="J405" s="891"/>
      <c r="K405" s="891"/>
      <c r="L405" s="891">
        <v>13900</v>
      </c>
      <c r="M405" s="891"/>
      <c r="N405" s="892"/>
    </row>
    <row r="406" spans="1:14" s="42" customFormat="1" ht="16.5">
      <c r="A406" s="908">
        <v>400</v>
      </c>
      <c r="B406" s="126"/>
      <c r="C406" s="121"/>
      <c r="D406" s="122" t="s">
        <v>957</v>
      </c>
      <c r="E406" s="123"/>
      <c r="F406" s="406"/>
      <c r="G406" s="406"/>
      <c r="H406" s="524"/>
      <c r="I406" s="530">
        <f t="shared" si="7"/>
        <v>0</v>
      </c>
      <c r="J406" s="124"/>
      <c r="K406" s="124"/>
      <c r="L406" s="124"/>
      <c r="M406" s="124"/>
      <c r="N406" s="329"/>
    </row>
    <row r="407" spans="1:14" s="327" customFormat="1" ht="17.25">
      <c r="A407" s="908">
        <v>401</v>
      </c>
      <c r="B407" s="128"/>
      <c r="C407" s="336"/>
      <c r="D407" s="330" t="s">
        <v>405</v>
      </c>
      <c r="E407" s="331"/>
      <c r="F407" s="408"/>
      <c r="G407" s="408"/>
      <c r="H407" s="525"/>
      <c r="I407" s="531">
        <f t="shared" si="7"/>
        <v>0</v>
      </c>
      <c r="J407" s="332"/>
      <c r="K407" s="332"/>
      <c r="L407" s="332"/>
      <c r="M407" s="332"/>
      <c r="N407" s="333"/>
    </row>
    <row r="408" spans="1:14" s="1500" customFormat="1" ht="17.25">
      <c r="A408" s="908">
        <v>402</v>
      </c>
      <c r="B408" s="337"/>
      <c r="C408" s="338"/>
      <c r="D408" s="334" t="s">
        <v>1067</v>
      </c>
      <c r="E408" s="335"/>
      <c r="F408" s="407"/>
      <c r="G408" s="407"/>
      <c r="H408" s="526"/>
      <c r="I408" s="532">
        <f t="shared" si="7"/>
        <v>0</v>
      </c>
      <c r="J408" s="407">
        <f>SUM(J406:J407)</f>
        <v>0</v>
      </c>
      <c r="K408" s="407">
        <f>SUM(K406:K407)</f>
        <v>0</v>
      </c>
      <c r="L408" s="407">
        <f>SUM(L406:L407)</f>
        <v>0</v>
      </c>
      <c r="M408" s="407">
        <f>SUM(M406:M407)</f>
        <v>0</v>
      </c>
      <c r="N408" s="514">
        <f>SUM(N406:N407)</f>
        <v>0</v>
      </c>
    </row>
    <row r="409" spans="1:14" s="42" customFormat="1" ht="30" customHeight="1">
      <c r="A409" s="908">
        <v>403</v>
      </c>
      <c r="B409" s="126"/>
      <c r="C409" s="121">
        <v>67</v>
      </c>
      <c r="D409" s="122" t="s">
        <v>4</v>
      </c>
      <c r="E409" s="123" t="s">
        <v>799</v>
      </c>
      <c r="F409" s="406">
        <v>71400</v>
      </c>
      <c r="G409" s="406">
        <v>60000</v>
      </c>
      <c r="H409" s="524">
        <v>60000</v>
      </c>
      <c r="I409" s="530"/>
      <c r="J409" s="123"/>
      <c r="K409" s="123"/>
      <c r="L409" s="123"/>
      <c r="M409" s="123"/>
      <c r="N409" s="515"/>
    </row>
    <row r="410" spans="1:14" s="893" customFormat="1" ht="16.5">
      <c r="A410" s="908">
        <v>404</v>
      </c>
      <c r="B410" s="894"/>
      <c r="C410" s="895"/>
      <c r="D410" s="896" t="s">
        <v>403</v>
      </c>
      <c r="E410" s="897"/>
      <c r="F410" s="888"/>
      <c r="G410" s="888"/>
      <c r="H410" s="889"/>
      <c r="I410" s="890">
        <f t="shared" si="7"/>
        <v>85000</v>
      </c>
      <c r="J410" s="891"/>
      <c r="K410" s="891"/>
      <c r="L410" s="891">
        <v>85000</v>
      </c>
      <c r="M410" s="891"/>
      <c r="N410" s="892"/>
    </row>
    <row r="411" spans="1:14" s="42" customFormat="1" ht="16.5">
      <c r="A411" s="908">
        <v>405</v>
      </c>
      <c r="B411" s="126"/>
      <c r="C411" s="121"/>
      <c r="D411" s="122" t="s">
        <v>957</v>
      </c>
      <c r="E411" s="123"/>
      <c r="F411" s="406"/>
      <c r="G411" s="406"/>
      <c r="H411" s="524"/>
      <c r="I411" s="530">
        <f t="shared" si="7"/>
        <v>85000</v>
      </c>
      <c r="J411" s="124"/>
      <c r="K411" s="124"/>
      <c r="L411" s="124"/>
      <c r="M411" s="124"/>
      <c r="N411" s="329">
        <v>85000</v>
      </c>
    </row>
    <row r="412" spans="1:14" s="327" customFormat="1" ht="17.25">
      <c r="A412" s="908">
        <v>406</v>
      </c>
      <c r="B412" s="128"/>
      <c r="C412" s="336"/>
      <c r="D412" s="330" t="s">
        <v>405</v>
      </c>
      <c r="E412" s="331"/>
      <c r="F412" s="408"/>
      <c r="G412" s="408"/>
      <c r="H412" s="525"/>
      <c r="I412" s="531">
        <f aca="true" t="shared" si="8" ref="I412:I491">SUM(J412:N412)</f>
        <v>0</v>
      </c>
      <c r="J412" s="332"/>
      <c r="K412" s="332"/>
      <c r="L412" s="332"/>
      <c r="M412" s="332"/>
      <c r="N412" s="333"/>
    </row>
    <row r="413" spans="1:14" s="1500" customFormat="1" ht="17.25">
      <c r="A413" s="908">
        <v>407</v>
      </c>
      <c r="B413" s="337"/>
      <c r="C413" s="338"/>
      <c r="D413" s="334" t="s">
        <v>1067</v>
      </c>
      <c r="E413" s="335"/>
      <c r="F413" s="407"/>
      <c r="G413" s="407"/>
      <c r="H413" s="526"/>
      <c r="I413" s="532">
        <f t="shared" si="8"/>
        <v>85000</v>
      </c>
      <c r="J413" s="407">
        <f>SUM(J411:J412)</f>
        <v>0</v>
      </c>
      <c r="K413" s="407">
        <f>SUM(K411:K412)</f>
        <v>0</v>
      </c>
      <c r="L413" s="407">
        <f>SUM(L411:L412)</f>
        <v>0</v>
      </c>
      <c r="M413" s="407">
        <f>SUM(M411:M412)</f>
        <v>0</v>
      </c>
      <c r="N413" s="514">
        <f>SUM(N411:N412)</f>
        <v>85000</v>
      </c>
    </row>
    <row r="414" spans="1:14" s="42" customFormat="1" ht="30" customHeight="1">
      <c r="A414" s="908">
        <v>408</v>
      </c>
      <c r="B414" s="126"/>
      <c r="C414" s="121">
        <v>68</v>
      </c>
      <c r="D414" s="122" t="s">
        <v>170</v>
      </c>
      <c r="E414" s="123" t="s">
        <v>799</v>
      </c>
      <c r="F414" s="406">
        <v>19950</v>
      </c>
      <c r="G414" s="406">
        <v>8000</v>
      </c>
      <c r="H414" s="524">
        <v>4957</v>
      </c>
      <c r="I414" s="530"/>
      <c r="J414" s="123"/>
      <c r="K414" s="123"/>
      <c r="L414" s="123"/>
      <c r="M414" s="123"/>
      <c r="N414" s="515"/>
    </row>
    <row r="415" spans="1:14" s="893" customFormat="1" ht="16.5">
      <c r="A415" s="908">
        <v>409</v>
      </c>
      <c r="B415" s="894"/>
      <c r="C415" s="895"/>
      <c r="D415" s="896" t="s">
        <v>403</v>
      </c>
      <c r="E415" s="897"/>
      <c r="F415" s="888"/>
      <c r="G415" s="888"/>
      <c r="H415" s="889"/>
      <c r="I415" s="890">
        <f t="shared" si="8"/>
        <v>17500</v>
      </c>
      <c r="J415" s="891"/>
      <c r="K415" s="891"/>
      <c r="L415" s="891">
        <v>17500</v>
      </c>
      <c r="M415" s="891"/>
      <c r="N415" s="892"/>
    </row>
    <row r="416" spans="1:14" s="42" customFormat="1" ht="16.5">
      <c r="A416" s="908">
        <v>410</v>
      </c>
      <c r="B416" s="126"/>
      <c r="C416" s="121"/>
      <c r="D416" s="122" t="s">
        <v>957</v>
      </c>
      <c r="E416" s="123"/>
      <c r="F416" s="406"/>
      <c r="G416" s="406"/>
      <c r="H416" s="524"/>
      <c r="I416" s="530">
        <f t="shared" si="8"/>
        <v>17500</v>
      </c>
      <c r="J416" s="124"/>
      <c r="K416" s="124"/>
      <c r="L416" s="124">
        <v>17500</v>
      </c>
      <c r="M416" s="124"/>
      <c r="N416" s="329"/>
    </row>
    <row r="417" spans="1:14" s="327" customFormat="1" ht="17.25">
      <c r="A417" s="908">
        <v>411</v>
      </c>
      <c r="B417" s="128"/>
      <c r="C417" s="336"/>
      <c r="D417" s="330" t="s">
        <v>1080</v>
      </c>
      <c r="E417" s="331"/>
      <c r="F417" s="408"/>
      <c r="G417" s="408"/>
      <c r="H417" s="525"/>
      <c r="I417" s="531">
        <f t="shared" si="8"/>
        <v>-7500</v>
      </c>
      <c r="J417" s="332"/>
      <c r="K417" s="332"/>
      <c r="L417" s="332">
        <v>-7500</v>
      </c>
      <c r="M417" s="332"/>
      <c r="N417" s="333"/>
    </row>
    <row r="418" spans="1:14" s="1500" customFormat="1" ht="17.25">
      <c r="A418" s="908">
        <v>412</v>
      </c>
      <c r="B418" s="337"/>
      <c r="C418" s="338"/>
      <c r="D418" s="334" t="s">
        <v>1067</v>
      </c>
      <c r="E418" s="335"/>
      <c r="F418" s="407"/>
      <c r="G418" s="407"/>
      <c r="H418" s="526"/>
      <c r="I418" s="532">
        <f t="shared" si="8"/>
        <v>10000</v>
      </c>
      <c r="J418" s="407">
        <f>SUM(J416:J417)</f>
        <v>0</v>
      </c>
      <c r="K418" s="407">
        <f>SUM(K416:K417)</f>
        <v>0</v>
      </c>
      <c r="L418" s="407">
        <f>SUM(L416:L417)</f>
        <v>10000</v>
      </c>
      <c r="M418" s="407">
        <f>SUM(M416:M417)</f>
        <v>0</v>
      </c>
      <c r="N418" s="514">
        <f>SUM(N416:N417)</f>
        <v>0</v>
      </c>
    </row>
    <row r="419" spans="1:14" s="42" customFormat="1" ht="30" customHeight="1">
      <c r="A419" s="908">
        <v>413</v>
      </c>
      <c r="B419" s="126"/>
      <c r="C419" s="121">
        <v>69</v>
      </c>
      <c r="D419" s="122" t="s">
        <v>171</v>
      </c>
      <c r="E419" s="123" t="s">
        <v>799</v>
      </c>
      <c r="F419" s="406"/>
      <c r="G419" s="406">
        <v>14000</v>
      </c>
      <c r="H419" s="524">
        <v>12573</v>
      </c>
      <c r="I419" s="530"/>
      <c r="J419" s="123"/>
      <c r="K419" s="123"/>
      <c r="L419" s="123"/>
      <c r="M419" s="123"/>
      <c r="N419" s="515"/>
    </row>
    <row r="420" spans="1:14" s="893" customFormat="1" ht="16.5">
      <c r="A420" s="908">
        <v>414</v>
      </c>
      <c r="B420" s="894"/>
      <c r="C420" s="895"/>
      <c r="D420" s="896" t="s">
        <v>403</v>
      </c>
      <c r="E420" s="897"/>
      <c r="F420" s="888"/>
      <c r="G420" s="888"/>
      <c r="H420" s="889"/>
      <c r="I420" s="890">
        <f t="shared" si="8"/>
        <v>14000</v>
      </c>
      <c r="J420" s="891"/>
      <c r="K420" s="891"/>
      <c r="L420" s="891">
        <v>14000</v>
      </c>
      <c r="M420" s="891"/>
      <c r="N420" s="892"/>
    </row>
    <row r="421" spans="1:14" s="42" customFormat="1" ht="16.5">
      <c r="A421" s="908">
        <v>415</v>
      </c>
      <c r="B421" s="126"/>
      <c r="C421" s="121"/>
      <c r="D421" s="122" t="s">
        <v>957</v>
      </c>
      <c r="E421" s="123"/>
      <c r="F421" s="406"/>
      <c r="G421" s="406"/>
      <c r="H421" s="524"/>
      <c r="I421" s="530">
        <f t="shared" si="8"/>
        <v>14000</v>
      </c>
      <c r="J421" s="124"/>
      <c r="K421" s="124"/>
      <c r="L421" s="124">
        <v>14000</v>
      </c>
      <c r="M421" s="124"/>
      <c r="N421" s="329"/>
    </row>
    <row r="422" spans="1:14" s="327" customFormat="1" ht="17.25">
      <c r="A422" s="908">
        <v>416</v>
      </c>
      <c r="B422" s="128"/>
      <c r="C422" s="336"/>
      <c r="D422" s="330" t="s">
        <v>405</v>
      </c>
      <c r="E422" s="331"/>
      <c r="F422" s="408"/>
      <c r="G422" s="408"/>
      <c r="H422" s="525"/>
      <c r="I422" s="531">
        <f t="shared" si="8"/>
        <v>0</v>
      </c>
      <c r="J422" s="332"/>
      <c r="K422" s="332"/>
      <c r="L422" s="332"/>
      <c r="M422" s="332"/>
      <c r="N422" s="333"/>
    </row>
    <row r="423" spans="1:14" s="1500" customFormat="1" ht="17.25">
      <c r="A423" s="908">
        <v>417</v>
      </c>
      <c r="B423" s="337"/>
      <c r="C423" s="338"/>
      <c r="D423" s="334" t="s">
        <v>1067</v>
      </c>
      <c r="E423" s="335"/>
      <c r="F423" s="407"/>
      <c r="G423" s="407"/>
      <c r="H423" s="526"/>
      <c r="I423" s="532">
        <f t="shared" si="8"/>
        <v>14000</v>
      </c>
      <c r="J423" s="407">
        <f>SUM(J421:J422)</f>
        <v>0</v>
      </c>
      <c r="K423" s="407">
        <f>SUM(K421:K422)</f>
        <v>0</v>
      </c>
      <c r="L423" s="407">
        <f>SUM(L421:L422)</f>
        <v>14000</v>
      </c>
      <c r="M423" s="407">
        <f>SUM(M421:M422)</f>
        <v>0</v>
      </c>
      <c r="N423" s="514">
        <f>SUM(N421:N422)</f>
        <v>0</v>
      </c>
    </row>
    <row r="424" spans="1:14" s="42" customFormat="1" ht="30" customHeight="1">
      <c r="A424" s="908">
        <v>418</v>
      </c>
      <c r="B424" s="126"/>
      <c r="C424" s="121">
        <v>70</v>
      </c>
      <c r="D424" s="122" t="s">
        <v>380</v>
      </c>
      <c r="E424" s="123" t="s">
        <v>799</v>
      </c>
      <c r="F424" s="406">
        <v>70146</v>
      </c>
      <c r="G424" s="406">
        <v>33400</v>
      </c>
      <c r="H424" s="524">
        <v>33263</v>
      </c>
      <c r="I424" s="530"/>
      <c r="J424" s="123"/>
      <c r="K424" s="123"/>
      <c r="L424" s="123"/>
      <c r="M424" s="123"/>
      <c r="N424" s="515"/>
    </row>
    <row r="425" spans="1:14" s="893" customFormat="1" ht="16.5">
      <c r="A425" s="908">
        <v>419</v>
      </c>
      <c r="B425" s="894"/>
      <c r="C425" s="895"/>
      <c r="D425" s="896" t="s">
        <v>403</v>
      </c>
      <c r="E425" s="897"/>
      <c r="F425" s="888"/>
      <c r="G425" s="888"/>
      <c r="H425" s="889"/>
      <c r="I425" s="890">
        <f t="shared" si="8"/>
        <v>34200</v>
      </c>
      <c r="J425" s="891"/>
      <c r="K425" s="891"/>
      <c r="L425" s="891">
        <v>34200</v>
      </c>
      <c r="M425" s="891"/>
      <c r="N425" s="892"/>
    </row>
    <row r="426" spans="1:14" s="42" customFormat="1" ht="16.5">
      <c r="A426" s="908">
        <v>420</v>
      </c>
      <c r="B426" s="126"/>
      <c r="C426" s="121"/>
      <c r="D426" s="122" t="s">
        <v>957</v>
      </c>
      <c r="E426" s="123"/>
      <c r="F426" s="406"/>
      <c r="G426" s="406"/>
      <c r="H426" s="524"/>
      <c r="I426" s="530">
        <f t="shared" si="8"/>
        <v>34200</v>
      </c>
      <c r="J426" s="124"/>
      <c r="K426" s="124"/>
      <c r="L426" s="124">
        <v>34200</v>
      </c>
      <c r="M426" s="124"/>
      <c r="N426" s="329"/>
    </row>
    <row r="427" spans="1:14" s="327" customFormat="1" ht="17.25">
      <c r="A427" s="908">
        <v>421</v>
      </c>
      <c r="B427" s="128"/>
      <c r="C427" s="336"/>
      <c r="D427" s="330" t="s">
        <v>405</v>
      </c>
      <c r="E427" s="331"/>
      <c r="F427" s="408"/>
      <c r="G427" s="408"/>
      <c r="H427" s="525"/>
      <c r="I427" s="531">
        <f t="shared" si="8"/>
        <v>0</v>
      </c>
      <c r="J427" s="332"/>
      <c r="K427" s="332"/>
      <c r="L427" s="332"/>
      <c r="M427" s="332"/>
      <c r="N427" s="333"/>
    </row>
    <row r="428" spans="1:14" s="1500" customFormat="1" ht="17.25">
      <c r="A428" s="908">
        <v>422</v>
      </c>
      <c r="B428" s="337"/>
      <c r="C428" s="338"/>
      <c r="D428" s="334" t="s">
        <v>1067</v>
      </c>
      <c r="E428" s="335"/>
      <c r="F428" s="407"/>
      <c r="G428" s="407"/>
      <c r="H428" s="526"/>
      <c r="I428" s="532">
        <f t="shared" si="8"/>
        <v>34200</v>
      </c>
      <c r="J428" s="407">
        <f>SUM(J426:J427)</f>
        <v>0</v>
      </c>
      <c r="K428" s="407">
        <f>SUM(K426:K427)</f>
        <v>0</v>
      </c>
      <c r="L428" s="407">
        <f>SUM(L426:L427)</f>
        <v>34200</v>
      </c>
      <c r="M428" s="407">
        <f>SUM(M426:M427)</f>
        <v>0</v>
      </c>
      <c r="N428" s="514">
        <f>SUM(N426:N427)</f>
        <v>0</v>
      </c>
    </row>
    <row r="429" spans="1:14" s="42" customFormat="1" ht="25.5" customHeight="1">
      <c r="A429" s="908">
        <v>423</v>
      </c>
      <c r="B429" s="126"/>
      <c r="C429" s="121">
        <v>71</v>
      </c>
      <c r="D429" s="122" t="s">
        <v>1050</v>
      </c>
      <c r="E429" s="123" t="s">
        <v>799</v>
      </c>
      <c r="F429" s="406"/>
      <c r="G429" s="406"/>
      <c r="H429" s="524"/>
      <c r="I429" s="530"/>
      <c r="J429" s="123"/>
      <c r="K429" s="123"/>
      <c r="L429" s="123"/>
      <c r="M429" s="123"/>
      <c r="N429" s="515"/>
    </row>
    <row r="430" spans="1:14" s="893" customFormat="1" ht="16.5">
      <c r="A430" s="908">
        <v>424</v>
      </c>
      <c r="B430" s="894"/>
      <c r="C430" s="895"/>
      <c r="D430" s="896" t="s">
        <v>403</v>
      </c>
      <c r="E430" s="897"/>
      <c r="F430" s="888"/>
      <c r="G430" s="888"/>
      <c r="H430" s="889"/>
      <c r="I430" s="890">
        <f t="shared" si="8"/>
        <v>38100</v>
      </c>
      <c r="J430" s="891"/>
      <c r="K430" s="891"/>
      <c r="L430" s="891">
        <v>38100</v>
      </c>
      <c r="M430" s="891"/>
      <c r="N430" s="892"/>
    </row>
    <row r="431" spans="1:14" s="42" customFormat="1" ht="16.5">
      <c r="A431" s="908">
        <v>425</v>
      </c>
      <c r="B431" s="126"/>
      <c r="C431" s="121"/>
      <c r="D431" s="122" t="s">
        <v>957</v>
      </c>
      <c r="E431" s="123"/>
      <c r="F431" s="406"/>
      <c r="G431" s="406"/>
      <c r="H431" s="524"/>
      <c r="I431" s="530">
        <f t="shared" si="8"/>
        <v>38100</v>
      </c>
      <c r="J431" s="124"/>
      <c r="K431" s="124"/>
      <c r="L431" s="124">
        <v>38100</v>
      </c>
      <c r="M431" s="124"/>
      <c r="N431" s="329"/>
    </row>
    <row r="432" spans="1:14" s="327" customFormat="1" ht="17.25">
      <c r="A432" s="908">
        <v>426</v>
      </c>
      <c r="B432" s="128"/>
      <c r="C432" s="336"/>
      <c r="D432" s="330" t="s">
        <v>405</v>
      </c>
      <c r="E432" s="331"/>
      <c r="F432" s="408"/>
      <c r="G432" s="408"/>
      <c r="H432" s="525"/>
      <c r="I432" s="531">
        <f t="shared" si="8"/>
        <v>0</v>
      </c>
      <c r="J432" s="332"/>
      <c r="K432" s="332"/>
      <c r="L432" s="332"/>
      <c r="M432" s="332"/>
      <c r="N432" s="333"/>
    </row>
    <row r="433" spans="1:14" s="1500" customFormat="1" ht="17.25">
      <c r="A433" s="908">
        <v>427</v>
      </c>
      <c r="B433" s="337"/>
      <c r="C433" s="338"/>
      <c r="D433" s="334" t="s">
        <v>1067</v>
      </c>
      <c r="E433" s="335"/>
      <c r="F433" s="407"/>
      <c r="G433" s="407"/>
      <c r="H433" s="526"/>
      <c r="I433" s="532">
        <f t="shared" si="8"/>
        <v>38100</v>
      </c>
      <c r="J433" s="407">
        <f>SUM(J431:J432)</f>
        <v>0</v>
      </c>
      <c r="K433" s="407">
        <f>SUM(K431:K432)</f>
        <v>0</v>
      </c>
      <c r="L433" s="407">
        <f>SUM(L431:L432)</f>
        <v>38100</v>
      </c>
      <c r="M433" s="407">
        <f>SUM(M431:M432)</f>
        <v>0</v>
      </c>
      <c r="N433" s="514">
        <f>SUM(N431:N432)</f>
        <v>0</v>
      </c>
    </row>
    <row r="434" spans="1:14" s="42" customFormat="1" ht="30" customHeight="1">
      <c r="A434" s="908">
        <v>428</v>
      </c>
      <c r="B434" s="126"/>
      <c r="C434" s="121">
        <v>72</v>
      </c>
      <c r="D434" s="122" t="s">
        <v>5</v>
      </c>
      <c r="E434" s="123" t="s">
        <v>799</v>
      </c>
      <c r="F434" s="406">
        <v>32000</v>
      </c>
      <c r="G434" s="406">
        <v>34750</v>
      </c>
      <c r="H434" s="524">
        <v>34750</v>
      </c>
      <c r="I434" s="530"/>
      <c r="J434" s="123"/>
      <c r="K434" s="123"/>
      <c r="L434" s="123"/>
      <c r="M434" s="123"/>
      <c r="N434" s="515"/>
    </row>
    <row r="435" spans="1:14" s="893" customFormat="1" ht="16.5">
      <c r="A435" s="908">
        <v>429</v>
      </c>
      <c r="B435" s="894"/>
      <c r="C435" s="895"/>
      <c r="D435" s="896" t="s">
        <v>403</v>
      </c>
      <c r="E435" s="897"/>
      <c r="F435" s="888"/>
      <c r="G435" s="888"/>
      <c r="H435" s="889"/>
      <c r="I435" s="890">
        <f t="shared" si="8"/>
        <v>38848</v>
      </c>
      <c r="J435" s="891"/>
      <c r="K435" s="891"/>
      <c r="L435" s="891">
        <v>38848</v>
      </c>
      <c r="M435" s="891"/>
      <c r="N435" s="892"/>
    </row>
    <row r="436" spans="1:14" s="42" customFormat="1" ht="16.5">
      <c r="A436" s="908">
        <v>430</v>
      </c>
      <c r="B436" s="126"/>
      <c r="C436" s="121"/>
      <c r="D436" s="122" t="s">
        <v>957</v>
      </c>
      <c r="E436" s="123"/>
      <c r="F436" s="406"/>
      <c r="G436" s="406"/>
      <c r="H436" s="524"/>
      <c r="I436" s="530">
        <f t="shared" si="8"/>
        <v>38848</v>
      </c>
      <c r="J436" s="124"/>
      <c r="K436" s="124"/>
      <c r="L436" s="124">
        <v>38848</v>
      </c>
      <c r="M436" s="124"/>
      <c r="N436" s="329"/>
    </row>
    <row r="437" spans="1:14" s="327" customFormat="1" ht="17.25">
      <c r="A437" s="908">
        <v>431</v>
      </c>
      <c r="B437" s="128"/>
      <c r="C437" s="336"/>
      <c r="D437" s="330" t="s">
        <v>405</v>
      </c>
      <c r="E437" s="331"/>
      <c r="F437" s="408"/>
      <c r="G437" s="408"/>
      <c r="H437" s="525"/>
      <c r="I437" s="531">
        <f t="shared" si="8"/>
        <v>0</v>
      </c>
      <c r="J437" s="332"/>
      <c r="K437" s="332"/>
      <c r="L437" s="332"/>
      <c r="M437" s="332"/>
      <c r="N437" s="333"/>
    </row>
    <row r="438" spans="1:14" s="1500" customFormat="1" ht="17.25">
      <c r="A438" s="908">
        <v>432</v>
      </c>
      <c r="B438" s="337"/>
      <c r="C438" s="338"/>
      <c r="D438" s="334" t="s">
        <v>1067</v>
      </c>
      <c r="E438" s="335"/>
      <c r="F438" s="407"/>
      <c r="G438" s="407"/>
      <c r="H438" s="526"/>
      <c r="I438" s="532">
        <f t="shared" si="8"/>
        <v>38848</v>
      </c>
      <c r="J438" s="407">
        <f>SUM(J436:J437)</f>
        <v>0</v>
      </c>
      <c r="K438" s="407">
        <f>SUM(K436:K437)</f>
        <v>0</v>
      </c>
      <c r="L438" s="407">
        <f>SUM(L436:L437)</f>
        <v>38848</v>
      </c>
      <c r="M438" s="407">
        <f>SUM(M436:M437)</f>
        <v>0</v>
      </c>
      <c r="N438" s="514">
        <f>SUM(N436:N437)</f>
        <v>0</v>
      </c>
    </row>
    <row r="439" spans="1:14" s="42" customFormat="1" ht="25.5" customHeight="1">
      <c r="A439" s="908">
        <v>433</v>
      </c>
      <c r="B439" s="126"/>
      <c r="C439" s="121">
        <v>73</v>
      </c>
      <c r="D439" s="122" t="s">
        <v>155</v>
      </c>
      <c r="E439" s="123" t="s">
        <v>799</v>
      </c>
      <c r="F439" s="406"/>
      <c r="G439" s="406"/>
      <c r="H439" s="524"/>
      <c r="I439" s="530"/>
      <c r="J439" s="123"/>
      <c r="K439" s="123"/>
      <c r="L439" s="123"/>
      <c r="M439" s="123"/>
      <c r="N439" s="515"/>
    </row>
    <row r="440" spans="1:14" s="893" customFormat="1" ht="16.5">
      <c r="A440" s="908">
        <v>434</v>
      </c>
      <c r="B440" s="894"/>
      <c r="C440" s="895"/>
      <c r="D440" s="896" t="s">
        <v>403</v>
      </c>
      <c r="E440" s="897"/>
      <c r="F440" s="888"/>
      <c r="G440" s="888"/>
      <c r="H440" s="889"/>
      <c r="I440" s="890">
        <f t="shared" si="8"/>
        <v>1500</v>
      </c>
      <c r="J440" s="891"/>
      <c r="K440" s="891"/>
      <c r="L440" s="891">
        <v>1500</v>
      </c>
      <c r="M440" s="891"/>
      <c r="N440" s="892"/>
    </row>
    <row r="441" spans="1:14" s="42" customFormat="1" ht="16.5">
      <c r="A441" s="908">
        <v>435</v>
      </c>
      <c r="B441" s="126"/>
      <c r="C441" s="121"/>
      <c r="D441" s="122" t="s">
        <v>957</v>
      </c>
      <c r="E441" s="123"/>
      <c r="F441" s="406"/>
      <c r="G441" s="406"/>
      <c r="H441" s="524"/>
      <c r="I441" s="530">
        <f t="shared" si="8"/>
        <v>1500</v>
      </c>
      <c r="J441" s="124"/>
      <c r="K441" s="124"/>
      <c r="L441" s="124">
        <v>1500</v>
      </c>
      <c r="M441" s="124"/>
      <c r="N441" s="329"/>
    </row>
    <row r="442" spans="1:14" s="327" customFormat="1" ht="17.25">
      <c r="A442" s="908">
        <v>436</v>
      </c>
      <c r="B442" s="128"/>
      <c r="C442" s="336"/>
      <c r="D442" s="330" t="s">
        <v>405</v>
      </c>
      <c r="E442" s="331"/>
      <c r="F442" s="408"/>
      <c r="G442" s="408"/>
      <c r="H442" s="525"/>
      <c r="I442" s="531">
        <f t="shared" si="8"/>
        <v>0</v>
      </c>
      <c r="J442" s="332"/>
      <c r="K442" s="332"/>
      <c r="L442" s="332"/>
      <c r="M442" s="332"/>
      <c r="N442" s="333"/>
    </row>
    <row r="443" spans="1:14" s="1500" customFormat="1" ht="17.25">
      <c r="A443" s="908">
        <v>437</v>
      </c>
      <c r="B443" s="337"/>
      <c r="C443" s="338"/>
      <c r="D443" s="334" t="s">
        <v>1067</v>
      </c>
      <c r="E443" s="335"/>
      <c r="F443" s="407"/>
      <c r="G443" s="407"/>
      <c r="H443" s="526"/>
      <c r="I443" s="532">
        <f t="shared" si="8"/>
        <v>1500</v>
      </c>
      <c r="J443" s="407">
        <f>SUM(J441:J442)</f>
        <v>0</v>
      </c>
      <c r="K443" s="407">
        <f>SUM(K441:K442)</f>
        <v>0</v>
      </c>
      <c r="L443" s="407">
        <f>SUM(L441:L442)</f>
        <v>1500</v>
      </c>
      <c r="M443" s="407">
        <f>SUM(M441:M442)</f>
        <v>0</v>
      </c>
      <c r="N443" s="514">
        <f>SUM(N441:N442)</f>
        <v>0</v>
      </c>
    </row>
    <row r="444" spans="1:14" s="42" customFormat="1" ht="25.5" customHeight="1">
      <c r="A444" s="908">
        <v>438</v>
      </c>
      <c r="B444" s="126"/>
      <c r="C444" s="121">
        <v>74</v>
      </c>
      <c r="D444" s="122" t="s">
        <v>159</v>
      </c>
      <c r="E444" s="123" t="s">
        <v>799</v>
      </c>
      <c r="F444" s="406"/>
      <c r="G444" s="406"/>
      <c r="H444" s="524"/>
      <c r="I444" s="530"/>
      <c r="J444" s="123"/>
      <c r="K444" s="123"/>
      <c r="L444" s="123"/>
      <c r="M444" s="123"/>
      <c r="N444" s="515"/>
    </row>
    <row r="445" spans="1:14" s="893" customFormat="1" ht="16.5">
      <c r="A445" s="908">
        <v>439</v>
      </c>
      <c r="B445" s="894"/>
      <c r="C445" s="895"/>
      <c r="D445" s="896" t="s">
        <v>403</v>
      </c>
      <c r="E445" s="897"/>
      <c r="F445" s="888"/>
      <c r="G445" s="888"/>
      <c r="H445" s="889"/>
      <c r="I445" s="890">
        <f t="shared" si="8"/>
        <v>12300</v>
      </c>
      <c r="J445" s="891"/>
      <c r="K445" s="891"/>
      <c r="L445" s="891">
        <v>12300</v>
      </c>
      <c r="M445" s="891"/>
      <c r="N445" s="892"/>
    </row>
    <row r="446" spans="1:14" s="42" customFormat="1" ht="16.5">
      <c r="A446" s="908">
        <v>440</v>
      </c>
      <c r="B446" s="126"/>
      <c r="C446" s="121"/>
      <c r="D446" s="122" t="s">
        <v>957</v>
      </c>
      <c r="E446" s="123"/>
      <c r="F446" s="406"/>
      <c r="G446" s="406"/>
      <c r="H446" s="524"/>
      <c r="I446" s="530">
        <f t="shared" si="8"/>
        <v>12700</v>
      </c>
      <c r="J446" s="124"/>
      <c r="K446" s="124"/>
      <c r="L446" s="124">
        <v>12700</v>
      </c>
      <c r="M446" s="124"/>
      <c r="N446" s="329"/>
    </row>
    <row r="447" spans="1:14" s="327" customFormat="1" ht="17.25">
      <c r="A447" s="908">
        <v>441</v>
      </c>
      <c r="B447" s="128"/>
      <c r="C447" s="336"/>
      <c r="D447" s="330" t="s">
        <v>405</v>
      </c>
      <c r="E447" s="331"/>
      <c r="F447" s="408"/>
      <c r="G447" s="408"/>
      <c r="H447" s="525"/>
      <c r="I447" s="531">
        <f t="shared" si="8"/>
        <v>0</v>
      </c>
      <c r="J447" s="332"/>
      <c r="K447" s="332"/>
      <c r="L447" s="332"/>
      <c r="M447" s="332"/>
      <c r="N447" s="333"/>
    </row>
    <row r="448" spans="1:14" s="1500" customFormat="1" ht="17.25">
      <c r="A448" s="908">
        <v>442</v>
      </c>
      <c r="B448" s="337"/>
      <c r="C448" s="338"/>
      <c r="D448" s="334" t="s">
        <v>1067</v>
      </c>
      <c r="E448" s="335"/>
      <c r="F448" s="407"/>
      <c r="G448" s="407"/>
      <c r="H448" s="526"/>
      <c r="I448" s="532">
        <f t="shared" si="8"/>
        <v>12700</v>
      </c>
      <c r="J448" s="407">
        <f>SUM(J446:J447)</f>
        <v>0</v>
      </c>
      <c r="K448" s="407">
        <f>SUM(K446:K447)</f>
        <v>0</v>
      </c>
      <c r="L448" s="407">
        <f>SUM(L446:L447)</f>
        <v>12700</v>
      </c>
      <c r="M448" s="407">
        <f>SUM(M446:M447)</f>
        <v>0</v>
      </c>
      <c r="N448" s="514">
        <f>SUM(N446:N447)</f>
        <v>0</v>
      </c>
    </row>
    <row r="449" spans="1:14" s="42" customFormat="1" ht="25.5" customHeight="1">
      <c r="A449" s="908">
        <v>443</v>
      </c>
      <c r="B449" s="126"/>
      <c r="C449" s="121">
        <v>75</v>
      </c>
      <c r="D449" s="122" t="s">
        <v>1051</v>
      </c>
      <c r="E449" s="123" t="s">
        <v>799</v>
      </c>
      <c r="F449" s="406"/>
      <c r="G449" s="406"/>
      <c r="H449" s="524"/>
      <c r="I449" s="530"/>
      <c r="J449" s="123"/>
      <c r="K449" s="123"/>
      <c r="L449" s="123"/>
      <c r="M449" s="123"/>
      <c r="N449" s="515"/>
    </row>
    <row r="450" spans="1:14" s="893" customFormat="1" ht="16.5">
      <c r="A450" s="908">
        <v>444</v>
      </c>
      <c r="B450" s="894"/>
      <c r="C450" s="895"/>
      <c r="D450" s="896" t="s">
        <v>403</v>
      </c>
      <c r="E450" s="897"/>
      <c r="F450" s="888"/>
      <c r="G450" s="888"/>
      <c r="H450" s="889"/>
      <c r="I450" s="890">
        <f t="shared" si="8"/>
        <v>400</v>
      </c>
      <c r="J450" s="891"/>
      <c r="K450" s="891"/>
      <c r="L450" s="891">
        <v>400</v>
      </c>
      <c r="M450" s="891"/>
      <c r="N450" s="892"/>
    </row>
    <row r="451" spans="1:14" s="42" customFormat="1" ht="16.5">
      <c r="A451" s="908">
        <v>445</v>
      </c>
      <c r="B451" s="126"/>
      <c r="C451" s="121"/>
      <c r="D451" s="122" t="s">
        <v>957</v>
      </c>
      <c r="E451" s="123"/>
      <c r="F451" s="406"/>
      <c r="G451" s="406"/>
      <c r="H451" s="524"/>
      <c r="I451" s="530">
        <f t="shared" si="8"/>
        <v>400</v>
      </c>
      <c r="J451" s="124"/>
      <c r="K451" s="124"/>
      <c r="L451" s="124">
        <v>400</v>
      </c>
      <c r="M451" s="124"/>
      <c r="N451" s="329"/>
    </row>
    <row r="452" spans="1:14" s="327" customFormat="1" ht="17.25">
      <c r="A452" s="908">
        <v>446</v>
      </c>
      <c r="B452" s="128"/>
      <c r="C452" s="336"/>
      <c r="D452" s="330" t="s">
        <v>405</v>
      </c>
      <c r="E452" s="331"/>
      <c r="F452" s="408"/>
      <c r="G452" s="408"/>
      <c r="H452" s="525"/>
      <c r="I452" s="531">
        <f t="shared" si="8"/>
        <v>0</v>
      </c>
      <c r="J452" s="332"/>
      <c r="K452" s="332"/>
      <c r="L452" s="332"/>
      <c r="M452" s="332"/>
      <c r="N452" s="333"/>
    </row>
    <row r="453" spans="1:14" s="1500" customFormat="1" ht="17.25">
      <c r="A453" s="908">
        <v>447</v>
      </c>
      <c r="B453" s="337"/>
      <c r="C453" s="338"/>
      <c r="D453" s="334" t="s">
        <v>1067</v>
      </c>
      <c r="E453" s="335"/>
      <c r="F453" s="407"/>
      <c r="G453" s="407"/>
      <c r="H453" s="526"/>
      <c r="I453" s="532">
        <f t="shared" si="8"/>
        <v>400</v>
      </c>
      <c r="J453" s="407">
        <f>SUM(J451:J452)</f>
        <v>0</v>
      </c>
      <c r="K453" s="407">
        <f>SUM(K451:K452)</f>
        <v>0</v>
      </c>
      <c r="L453" s="407">
        <f>SUM(L451:L452)</f>
        <v>400</v>
      </c>
      <c r="M453" s="407">
        <f>SUM(M451:M452)</f>
        <v>0</v>
      </c>
      <c r="N453" s="514">
        <f>SUM(N451:N452)</f>
        <v>0</v>
      </c>
    </row>
    <row r="454" spans="1:14" s="42" customFormat="1" ht="39.75" customHeight="1">
      <c r="A454" s="908">
        <v>448</v>
      </c>
      <c r="B454" s="127"/>
      <c r="C454" s="509">
        <v>76</v>
      </c>
      <c r="D454" s="497" t="s">
        <v>31</v>
      </c>
      <c r="E454" s="123" t="s">
        <v>799</v>
      </c>
      <c r="F454" s="406"/>
      <c r="G454" s="406"/>
      <c r="H454" s="524"/>
      <c r="I454" s="530"/>
      <c r="J454" s="123"/>
      <c r="K454" s="123"/>
      <c r="L454" s="123"/>
      <c r="M454" s="123"/>
      <c r="N454" s="515"/>
    </row>
    <row r="455" spans="1:14" s="893" customFormat="1" ht="16.5">
      <c r="A455" s="908">
        <v>449</v>
      </c>
      <c r="B455" s="894"/>
      <c r="C455" s="895"/>
      <c r="D455" s="896" t="s">
        <v>403</v>
      </c>
      <c r="E455" s="897"/>
      <c r="F455" s="888"/>
      <c r="G455" s="888"/>
      <c r="H455" s="889"/>
      <c r="I455" s="890">
        <f t="shared" si="8"/>
        <v>1000</v>
      </c>
      <c r="J455" s="891"/>
      <c r="K455" s="891"/>
      <c r="L455" s="891">
        <v>1000</v>
      </c>
      <c r="M455" s="891"/>
      <c r="N455" s="892"/>
    </row>
    <row r="456" spans="1:14" s="42" customFormat="1" ht="16.5">
      <c r="A456" s="908">
        <v>450</v>
      </c>
      <c r="B456" s="126"/>
      <c r="C456" s="121"/>
      <c r="D456" s="122" t="s">
        <v>957</v>
      </c>
      <c r="E456" s="123"/>
      <c r="F456" s="406"/>
      <c r="G456" s="406"/>
      <c r="H456" s="524"/>
      <c r="I456" s="530">
        <f t="shared" si="8"/>
        <v>1000</v>
      </c>
      <c r="J456" s="124"/>
      <c r="K456" s="124"/>
      <c r="L456" s="124">
        <v>1000</v>
      </c>
      <c r="M456" s="124"/>
      <c r="N456" s="329"/>
    </row>
    <row r="457" spans="1:14" s="327" customFormat="1" ht="17.25">
      <c r="A457" s="908">
        <v>451</v>
      </c>
      <c r="B457" s="128"/>
      <c r="C457" s="336"/>
      <c r="D457" s="330" t="s">
        <v>405</v>
      </c>
      <c r="E457" s="331"/>
      <c r="F457" s="408"/>
      <c r="G457" s="408"/>
      <c r="H457" s="525"/>
      <c r="I457" s="531">
        <f t="shared" si="8"/>
        <v>0</v>
      </c>
      <c r="J457" s="332"/>
      <c r="K457" s="332"/>
      <c r="L457" s="332"/>
      <c r="M457" s="332"/>
      <c r="N457" s="333"/>
    </row>
    <row r="458" spans="1:14" s="1500" customFormat="1" ht="17.25">
      <c r="A458" s="908">
        <v>452</v>
      </c>
      <c r="B458" s="337"/>
      <c r="C458" s="338"/>
      <c r="D458" s="334" t="s">
        <v>1067</v>
      </c>
      <c r="E458" s="335"/>
      <c r="F458" s="407"/>
      <c r="G458" s="407"/>
      <c r="H458" s="526"/>
      <c r="I458" s="532">
        <f t="shared" si="8"/>
        <v>1000</v>
      </c>
      <c r="J458" s="407">
        <f>SUM(J456:J457)</f>
        <v>0</v>
      </c>
      <c r="K458" s="407">
        <f>SUM(K456:K457)</f>
        <v>0</v>
      </c>
      <c r="L458" s="407">
        <f>SUM(L456:L457)</f>
        <v>1000</v>
      </c>
      <c r="M458" s="407">
        <f>SUM(M456:M457)</f>
        <v>0</v>
      </c>
      <c r="N458" s="514">
        <f>SUM(N456:N457)</f>
        <v>0</v>
      </c>
    </row>
    <row r="459" spans="1:14" s="42" customFormat="1" ht="25.5" customHeight="1">
      <c r="A459" s="908">
        <v>453</v>
      </c>
      <c r="B459" s="126"/>
      <c r="C459" s="121">
        <v>77</v>
      </c>
      <c r="D459" s="122" t="s">
        <v>780</v>
      </c>
      <c r="E459" s="123" t="s">
        <v>799</v>
      </c>
      <c r="F459" s="406"/>
      <c r="G459" s="406"/>
      <c r="H459" s="524"/>
      <c r="I459" s="530"/>
      <c r="J459" s="123"/>
      <c r="K459" s="123"/>
      <c r="L459" s="123"/>
      <c r="M459" s="123"/>
      <c r="N459" s="515"/>
    </row>
    <row r="460" spans="1:14" s="893" customFormat="1" ht="16.5">
      <c r="A460" s="908">
        <v>454</v>
      </c>
      <c r="B460" s="894"/>
      <c r="C460" s="895"/>
      <c r="D460" s="896" t="s">
        <v>403</v>
      </c>
      <c r="E460" s="897"/>
      <c r="F460" s="888"/>
      <c r="G460" s="888"/>
      <c r="H460" s="889"/>
      <c r="I460" s="890">
        <f t="shared" si="8"/>
        <v>1000</v>
      </c>
      <c r="J460" s="891"/>
      <c r="K460" s="891"/>
      <c r="L460" s="891">
        <v>1000</v>
      </c>
      <c r="M460" s="891"/>
      <c r="N460" s="892"/>
    </row>
    <row r="461" spans="1:14" s="42" customFormat="1" ht="16.5">
      <c r="A461" s="908">
        <v>455</v>
      </c>
      <c r="B461" s="126"/>
      <c r="C461" s="121"/>
      <c r="D461" s="122" t="s">
        <v>957</v>
      </c>
      <c r="E461" s="123"/>
      <c r="F461" s="406"/>
      <c r="G461" s="406"/>
      <c r="H461" s="524"/>
      <c r="I461" s="530">
        <f t="shared" si="8"/>
        <v>1000</v>
      </c>
      <c r="J461" s="124"/>
      <c r="K461" s="124"/>
      <c r="L461" s="124">
        <v>1000</v>
      </c>
      <c r="M461" s="124"/>
      <c r="N461" s="329"/>
    </row>
    <row r="462" spans="1:14" s="327" customFormat="1" ht="17.25">
      <c r="A462" s="908">
        <v>456</v>
      </c>
      <c r="B462" s="128"/>
      <c r="C462" s="336"/>
      <c r="D462" s="330" t="s">
        <v>405</v>
      </c>
      <c r="E462" s="331"/>
      <c r="F462" s="408"/>
      <c r="G462" s="408"/>
      <c r="H462" s="525"/>
      <c r="I462" s="531">
        <f t="shared" si="8"/>
        <v>0</v>
      </c>
      <c r="J462" s="332"/>
      <c r="K462" s="332"/>
      <c r="L462" s="332"/>
      <c r="M462" s="332"/>
      <c r="N462" s="333"/>
    </row>
    <row r="463" spans="1:14" s="1500" customFormat="1" ht="17.25">
      <c r="A463" s="908">
        <v>457</v>
      </c>
      <c r="B463" s="337"/>
      <c r="C463" s="338"/>
      <c r="D463" s="334" t="s">
        <v>1067</v>
      </c>
      <c r="E463" s="335"/>
      <c r="F463" s="407"/>
      <c r="G463" s="407"/>
      <c r="H463" s="526"/>
      <c r="I463" s="532">
        <f t="shared" si="8"/>
        <v>1000</v>
      </c>
      <c r="J463" s="407">
        <f>SUM(J461:J462)</f>
        <v>0</v>
      </c>
      <c r="K463" s="407">
        <f>SUM(K461:K462)</f>
        <v>0</v>
      </c>
      <c r="L463" s="407">
        <f>SUM(L461:L462)</f>
        <v>1000</v>
      </c>
      <c r="M463" s="407">
        <f>SUM(M461:M462)</f>
        <v>0</v>
      </c>
      <c r="N463" s="514">
        <f>SUM(N460:N462)</f>
        <v>0</v>
      </c>
    </row>
    <row r="464" spans="1:14" s="42" customFormat="1" ht="25.5" customHeight="1">
      <c r="A464" s="908">
        <v>458</v>
      </c>
      <c r="B464" s="126"/>
      <c r="C464" s="121">
        <v>78</v>
      </c>
      <c r="D464" s="122" t="s">
        <v>112</v>
      </c>
      <c r="E464" s="123" t="s">
        <v>859</v>
      </c>
      <c r="F464" s="406">
        <v>43</v>
      </c>
      <c r="G464" s="406">
        <v>1700</v>
      </c>
      <c r="H464" s="524">
        <v>46</v>
      </c>
      <c r="I464" s="530"/>
      <c r="J464" s="123"/>
      <c r="K464" s="123"/>
      <c r="L464" s="123"/>
      <c r="M464" s="123"/>
      <c r="N464" s="515"/>
    </row>
    <row r="465" spans="1:14" s="893" customFormat="1" ht="16.5">
      <c r="A465" s="908">
        <v>459</v>
      </c>
      <c r="B465" s="894"/>
      <c r="C465" s="895"/>
      <c r="D465" s="896" t="s">
        <v>403</v>
      </c>
      <c r="E465" s="897"/>
      <c r="F465" s="888"/>
      <c r="G465" s="888"/>
      <c r="H465" s="889"/>
      <c r="I465" s="890">
        <f t="shared" si="8"/>
        <v>1700</v>
      </c>
      <c r="J465" s="891"/>
      <c r="K465" s="891"/>
      <c r="L465" s="891">
        <v>1700</v>
      </c>
      <c r="M465" s="891"/>
      <c r="N465" s="892"/>
    </row>
    <row r="466" spans="1:14" s="42" customFormat="1" ht="16.5">
      <c r="A466" s="908">
        <v>460</v>
      </c>
      <c r="B466" s="126"/>
      <c r="C466" s="121"/>
      <c r="D466" s="122" t="s">
        <v>957</v>
      </c>
      <c r="E466" s="123"/>
      <c r="F466" s="406"/>
      <c r="G466" s="406"/>
      <c r="H466" s="524"/>
      <c r="I466" s="530">
        <f t="shared" si="8"/>
        <v>1590</v>
      </c>
      <c r="J466" s="124"/>
      <c r="K466" s="124"/>
      <c r="L466" s="124">
        <v>1590</v>
      </c>
      <c r="M466" s="124"/>
      <c r="N466" s="329"/>
    </row>
    <row r="467" spans="1:14" s="327" customFormat="1" ht="17.25">
      <c r="A467" s="908">
        <v>461</v>
      </c>
      <c r="B467" s="128"/>
      <c r="C467" s="336"/>
      <c r="D467" s="507" t="s">
        <v>405</v>
      </c>
      <c r="E467" s="331"/>
      <c r="F467" s="408"/>
      <c r="G467" s="408"/>
      <c r="H467" s="525"/>
      <c r="I467" s="531">
        <f t="shared" si="8"/>
        <v>0</v>
      </c>
      <c r="J467" s="332"/>
      <c r="K467" s="332"/>
      <c r="L467" s="332"/>
      <c r="M467" s="332"/>
      <c r="N467" s="333"/>
    </row>
    <row r="468" spans="1:14" s="1500" customFormat="1" ht="17.25">
      <c r="A468" s="908">
        <v>462</v>
      </c>
      <c r="B468" s="337"/>
      <c r="C468" s="338"/>
      <c r="D468" s="334" t="s">
        <v>1067</v>
      </c>
      <c r="E468" s="335"/>
      <c r="F468" s="407"/>
      <c r="G468" s="407"/>
      <c r="H468" s="526"/>
      <c r="I468" s="532">
        <f t="shared" si="8"/>
        <v>1590</v>
      </c>
      <c r="J468" s="407">
        <f>SUM(J466:J467)</f>
        <v>0</v>
      </c>
      <c r="K468" s="407">
        <f>SUM(K466:K467)</f>
        <v>0</v>
      </c>
      <c r="L468" s="407">
        <f>SUM(L466:L467)</f>
        <v>1590</v>
      </c>
      <c r="M468" s="407">
        <f>SUM(M466:M467)</f>
        <v>0</v>
      </c>
      <c r="N468" s="514">
        <f>SUM(N466:N467)</f>
        <v>0</v>
      </c>
    </row>
    <row r="469" spans="1:14" s="42" customFormat="1" ht="25.5" customHeight="1">
      <c r="A469" s="908">
        <v>463</v>
      </c>
      <c r="B469" s="126"/>
      <c r="C469" s="121">
        <v>79</v>
      </c>
      <c r="D469" s="122" t="s">
        <v>103</v>
      </c>
      <c r="E469" s="123" t="s">
        <v>859</v>
      </c>
      <c r="F469" s="406">
        <v>6988</v>
      </c>
      <c r="G469" s="406">
        <v>5800</v>
      </c>
      <c r="H469" s="524">
        <v>843</v>
      </c>
      <c r="I469" s="530"/>
      <c r="J469" s="123"/>
      <c r="K469" s="123"/>
      <c r="L469" s="123"/>
      <c r="M469" s="123"/>
      <c r="N469" s="515"/>
    </row>
    <row r="470" spans="1:14" s="893" customFormat="1" ht="16.5">
      <c r="A470" s="908">
        <v>464</v>
      </c>
      <c r="B470" s="894"/>
      <c r="C470" s="895"/>
      <c r="D470" s="896" t="s">
        <v>403</v>
      </c>
      <c r="E470" s="897"/>
      <c r="F470" s="888"/>
      <c r="G470" s="888"/>
      <c r="H470" s="889"/>
      <c r="I470" s="890">
        <f t="shared" si="8"/>
        <v>4800</v>
      </c>
      <c r="J470" s="891">
        <v>300</v>
      </c>
      <c r="K470" s="891">
        <v>100</v>
      </c>
      <c r="L470" s="891">
        <v>4400</v>
      </c>
      <c r="M470" s="891"/>
      <c r="N470" s="892"/>
    </row>
    <row r="471" spans="1:14" s="42" customFormat="1" ht="16.5">
      <c r="A471" s="908">
        <v>465</v>
      </c>
      <c r="B471" s="126"/>
      <c r="C471" s="121"/>
      <c r="D471" s="122" t="s">
        <v>957</v>
      </c>
      <c r="E471" s="123"/>
      <c r="F471" s="406"/>
      <c r="G471" s="406"/>
      <c r="H471" s="524"/>
      <c r="I471" s="530">
        <f t="shared" si="8"/>
        <v>4800</v>
      </c>
      <c r="J471" s="124">
        <v>300</v>
      </c>
      <c r="K471" s="124">
        <v>100</v>
      </c>
      <c r="L471" s="124">
        <v>4400</v>
      </c>
      <c r="M471" s="124"/>
      <c r="N471" s="329"/>
    </row>
    <row r="472" spans="1:14" s="327" customFormat="1" ht="17.25">
      <c r="A472" s="908">
        <v>466</v>
      </c>
      <c r="B472" s="128"/>
      <c r="C472" s="336"/>
      <c r="D472" s="330" t="s">
        <v>405</v>
      </c>
      <c r="E472" s="331"/>
      <c r="F472" s="408"/>
      <c r="G472" s="408"/>
      <c r="H472" s="525"/>
      <c r="I472" s="531">
        <f t="shared" si="8"/>
        <v>0</v>
      </c>
      <c r="J472" s="332"/>
      <c r="K472" s="332"/>
      <c r="L472" s="332"/>
      <c r="M472" s="332"/>
      <c r="N472" s="333"/>
    </row>
    <row r="473" spans="1:14" s="1500" customFormat="1" ht="17.25">
      <c r="A473" s="908">
        <v>467</v>
      </c>
      <c r="B473" s="337"/>
      <c r="C473" s="338"/>
      <c r="D473" s="334" t="s">
        <v>1067</v>
      </c>
      <c r="E473" s="335"/>
      <c r="F473" s="407"/>
      <c r="G473" s="407"/>
      <c r="H473" s="526"/>
      <c r="I473" s="532">
        <f t="shared" si="8"/>
        <v>4800</v>
      </c>
      <c r="J473" s="407">
        <f>SUM(J471:J472)</f>
        <v>300</v>
      </c>
      <c r="K473" s="407">
        <f>SUM(K471:K472)</f>
        <v>100</v>
      </c>
      <c r="L473" s="407">
        <f>SUM(L471:L472)</f>
        <v>4400</v>
      </c>
      <c r="M473" s="407">
        <f>SUM(M471:M472)</f>
        <v>0</v>
      </c>
      <c r="N473" s="514">
        <f>SUM(N471:N472)</f>
        <v>0</v>
      </c>
    </row>
    <row r="474" spans="1:14" s="42" customFormat="1" ht="16.5">
      <c r="A474" s="908">
        <v>468</v>
      </c>
      <c r="B474" s="126"/>
      <c r="C474" s="121">
        <v>80</v>
      </c>
      <c r="D474" s="122" t="s">
        <v>918</v>
      </c>
      <c r="E474" s="123" t="s">
        <v>859</v>
      </c>
      <c r="F474" s="406">
        <v>104605</v>
      </c>
      <c r="G474" s="406">
        <v>115000</v>
      </c>
      <c r="H474" s="524">
        <v>88514</v>
      </c>
      <c r="I474" s="530"/>
      <c r="J474" s="123"/>
      <c r="K474" s="123"/>
      <c r="L474" s="123"/>
      <c r="M474" s="123"/>
      <c r="N474" s="515"/>
    </row>
    <row r="475" spans="1:14" s="893" customFormat="1" ht="16.5">
      <c r="A475" s="908">
        <v>469</v>
      </c>
      <c r="B475" s="894"/>
      <c r="C475" s="895"/>
      <c r="D475" s="896" t="s">
        <v>403</v>
      </c>
      <c r="E475" s="897"/>
      <c r="F475" s="888"/>
      <c r="G475" s="888"/>
      <c r="H475" s="889"/>
      <c r="I475" s="890">
        <f t="shared" si="8"/>
        <v>148000</v>
      </c>
      <c r="J475" s="891"/>
      <c r="K475" s="891"/>
      <c r="L475" s="891">
        <v>148000</v>
      </c>
      <c r="M475" s="891"/>
      <c r="N475" s="892"/>
    </row>
    <row r="476" spans="1:14" s="42" customFormat="1" ht="16.5">
      <c r="A476" s="908">
        <v>470</v>
      </c>
      <c r="B476" s="126"/>
      <c r="C476" s="121"/>
      <c r="D476" s="122" t="s">
        <v>957</v>
      </c>
      <c r="E476" s="123"/>
      <c r="F476" s="406"/>
      <c r="G476" s="406"/>
      <c r="H476" s="524"/>
      <c r="I476" s="530">
        <f t="shared" si="8"/>
        <v>185264</v>
      </c>
      <c r="J476" s="124"/>
      <c r="K476" s="124"/>
      <c r="L476" s="124">
        <v>185264</v>
      </c>
      <c r="M476" s="124"/>
      <c r="N476" s="329"/>
    </row>
    <row r="477" spans="1:14" s="327" customFormat="1" ht="17.25">
      <c r="A477" s="908">
        <v>471</v>
      </c>
      <c r="B477" s="128"/>
      <c r="C477" s="336"/>
      <c r="D477" s="507" t="s">
        <v>405</v>
      </c>
      <c r="E477" s="331"/>
      <c r="F477" s="408"/>
      <c r="G477" s="408"/>
      <c r="H477" s="525"/>
      <c r="I477" s="531">
        <f t="shared" si="8"/>
        <v>0</v>
      </c>
      <c r="J477" s="332"/>
      <c r="K477" s="332"/>
      <c r="L477" s="332"/>
      <c r="M477" s="332"/>
      <c r="N477" s="333"/>
    </row>
    <row r="478" spans="1:14" s="1500" customFormat="1" ht="17.25">
      <c r="A478" s="908">
        <v>472</v>
      </c>
      <c r="B478" s="337"/>
      <c r="C478" s="338"/>
      <c r="D478" s="334" t="s">
        <v>1067</v>
      </c>
      <c r="E478" s="335"/>
      <c r="F478" s="407"/>
      <c r="G478" s="407"/>
      <c r="H478" s="526"/>
      <c r="I478" s="532">
        <f t="shared" si="8"/>
        <v>185264</v>
      </c>
      <c r="J478" s="407">
        <f>SUM(J476:J477)</f>
        <v>0</v>
      </c>
      <c r="K478" s="407">
        <f>SUM(K476:K477)</f>
        <v>0</v>
      </c>
      <c r="L478" s="407">
        <f>SUM(L476:L477)</f>
        <v>185264</v>
      </c>
      <c r="M478" s="407">
        <f>SUM(M476:M477)</f>
        <v>0</v>
      </c>
      <c r="N478" s="514">
        <f>SUM(N476:N477)</f>
        <v>0</v>
      </c>
    </row>
    <row r="479" spans="1:14" s="42" customFormat="1" ht="21.75" customHeight="1">
      <c r="A479" s="908">
        <v>473</v>
      </c>
      <c r="B479" s="126"/>
      <c r="C479" s="121">
        <v>81</v>
      </c>
      <c r="D479" s="122" t="s">
        <v>416</v>
      </c>
      <c r="E479" s="123" t="s">
        <v>859</v>
      </c>
      <c r="F479" s="406">
        <v>227503</v>
      </c>
      <c r="G479" s="406">
        <v>250000</v>
      </c>
      <c r="H479" s="524">
        <f>253303-1483</f>
        <v>251820</v>
      </c>
      <c r="I479" s="530"/>
      <c r="J479" s="123"/>
      <c r="K479" s="123"/>
      <c r="L479" s="123"/>
      <c r="M479" s="123"/>
      <c r="N479" s="515"/>
    </row>
    <row r="480" spans="1:14" s="893" customFormat="1" ht="16.5">
      <c r="A480" s="908">
        <v>474</v>
      </c>
      <c r="B480" s="894"/>
      <c r="C480" s="895"/>
      <c r="D480" s="896" t="s">
        <v>403</v>
      </c>
      <c r="E480" s="897"/>
      <c r="F480" s="888"/>
      <c r="G480" s="888"/>
      <c r="H480" s="889"/>
      <c r="I480" s="890">
        <f t="shared" si="8"/>
        <v>278000</v>
      </c>
      <c r="J480" s="891"/>
      <c r="K480" s="891"/>
      <c r="L480" s="891">
        <v>278000</v>
      </c>
      <c r="M480" s="891"/>
      <c r="N480" s="892"/>
    </row>
    <row r="481" spans="1:14" s="42" customFormat="1" ht="16.5">
      <c r="A481" s="908">
        <v>475</v>
      </c>
      <c r="B481" s="126"/>
      <c r="C481" s="121"/>
      <c r="D481" s="122" t="s">
        <v>957</v>
      </c>
      <c r="E481" s="123"/>
      <c r="F481" s="406"/>
      <c r="G481" s="406"/>
      <c r="H481" s="524"/>
      <c r="I481" s="530">
        <f t="shared" si="8"/>
        <v>294389</v>
      </c>
      <c r="J481" s="124"/>
      <c r="K481" s="124"/>
      <c r="L481" s="124">
        <v>294389</v>
      </c>
      <c r="M481" s="124"/>
      <c r="N481" s="329"/>
    </row>
    <row r="482" spans="1:14" s="327" customFormat="1" ht="17.25">
      <c r="A482" s="908">
        <v>476</v>
      </c>
      <c r="B482" s="128"/>
      <c r="C482" s="336"/>
      <c r="D482" s="507" t="s">
        <v>405</v>
      </c>
      <c r="E482" s="331"/>
      <c r="F482" s="408"/>
      <c r="G482" s="408"/>
      <c r="H482" s="525"/>
      <c r="I482" s="531">
        <f t="shared" si="8"/>
        <v>0</v>
      </c>
      <c r="J482" s="332"/>
      <c r="K482" s="332"/>
      <c r="L482" s="332"/>
      <c r="M482" s="332"/>
      <c r="N482" s="333"/>
    </row>
    <row r="483" spans="1:14" s="1500" customFormat="1" ht="17.25">
      <c r="A483" s="908">
        <v>477</v>
      </c>
      <c r="B483" s="337"/>
      <c r="C483" s="338"/>
      <c r="D483" s="334" t="s">
        <v>1067</v>
      </c>
      <c r="E483" s="335"/>
      <c r="F483" s="407"/>
      <c r="G483" s="407"/>
      <c r="H483" s="526"/>
      <c r="I483" s="532">
        <f>SUM(J483:N483)</f>
        <v>294389</v>
      </c>
      <c r="J483" s="407">
        <f>SUM(J481:J482)</f>
        <v>0</v>
      </c>
      <c r="K483" s="407">
        <f>SUM(K481:K482)</f>
        <v>0</v>
      </c>
      <c r="L483" s="407">
        <f>SUM(L481:L482)</f>
        <v>294389</v>
      </c>
      <c r="M483" s="407">
        <f>SUM(M481:M482)</f>
        <v>0</v>
      </c>
      <c r="N483" s="514">
        <f>SUM(N481:N482)</f>
        <v>0</v>
      </c>
    </row>
    <row r="484" spans="1:14" s="42" customFormat="1" ht="21.75" customHeight="1">
      <c r="A484" s="908">
        <v>478</v>
      </c>
      <c r="B484" s="126"/>
      <c r="C484" s="121">
        <v>82</v>
      </c>
      <c r="D484" s="122" t="s">
        <v>104</v>
      </c>
      <c r="E484" s="123" t="s">
        <v>859</v>
      </c>
      <c r="F484" s="406">
        <v>36680</v>
      </c>
      <c r="G484" s="406">
        <v>40000</v>
      </c>
      <c r="H484" s="524">
        <v>39200</v>
      </c>
      <c r="I484" s="530"/>
      <c r="J484" s="123"/>
      <c r="K484" s="123"/>
      <c r="L484" s="123"/>
      <c r="M484" s="123"/>
      <c r="N484" s="515"/>
    </row>
    <row r="485" spans="1:14" s="893" customFormat="1" ht="16.5">
      <c r="A485" s="908">
        <v>479</v>
      </c>
      <c r="B485" s="894"/>
      <c r="C485" s="895"/>
      <c r="D485" s="896" t="s">
        <v>403</v>
      </c>
      <c r="E485" s="897"/>
      <c r="F485" s="888"/>
      <c r="G485" s="888"/>
      <c r="H485" s="889"/>
      <c r="I485" s="890">
        <f t="shared" si="8"/>
        <v>50000</v>
      </c>
      <c r="J485" s="891"/>
      <c r="K485" s="891"/>
      <c r="L485" s="891">
        <v>50000</v>
      </c>
      <c r="M485" s="891"/>
      <c r="N485" s="892"/>
    </row>
    <row r="486" spans="1:14" s="42" customFormat="1" ht="16.5">
      <c r="A486" s="908">
        <v>480</v>
      </c>
      <c r="B486" s="126"/>
      <c r="C486" s="121"/>
      <c r="D486" s="122" t="s">
        <v>957</v>
      </c>
      <c r="E486" s="123"/>
      <c r="F486" s="406"/>
      <c r="G486" s="406"/>
      <c r="H486" s="524"/>
      <c r="I486" s="530">
        <f t="shared" si="8"/>
        <v>53900</v>
      </c>
      <c r="J486" s="124"/>
      <c r="K486" s="124"/>
      <c r="L486" s="124">
        <v>53900</v>
      </c>
      <c r="M486" s="124"/>
      <c r="N486" s="329"/>
    </row>
    <row r="487" spans="1:14" s="327" customFormat="1" ht="17.25">
      <c r="A487" s="908">
        <v>481</v>
      </c>
      <c r="B487" s="128"/>
      <c r="C487" s="336"/>
      <c r="D487" s="330" t="s">
        <v>405</v>
      </c>
      <c r="E487" s="331"/>
      <c r="F487" s="408"/>
      <c r="G487" s="408"/>
      <c r="H487" s="525"/>
      <c r="I487" s="531">
        <f t="shared" si="8"/>
        <v>0</v>
      </c>
      <c r="J487" s="332"/>
      <c r="K487" s="332"/>
      <c r="L487" s="332"/>
      <c r="M487" s="332"/>
      <c r="N487" s="333"/>
    </row>
    <row r="488" spans="1:14" s="1500" customFormat="1" ht="17.25">
      <c r="A488" s="908">
        <v>482</v>
      </c>
      <c r="B488" s="337"/>
      <c r="C488" s="338"/>
      <c r="D488" s="334" t="s">
        <v>1067</v>
      </c>
      <c r="E488" s="335"/>
      <c r="F488" s="407"/>
      <c r="G488" s="407"/>
      <c r="H488" s="526"/>
      <c r="I488" s="532">
        <f t="shared" si="8"/>
        <v>53900</v>
      </c>
      <c r="J488" s="407">
        <f>SUM(J486:J487)</f>
        <v>0</v>
      </c>
      <c r="K488" s="407">
        <f>SUM(K486:K487)</f>
        <v>0</v>
      </c>
      <c r="L488" s="407">
        <f>SUM(L486:L487)</f>
        <v>53900</v>
      </c>
      <c r="M488" s="407">
        <f>SUM(M486:M487)</f>
        <v>0</v>
      </c>
      <c r="N488" s="514">
        <f>SUM(N486:N487)</f>
        <v>0</v>
      </c>
    </row>
    <row r="489" spans="1:14" s="42" customFormat="1" ht="21.75" customHeight="1">
      <c r="A489" s="908">
        <v>483</v>
      </c>
      <c r="B489" s="126"/>
      <c r="C489" s="121">
        <v>83</v>
      </c>
      <c r="D489" s="122" t="s">
        <v>105</v>
      </c>
      <c r="E489" s="123" t="s">
        <v>859</v>
      </c>
      <c r="F489" s="406">
        <v>242142</v>
      </c>
      <c r="G489" s="406">
        <v>260000</v>
      </c>
      <c r="H489" s="524">
        <v>261079</v>
      </c>
      <c r="I489" s="530"/>
      <c r="J489" s="123"/>
      <c r="K489" s="123"/>
      <c r="L489" s="123"/>
      <c r="M489" s="123"/>
      <c r="N489" s="515"/>
    </row>
    <row r="490" spans="1:14" s="893" customFormat="1" ht="16.5">
      <c r="A490" s="908">
        <v>484</v>
      </c>
      <c r="B490" s="894"/>
      <c r="C490" s="895"/>
      <c r="D490" s="896" t="s">
        <v>403</v>
      </c>
      <c r="E490" s="897"/>
      <c r="F490" s="888"/>
      <c r="G490" s="888"/>
      <c r="H490" s="889"/>
      <c r="I490" s="890">
        <f t="shared" si="8"/>
        <v>300000</v>
      </c>
      <c r="J490" s="891"/>
      <c r="K490" s="891"/>
      <c r="L490" s="891">
        <v>300000</v>
      </c>
      <c r="M490" s="891"/>
      <c r="N490" s="892"/>
    </row>
    <row r="491" spans="1:14" s="42" customFormat="1" ht="16.5">
      <c r="A491" s="908">
        <v>485</v>
      </c>
      <c r="B491" s="126"/>
      <c r="C491" s="121"/>
      <c r="D491" s="122" t="s">
        <v>957</v>
      </c>
      <c r="E491" s="123"/>
      <c r="F491" s="406"/>
      <c r="G491" s="406"/>
      <c r="H491" s="524"/>
      <c r="I491" s="530">
        <f t="shared" si="8"/>
        <v>326678</v>
      </c>
      <c r="J491" s="124"/>
      <c r="K491" s="124"/>
      <c r="L491" s="124">
        <v>326678</v>
      </c>
      <c r="M491" s="124"/>
      <c r="N491" s="329"/>
    </row>
    <row r="492" spans="1:14" s="1373" customFormat="1" ht="17.25">
      <c r="A492" s="908">
        <v>486</v>
      </c>
      <c r="B492" s="1366"/>
      <c r="C492" s="1367"/>
      <c r="D492" s="507" t="s">
        <v>405</v>
      </c>
      <c r="E492" s="1368"/>
      <c r="F492" s="1369"/>
      <c r="G492" s="1369"/>
      <c r="H492" s="1370"/>
      <c r="I492" s="1371">
        <f aca="true" t="shared" si="9" ref="I492:I575">SUM(J492:N492)</f>
        <v>0</v>
      </c>
      <c r="J492" s="1365"/>
      <c r="K492" s="1365"/>
      <c r="L492" s="1365"/>
      <c r="M492" s="1365"/>
      <c r="N492" s="1372"/>
    </row>
    <row r="493" spans="1:14" s="1500" customFormat="1" ht="17.25">
      <c r="A493" s="908">
        <v>487</v>
      </c>
      <c r="B493" s="337"/>
      <c r="C493" s="338"/>
      <c r="D493" s="334" t="s">
        <v>1067</v>
      </c>
      <c r="E493" s="335"/>
      <c r="F493" s="407"/>
      <c r="G493" s="407"/>
      <c r="H493" s="526"/>
      <c r="I493" s="532">
        <f>SUM(J493:N493)</f>
        <v>326678</v>
      </c>
      <c r="J493" s="407">
        <f>SUM(J491:J492)</f>
        <v>0</v>
      </c>
      <c r="K493" s="407">
        <f>SUM(K491:K492)</f>
        <v>0</v>
      </c>
      <c r="L493" s="407">
        <f>SUM(L491:L492)</f>
        <v>326678</v>
      </c>
      <c r="M493" s="407">
        <f>SUM(M491:M492)</f>
        <v>0</v>
      </c>
      <c r="N493" s="514">
        <f>SUM(N491:N492)</f>
        <v>0</v>
      </c>
    </row>
    <row r="494" spans="1:14" s="42" customFormat="1" ht="21.75" customHeight="1">
      <c r="A494" s="908">
        <v>488</v>
      </c>
      <c r="B494" s="126"/>
      <c r="C494" s="121">
        <v>84</v>
      </c>
      <c r="D494" s="122" t="s">
        <v>906</v>
      </c>
      <c r="E494" s="123" t="s">
        <v>859</v>
      </c>
      <c r="F494" s="406"/>
      <c r="G494" s="406"/>
      <c r="H494" s="524"/>
      <c r="I494" s="530"/>
      <c r="J494" s="123"/>
      <c r="K494" s="123"/>
      <c r="L494" s="123"/>
      <c r="M494" s="123"/>
      <c r="N494" s="515"/>
    </row>
    <row r="495" spans="1:14" s="893" customFormat="1" ht="16.5">
      <c r="A495" s="908">
        <v>489</v>
      </c>
      <c r="B495" s="894"/>
      <c r="C495" s="895"/>
      <c r="D495" s="896" t="s">
        <v>403</v>
      </c>
      <c r="E495" s="897"/>
      <c r="F495" s="888"/>
      <c r="G495" s="888"/>
      <c r="H495" s="889"/>
      <c r="I495" s="890">
        <f t="shared" si="9"/>
        <v>30000</v>
      </c>
      <c r="J495" s="891"/>
      <c r="K495" s="891"/>
      <c r="L495" s="891">
        <v>30000</v>
      </c>
      <c r="M495" s="891"/>
      <c r="N495" s="892"/>
    </row>
    <row r="496" spans="1:14" s="42" customFormat="1" ht="16.5">
      <c r="A496" s="908">
        <v>490</v>
      </c>
      <c r="B496" s="126"/>
      <c r="C496" s="121"/>
      <c r="D496" s="122" t="s">
        <v>957</v>
      </c>
      <c r="E496" s="123"/>
      <c r="F496" s="406"/>
      <c r="G496" s="406"/>
      <c r="H496" s="524"/>
      <c r="I496" s="530">
        <f t="shared" si="9"/>
        <v>0</v>
      </c>
      <c r="J496" s="124"/>
      <c r="K496" s="124"/>
      <c r="L496" s="124"/>
      <c r="M496" s="124"/>
      <c r="N496" s="329"/>
    </row>
    <row r="497" spans="1:14" s="327" customFormat="1" ht="17.25">
      <c r="A497" s="908">
        <v>491</v>
      </c>
      <c r="B497" s="128"/>
      <c r="C497" s="336"/>
      <c r="D497" s="330" t="s">
        <v>405</v>
      </c>
      <c r="E497" s="331"/>
      <c r="F497" s="408"/>
      <c r="G497" s="408"/>
      <c r="H497" s="525"/>
      <c r="I497" s="531">
        <f t="shared" si="9"/>
        <v>0</v>
      </c>
      <c r="J497" s="332"/>
      <c r="K497" s="332"/>
      <c r="L497" s="332"/>
      <c r="M497" s="332"/>
      <c r="N497" s="333"/>
    </row>
    <row r="498" spans="1:14" s="1500" customFormat="1" ht="17.25">
      <c r="A498" s="908">
        <v>492</v>
      </c>
      <c r="B498" s="337"/>
      <c r="C498" s="338"/>
      <c r="D498" s="334" t="s">
        <v>1067</v>
      </c>
      <c r="E498" s="335"/>
      <c r="F498" s="407"/>
      <c r="G498" s="407"/>
      <c r="H498" s="526"/>
      <c r="I498" s="532">
        <f t="shared" si="9"/>
        <v>0</v>
      </c>
      <c r="J498" s="407">
        <f>SUM(J496:J497)</f>
        <v>0</v>
      </c>
      <c r="K498" s="407">
        <f>SUM(K496:K497)</f>
        <v>0</v>
      </c>
      <c r="L498" s="407">
        <f>SUM(L496:L497)</f>
        <v>0</v>
      </c>
      <c r="M498" s="407">
        <f>SUM(M496:M497)</f>
        <v>0</v>
      </c>
      <c r="N498" s="514">
        <f>SUM(N496:N497)</f>
        <v>0</v>
      </c>
    </row>
    <row r="499" spans="1:14" s="42" customFormat="1" ht="21.75" customHeight="1">
      <c r="A499" s="908">
        <v>493</v>
      </c>
      <c r="B499" s="126"/>
      <c r="C499" s="121">
        <v>85</v>
      </c>
      <c r="D499" s="122" t="s">
        <v>73</v>
      </c>
      <c r="E499" s="123" t="s">
        <v>799</v>
      </c>
      <c r="F499" s="406"/>
      <c r="G499" s="406"/>
      <c r="H499" s="524"/>
      <c r="I499" s="530"/>
      <c r="J499" s="123"/>
      <c r="K499" s="123"/>
      <c r="L499" s="123"/>
      <c r="M499" s="123"/>
      <c r="N499" s="515"/>
    </row>
    <row r="500" spans="1:14" s="42" customFormat="1" ht="16.5">
      <c r="A500" s="908">
        <v>494</v>
      </c>
      <c r="B500" s="126"/>
      <c r="C500" s="121"/>
      <c r="D500" s="122" t="s">
        <v>957</v>
      </c>
      <c r="E500" s="123"/>
      <c r="F500" s="406"/>
      <c r="G500" s="406"/>
      <c r="H500" s="524"/>
      <c r="I500" s="530">
        <f>SUM(J500:N500)</f>
        <v>30000</v>
      </c>
      <c r="J500" s="124"/>
      <c r="K500" s="124"/>
      <c r="L500" s="124">
        <v>30000</v>
      </c>
      <c r="M500" s="124"/>
      <c r="N500" s="329"/>
    </row>
    <row r="501" spans="1:14" s="327" customFormat="1" ht="17.25">
      <c r="A501" s="908">
        <v>495</v>
      </c>
      <c r="B501" s="128"/>
      <c r="C501" s="336"/>
      <c r="D501" s="330" t="s">
        <v>405</v>
      </c>
      <c r="E501" s="331"/>
      <c r="F501" s="408"/>
      <c r="G501" s="408"/>
      <c r="H501" s="525"/>
      <c r="I501" s="531">
        <f>SUM(J501:N501)</f>
        <v>0</v>
      </c>
      <c r="J501" s="332"/>
      <c r="K501" s="332"/>
      <c r="L501" s="332"/>
      <c r="M501" s="332"/>
      <c r="N501" s="333"/>
    </row>
    <row r="502" spans="1:14" s="1500" customFormat="1" ht="17.25">
      <c r="A502" s="908">
        <v>496</v>
      </c>
      <c r="B502" s="337"/>
      <c r="C502" s="338"/>
      <c r="D502" s="334" t="s">
        <v>1067</v>
      </c>
      <c r="E502" s="335"/>
      <c r="F502" s="407"/>
      <c r="G502" s="407"/>
      <c r="H502" s="526"/>
      <c r="I502" s="532">
        <f>SUM(J502:N502)</f>
        <v>30000</v>
      </c>
      <c r="J502" s="407">
        <f>SUM(J500:J501)</f>
        <v>0</v>
      </c>
      <c r="K502" s="407">
        <f>SUM(K500:K501)</f>
        <v>0</v>
      </c>
      <c r="L502" s="407">
        <f>SUM(L500:L501)</f>
        <v>30000</v>
      </c>
      <c r="M502" s="407">
        <f>SUM(M500:M501)</f>
        <v>0</v>
      </c>
      <c r="N502" s="514">
        <f>SUM(N500:N501)</f>
        <v>0</v>
      </c>
    </row>
    <row r="503" spans="1:14" s="42" customFormat="1" ht="21.75" customHeight="1">
      <c r="A503" s="908">
        <v>497</v>
      </c>
      <c r="B503" s="126"/>
      <c r="C503" s="121">
        <v>86</v>
      </c>
      <c r="D503" s="122" t="s">
        <v>907</v>
      </c>
      <c r="E503" s="123" t="s">
        <v>859</v>
      </c>
      <c r="F503" s="406"/>
      <c r="G503" s="406"/>
      <c r="H503" s="524"/>
      <c r="I503" s="530"/>
      <c r="J503" s="123"/>
      <c r="K503" s="123"/>
      <c r="L503" s="123"/>
      <c r="M503" s="123"/>
      <c r="N503" s="515"/>
    </row>
    <row r="504" spans="1:14" s="893" customFormat="1" ht="16.5">
      <c r="A504" s="908">
        <v>498</v>
      </c>
      <c r="B504" s="894"/>
      <c r="C504" s="895"/>
      <c r="D504" s="896" t="s">
        <v>403</v>
      </c>
      <c r="E504" s="897"/>
      <c r="F504" s="888"/>
      <c r="G504" s="888"/>
      <c r="H504" s="889"/>
      <c r="I504" s="890">
        <f t="shared" si="9"/>
        <v>1000</v>
      </c>
      <c r="J504" s="891"/>
      <c r="K504" s="891"/>
      <c r="L504" s="891">
        <v>1000</v>
      </c>
      <c r="M504" s="891"/>
      <c r="N504" s="892"/>
    </row>
    <row r="505" spans="1:14" s="42" customFormat="1" ht="16.5">
      <c r="A505" s="908">
        <v>499</v>
      </c>
      <c r="B505" s="126"/>
      <c r="C505" s="121"/>
      <c r="D505" s="122" t="s">
        <v>957</v>
      </c>
      <c r="E505" s="123"/>
      <c r="F505" s="406"/>
      <c r="G505" s="406"/>
      <c r="H505" s="524"/>
      <c r="I505" s="530">
        <f t="shared" si="9"/>
        <v>1000</v>
      </c>
      <c r="J505" s="124"/>
      <c r="K505" s="124"/>
      <c r="L505" s="124">
        <v>1000</v>
      </c>
      <c r="M505" s="124"/>
      <c r="N505" s="329"/>
    </row>
    <row r="506" spans="1:14" s="327" customFormat="1" ht="17.25">
      <c r="A506" s="908">
        <v>500</v>
      </c>
      <c r="B506" s="128"/>
      <c r="C506" s="336"/>
      <c r="D506" s="330" t="s">
        <v>405</v>
      </c>
      <c r="E506" s="331"/>
      <c r="F506" s="408"/>
      <c r="G506" s="408"/>
      <c r="H506" s="525"/>
      <c r="I506" s="531">
        <f t="shared" si="9"/>
        <v>0</v>
      </c>
      <c r="J506" s="332"/>
      <c r="K506" s="332"/>
      <c r="L506" s="332"/>
      <c r="M506" s="332"/>
      <c r="N506" s="333"/>
    </row>
    <row r="507" spans="1:14" s="1500" customFormat="1" ht="17.25">
      <c r="A507" s="908">
        <v>501</v>
      </c>
      <c r="B507" s="337"/>
      <c r="C507" s="338"/>
      <c r="D507" s="334" t="s">
        <v>1067</v>
      </c>
      <c r="E507" s="335"/>
      <c r="F507" s="407"/>
      <c r="G507" s="407"/>
      <c r="H507" s="526"/>
      <c r="I507" s="532">
        <f t="shared" si="9"/>
        <v>1000</v>
      </c>
      <c r="J507" s="407">
        <f>SUM(J505:J506)</f>
        <v>0</v>
      </c>
      <c r="K507" s="407">
        <f>SUM(K505:K506)</f>
        <v>0</v>
      </c>
      <c r="L507" s="407">
        <f>SUM(L505:L506)</f>
        <v>1000</v>
      </c>
      <c r="M507" s="407">
        <f>SUM(M505:M506)</f>
        <v>0</v>
      </c>
      <c r="N507" s="514">
        <f>SUM(N505:N506)</f>
        <v>0</v>
      </c>
    </row>
    <row r="508" spans="1:14" s="42" customFormat="1" ht="21.75" customHeight="1">
      <c r="A508" s="908">
        <v>502</v>
      </c>
      <c r="B508" s="126"/>
      <c r="C508" s="121">
        <v>87</v>
      </c>
      <c r="D508" s="122" t="s">
        <v>824</v>
      </c>
      <c r="E508" s="123" t="s">
        <v>859</v>
      </c>
      <c r="F508" s="406"/>
      <c r="G508" s="406"/>
      <c r="H508" s="524"/>
      <c r="I508" s="530"/>
      <c r="J508" s="123"/>
      <c r="K508" s="123"/>
      <c r="L508" s="123"/>
      <c r="M508" s="123"/>
      <c r="N508" s="515"/>
    </row>
    <row r="509" spans="1:14" s="893" customFormat="1" ht="16.5">
      <c r="A509" s="908">
        <v>503</v>
      </c>
      <c r="B509" s="894"/>
      <c r="C509" s="895"/>
      <c r="D509" s="896" t="s">
        <v>403</v>
      </c>
      <c r="E509" s="897"/>
      <c r="F509" s="888"/>
      <c r="G509" s="888"/>
      <c r="H509" s="889"/>
      <c r="I509" s="890">
        <f t="shared" si="9"/>
        <v>5000</v>
      </c>
      <c r="J509" s="891"/>
      <c r="K509" s="891"/>
      <c r="L509" s="891">
        <v>5000</v>
      </c>
      <c r="M509" s="891"/>
      <c r="N509" s="892"/>
    </row>
    <row r="510" spans="1:14" s="42" customFormat="1" ht="16.5">
      <c r="A510" s="908">
        <v>504</v>
      </c>
      <c r="B510" s="126"/>
      <c r="C510" s="121"/>
      <c r="D510" s="122" t="s">
        <v>957</v>
      </c>
      <c r="E510" s="123"/>
      <c r="F510" s="406"/>
      <c r="G510" s="406"/>
      <c r="H510" s="524"/>
      <c r="I510" s="530">
        <f t="shared" si="9"/>
        <v>6500</v>
      </c>
      <c r="J510" s="124"/>
      <c r="K510" s="124"/>
      <c r="L510" s="124">
        <v>6500</v>
      </c>
      <c r="M510" s="124"/>
      <c r="N510" s="329"/>
    </row>
    <row r="511" spans="1:14" s="327" customFormat="1" ht="17.25">
      <c r="A511" s="908">
        <v>505</v>
      </c>
      <c r="B511" s="128"/>
      <c r="C511" s="336"/>
      <c r="D511" s="507" t="s">
        <v>405</v>
      </c>
      <c r="E511" s="331"/>
      <c r="F511" s="408"/>
      <c r="G511" s="408"/>
      <c r="H511" s="525"/>
      <c r="I511" s="531">
        <f t="shared" si="9"/>
        <v>0</v>
      </c>
      <c r="J511" s="332"/>
      <c r="K511" s="332"/>
      <c r="L511" s="332"/>
      <c r="M511" s="332"/>
      <c r="N511" s="333"/>
    </row>
    <row r="512" spans="1:14" s="1500" customFormat="1" ht="17.25">
      <c r="A512" s="908">
        <v>506</v>
      </c>
      <c r="B512" s="337"/>
      <c r="C512" s="338"/>
      <c r="D512" s="334" t="s">
        <v>1067</v>
      </c>
      <c r="E512" s="335"/>
      <c r="F512" s="407"/>
      <c r="G512" s="407"/>
      <c r="H512" s="526"/>
      <c r="I512" s="532">
        <f t="shared" si="9"/>
        <v>6500</v>
      </c>
      <c r="J512" s="407">
        <f>SUM(J510:J511)</f>
        <v>0</v>
      </c>
      <c r="K512" s="407">
        <f>SUM(K510:K511)</f>
        <v>0</v>
      </c>
      <c r="L512" s="407">
        <f>SUM(L510:L511)</f>
        <v>6500</v>
      </c>
      <c r="M512" s="407">
        <f>SUM(M510:M511)</f>
        <v>0</v>
      </c>
      <c r="N512" s="514">
        <f>SUM(N510:N511)</f>
        <v>0</v>
      </c>
    </row>
    <row r="513" spans="1:14" s="42" customFormat="1" ht="21.75" customHeight="1">
      <c r="A513" s="908">
        <v>507</v>
      </c>
      <c r="B513" s="126"/>
      <c r="C513" s="121">
        <v>88</v>
      </c>
      <c r="D513" s="122" t="s">
        <v>106</v>
      </c>
      <c r="E513" s="123" t="s">
        <v>859</v>
      </c>
      <c r="F513" s="406">
        <v>12929</v>
      </c>
      <c r="G513" s="406">
        <v>13000</v>
      </c>
      <c r="H513" s="524">
        <f>10735-343</f>
        <v>10392</v>
      </c>
      <c r="I513" s="530"/>
      <c r="J513" s="123"/>
      <c r="K513" s="123"/>
      <c r="L513" s="123"/>
      <c r="M513" s="123"/>
      <c r="N513" s="515"/>
    </row>
    <row r="514" spans="1:14" s="893" customFormat="1" ht="16.5">
      <c r="A514" s="908">
        <v>508</v>
      </c>
      <c r="B514" s="894"/>
      <c r="C514" s="895"/>
      <c r="D514" s="896" t="s">
        <v>403</v>
      </c>
      <c r="E514" s="897"/>
      <c r="F514" s="888"/>
      <c r="G514" s="888"/>
      <c r="H514" s="889"/>
      <c r="I514" s="890">
        <f t="shared" si="9"/>
        <v>13000</v>
      </c>
      <c r="J514" s="891"/>
      <c r="K514" s="891"/>
      <c r="L514" s="891">
        <v>12000</v>
      </c>
      <c r="M514" s="891"/>
      <c r="N514" s="892">
        <v>1000</v>
      </c>
    </row>
    <row r="515" spans="1:14" s="42" customFormat="1" ht="16.5">
      <c r="A515" s="908">
        <v>509</v>
      </c>
      <c r="B515" s="126"/>
      <c r="C515" s="121"/>
      <c r="D515" s="122" t="s">
        <v>957</v>
      </c>
      <c r="E515" s="123"/>
      <c r="F515" s="406"/>
      <c r="G515" s="406"/>
      <c r="H515" s="524"/>
      <c r="I515" s="530">
        <f t="shared" si="9"/>
        <v>23435</v>
      </c>
      <c r="J515" s="124">
        <v>270</v>
      </c>
      <c r="K515" s="124">
        <v>100</v>
      </c>
      <c r="L515" s="124">
        <v>22065</v>
      </c>
      <c r="M515" s="124"/>
      <c r="N515" s="329">
        <v>1000</v>
      </c>
    </row>
    <row r="516" spans="1:14" s="327" customFormat="1" ht="17.25">
      <c r="A516" s="908">
        <v>510</v>
      </c>
      <c r="B516" s="128"/>
      <c r="C516" s="336"/>
      <c r="D516" s="507" t="s">
        <v>1094</v>
      </c>
      <c r="E516" s="331"/>
      <c r="F516" s="408"/>
      <c r="G516" s="408"/>
      <c r="H516" s="525"/>
      <c r="I516" s="531">
        <f t="shared" si="9"/>
        <v>1416</v>
      </c>
      <c r="J516" s="332"/>
      <c r="K516" s="332"/>
      <c r="L516" s="332">
        <v>1416</v>
      </c>
      <c r="M516" s="332"/>
      <c r="N516" s="333"/>
    </row>
    <row r="517" spans="1:14" s="1500" customFormat="1" ht="17.25">
      <c r="A517" s="908">
        <v>511</v>
      </c>
      <c r="B517" s="337"/>
      <c r="C517" s="338"/>
      <c r="D517" s="334" t="s">
        <v>1067</v>
      </c>
      <c r="E517" s="335"/>
      <c r="F517" s="407"/>
      <c r="G517" s="407"/>
      <c r="H517" s="526"/>
      <c r="I517" s="532">
        <f>SUM(J517:N517)</f>
        <v>24851</v>
      </c>
      <c r="J517" s="407">
        <f>SUM(J515:J516)</f>
        <v>270</v>
      </c>
      <c r="K517" s="407">
        <f>SUM(K515:K516)</f>
        <v>100</v>
      </c>
      <c r="L517" s="407">
        <f>SUM(L515:L516)</f>
        <v>23481</v>
      </c>
      <c r="M517" s="407">
        <f>SUM(M515:M516)</f>
        <v>0</v>
      </c>
      <c r="N517" s="514">
        <f>SUM(N515:N516)</f>
        <v>1000</v>
      </c>
    </row>
    <row r="518" spans="1:14" s="42" customFormat="1" ht="21.75" customHeight="1">
      <c r="A518" s="908">
        <v>512</v>
      </c>
      <c r="B518" s="126"/>
      <c r="C518" s="121">
        <v>89</v>
      </c>
      <c r="D518" s="122" t="s">
        <v>108</v>
      </c>
      <c r="E518" s="123" t="s">
        <v>859</v>
      </c>
      <c r="F518" s="406">
        <v>172385</v>
      </c>
      <c r="G518" s="406">
        <v>138000</v>
      </c>
      <c r="H518" s="524">
        <v>89927</v>
      </c>
      <c r="I518" s="530"/>
      <c r="J518" s="123"/>
      <c r="K518" s="123"/>
      <c r="L518" s="123"/>
      <c r="M518" s="123"/>
      <c r="N518" s="515"/>
    </row>
    <row r="519" spans="1:14" s="893" customFormat="1" ht="16.5">
      <c r="A519" s="908">
        <v>513</v>
      </c>
      <c r="B519" s="894"/>
      <c r="C519" s="895"/>
      <c r="D519" s="896" t="s">
        <v>403</v>
      </c>
      <c r="E519" s="897"/>
      <c r="F519" s="888"/>
      <c r="G519" s="888"/>
      <c r="H519" s="889"/>
      <c r="I519" s="890">
        <f t="shared" si="9"/>
        <v>120000</v>
      </c>
      <c r="J519" s="891"/>
      <c r="K519" s="891"/>
      <c r="L519" s="891">
        <v>120000</v>
      </c>
      <c r="M519" s="891"/>
      <c r="N519" s="892"/>
    </row>
    <row r="520" spans="1:14" s="42" customFormat="1" ht="16.5">
      <c r="A520" s="908">
        <v>514</v>
      </c>
      <c r="B520" s="126"/>
      <c r="C520" s="121"/>
      <c r="D520" s="122" t="s">
        <v>957</v>
      </c>
      <c r="E520" s="123"/>
      <c r="F520" s="406"/>
      <c r="G520" s="406"/>
      <c r="H520" s="524"/>
      <c r="I520" s="530">
        <f t="shared" si="9"/>
        <v>168458</v>
      </c>
      <c r="J520" s="124"/>
      <c r="K520" s="124"/>
      <c r="L520" s="124">
        <v>168458</v>
      </c>
      <c r="M520" s="124"/>
      <c r="N520" s="329"/>
    </row>
    <row r="521" spans="1:14" s="327" customFormat="1" ht="17.25">
      <c r="A521" s="908">
        <v>515</v>
      </c>
      <c r="B521" s="128"/>
      <c r="C521" s="336"/>
      <c r="D521" s="507" t="s">
        <v>405</v>
      </c>
      <c r="E521" s="331"/>
      <c r="F521" s="408"/>
      <c r="G521" s="408"/>
      <c r="H521" s="525"/>
      <c r="I521" s="531">
        <f t="shared" si="9"/>
        <v>0</v>
      </c>
      <c r="J521" s="332"/>
      <c r="K521" s="332"/>
      <c r="L521" s="332"/>
      <c r="M521" s="332"/>
      <c r="N521" s="333"/>
    </row>
    <row r="522" spans="1:14" s="1500" customFormat="1" ht="17.25">
      <c r="A522" s="908">
        <v>516</v>
      </c>
      <c r="B522" s="337"/>
      <c r="C522" s="338"/>
      <c r="D522" s="334" t="s">
        <v>1067</v>
      </c>
      <c r="E522" s="335"/>
      <c r="F522" s="407"/>
      <c r="G522" s="407"/>
      <c r="H522" s="526"/>
      <c r="I522" s="532">
        <f t="shared" si="9"/>
        <v>168458</v>
      </c>
      <c r="J522" s="407">
        <f>SUM(J520:J521)</f>
        <v>0</v>
      </c>
      <c r="K522" s="407">
        <f>SUM(K520:K521)</f>
        <v>0</v>
      </c>
      <c r="L522" s="407">
        <f>SUM(L520:L521)</f>
        <v>168458</v>
      </c>
      <c r="M522" s="407">
        <f>SUM(M520:M521)</f>
        <v>0</v>
      </c>
      <c r="N522" s="514">
        <f>SUM(N520:N521)</f>
        <v>0</v>
      </c>
    </row>
    <row r="523" spans="1:14" s="42" customFormat="1" ht="21.75" customHeight="1">
      <c r="A523" s="908">
        <v>517</v>
      </c>
      <c r="B523" s="126"/>
      <c r="C523" s="121">
        <v>90</v>
      </c>
      <c r="D523" s="122" t="s">
        <v>109</v>
      </c>
      <c r="E523" s="123" t="s">
        <v>799</v>
      </c>
      <c r="F523" s="406">
        <v>5310</v>
      </c>
      <c r="G523" s="406">
        <v>5025</v>
      </c>
      <c r="H523" s="524">
        <v>5139</v>
      </c>
      <c r="I523" s="530"/>
      <c r="J523" s="123"/>
      <c r="K523" s="123"/>
      <c r="L523" s="123"/>
      <c r="M523" s="123"/>
      <c r="N523" s="515"/>
    </row>
    <row r="524" spans="1:14" s="893" customFormat="1" ht="16.5">
      <c r="A524" s="908">
        <v>518</v>
      </c>
      <c r="B524" s="894"/>
      <c r="C524" s="895"/>
      <c r="D524" s="896" t="s">
        <v>403</v>
      </c>
      <c r="E524" s="897"/>
      <c r="F524" s="888"/>
      <c r="G524" s="888"/>
      <c r="H524" s="889"/>
      <c r="I524" s="890">
        <f t="shared" si="9"/>
        <v>5856</v>
      </c>
      <c r="J524" s="891"/>
      <c r="K524" s="891"/>
      <c r="L524" s="891">
        <v>5856</v>
      </c>
      <c r="M524" s="891"/>
      <c r="N524" s="892"/>
    </row>
    <row r="525" spans="1:14" s="42" customFormat="1" ht="16.5">
      <c r="A525" s="908">
        <v>519</v>
      </c>
      <c r="B525" s="126"/>
      <c r="C525" s="121"/>
      <c r="D525" s="122" t="s">
        <v>957</v>
      </c>
      <c r="E525" s="123"/>
      <c r="F525" s="406"/>
      <c r="G525" s="406"/>
      <c r="H525" s="524"/>
      <c r="I525" s="530">
        <f t="shared" si="9"/>
        <v>5856</v>
      </c>
      <c r="J525" s="124"/>
      <c r="K525" s="124"/>
      <c r="L525" s="124">
        <v>5856</v>
      </c>
      <c r="M525" s="124"/>
      <c r="N525" s="329"/>
    </row>
    <row r="526" spans="1:14" s="327" customFormat="1" ht="17.25">
      <c r="A526" s="908">
        <v>520</v>
      </c>
      <c r="B526" s="128"/>
      <c r="C526" s="336"/>
      <c r="D526" s="330" t="s">
        <v>405</v>
      </c>
      <c r="E526" s="331"/>
      <c r="F526" s="408"/>
      <c r="G526" s="408"/>
      <c r="H526" s="525"/>
      <c r="I526" s="531">
        <f t="shared" si="9"/>
        <v>0</v>
      </c>
      <c r="J526" s="332"/>
      <c r="K526" s="332"/>
      <c r="L526" s="332"/>
      <c r="M526" s="332"/>
      <c r="N526" s="333"/>
    </row>
    <row r="527" spans="1:14" s="1500" customFormat="1" ht="17.25">
      <c r="A527" s="908">
        <v>521</v>
      </c>
      <c r="B527" s="337"/>
      <c r="C527" s="338"/>
      <c r="D527" s="334" t="s">
        <v>1067</v>
      </c>
      <c r="E527" s="335"/>
      <c r="F527" s="407"/>
      <c r="G527" s="407"/>
      <c r="H527" s="526"/>
      <c r="I527" s="532">
        <f t="shared" si="9"/>
        <v>5856</v>
      </c>
      <c r="J527" s="407">
        <f>SUM(J525:J526)</f>
        <v>0</v>
      </c>
      <c r="K527" s="407">
        <f>SUM(K525:K526)</f>
        <v>0</v>
      </c>
      <c r="L527" s="407">
        <f>SUM(L525:L526)</f>
        <v>5856</v>
      </c>
      <c r="M527" s="407">
        <f>SUM(M525:M526)</f>
        <v>0</v>
      </c>
      <c r="N527" s="514">
        <f>SUM(N525:N526)</f>
        <v>0</v>
      </c>
    </row>
    <row r="528" spans="1:14" s="42" customFormat="1" ht="30" customHeight="1">
      <c r="A528" s="908">
        <v>522</v>
      </c>
      <c r="B528" s="126"/>
      <c r="C528" s="121">
        <v>91</v>
      </c>
      <c r="D528" s="122" t="s">
        <v>110</v>
      </c>
      <c r="E528" s="123" t="s">
        <v>859</v>
      </c>
      <c r="F528" s="406">
        <v>3459</v>
      </c>
      <c r="G528" s="406">
        <v>5000</v>
      </c>
      <c r="H528" s="524">
        <v>3439</v>
      </c>
      <c r="I528" s="530"/>
      <c r="J528" s="123"/>
      <c r="K528" s="123"/>
      <c r="L528" s="123"/>
      <c r="M528" s="123"/>
      <c r="N528" s="515"/>
    </row>
    <row r="529" spans="1:14" s="893" customFormat="1" ht="16.5">
      <c r="A529" s="908">
        <v>523</v>
      </c>
      <c r="B529" s="894"/>
      <c r="C529" s="895"/>
      <c r="D529" s="896" t="s">
        <v>403</v>
      </c>
      <c r="E529" s="897"/>
      <c r="F529" s="888"/>
      <c r="G529" s="888"/>
      <c r="H529" s="889"/>
      <c r="I529" s="890">
        <f t="shared" si="9"/>
        <v>5000</v>
      </c>
      <c r="J529" s="891"/>
      <c r="K529" s="891"/>
      <c r="L529" s="891">
        <v>5000</v>
      </c>
      <c r="M529" s="891"/>
      <c r="N529" s="892"/>
    </row>
    <row r="530" spans="1:14" s="42" customFormat="1" ht="16.5">
      <c r="A530" s="908">
        <v>524</v>
      </c>
      <c r="B530" s="126"/>
      <c r="C530" s="121"/>
      <c r="D530" s="122" t="s">
        <v>957</v>
      </c>
      <c r="E530" s="123"/>
      <c r="F530" s="406"/>
      <c r="G530" s="406"/>
      <c r="H530" s="524"/>
      <c r="I530" s="530">
        <f t="shared" si="9"/>
        <v>5561</v>
      </c>
      <c r="J530" s="124"/>
      <c r="K530" s="124"/>
      <c r="L530" s="124">
        <v>5561</v>
      </c>
      <c r="M530" s="124"/>
      <c r="N530" s="329"/>
    </row>
    <row r="531" spans="1:14" s="327" customFormat="1" ht="17.25">
      <c r="A531" s="908">
        <v>525</v>
      </c>
      <c r="B531" s="128"/>
      <c r="C531" s="336"/>
      <c r="D531" s="330" t="s">
        <v>405</v>
      </c>
      <c r="E531" s="331"/>
      <c r="F531" s="408"/>
      <c r="G531" s="408"/>
      <c r="H531" s="525"/>
      <c r="I531" s="531">
        <f t="shared" si="9"/>
        <v>0</v>
      </c>
      <c r="J531" s="332"/>
      <c r="K531" s="332"/>
      <c r="L531" s="332"/>
      <c r="M531" s="332"/>
      <c r="N531" s="333"/>
    </row>
    <row r="532" spans="1:14" s="1500" customFormat="1" ht="17.25">
      <c r="A532" s="908">
        <v>526</v>
      </c>
      <c r="B532" s="337"/>
      <c r="C532" s="338"/>
      <c r="D532" s="334" t="s">
        <v>1067</v>
      </c>
      <c r="E532" s="335"/>
      <c r="F532" s="407"/>
      <c r="G532" s="407"/>
      <c r="H532" s="526"/>
      <c r="I532" s="532">
        <f t="shared" si="9"/>
        <v>5561</v>
      </c>
      <c r="J532" s="407">
        <f>SUM(J530:J531)</f>
        <v>0</v>
      </c>
      <c r="K532" s="407">
        <f>SUM(K530:K531)</f>
        <v>0</v>
      </c>
      <c r="L532" s="407">
        <f>SUM(L530:L531)</f>
        <v>5561</v>
      </c>
      <c r="M532" s="407">
        <f>SUM(M530:M531)</f>
        <v>0</v>
      </c>
      <c r="N532" s="514">
        <f>SUM(N530:N531)</f>
        <v>0</v>
      </c>
    </row>
    <row r="533" spans="1:14" s="42" customFormat="1" ht="27.75" customHeight="1">
      <c r="A533" s="908">
        <v>527</v>
      </c>
      <c r="B533" s="126"/>
      <c r="C533" s="121">
        <v>92</v>
      </c>
      <c r="D533" s="122" t="s">
        <v>164</v>
      </c>
      <c r="E533" s="123" t="s">
        <v>859</v>
      </c>
      <c r="F533" s="406">
        <v>7585</v>
      </c>
      <c r="G533" s="406">
        <v>4000</v>
      </c>
      <c r="H533" s="524">
        <v>2622</v>
      </c>
      <c r="I533" s="530"/>
      <c r="J533" s="123"/>
      <c r="K533" s="123"/>
      <c r="L533" s="123"/>
      <c r="M533" s="123"/>
      <c r="N533" s="515"/>
    </row>
    <row r="534" spans="1:14" s="893" customFormat="1" ht="16.5">
      <c r="A534" s="908">
        <v>528</v>
      </c>
      <c r="B534" s="894"/>
      <c r="C534" s="895"/>
      <c r="D534" s="896" t="s">
        <v>403</v>
      </c>
      <c r="E534" s="897"/>
      <c r="F534" s="888"/>
      <c r="G534" s="888"/>
      <c r="H534" s="889"/>
      <c r="I534" s="890">
        <f t="shared" si="9"/>
        <v>6000</v>
      </c>
      <c r="J534" s="891"/>
      <c r="K534" s="891"/>
      <c r="L534" s="891">
        <v>6000</v>
      </c>
      <c r="M534" s="891"/>
      <c r="N534" s="892"/>
    </row>
    <row r="535" spans="1:14" s="42" customFormat="1" ht="16.5">
      <c r="A535" s="908">
        <v>529</v>
      </c>
      <c r="B535" s="126"/>
      <c r="C535" s="121"/>
      <c r="D535" s="122" t="s">
        <v>957</v>
      </c>
      <c r="E535" s="123"/>
      <c r="F535" s="406"/>
      <c r="G535" s="406"/>
      <c r="H535" s="524"/>
      <c r="I535" s="530">
        <f t="shared" si="9"/>
        <v>7379</v>
      </c>
      <c r="J535" s="124"/>
      <c r="K535" s="124"/>
      <c r="L535" s="124">
        <v>7379</v>
      </c>
      <c r="M535" s="124"/>
      <c r="N535" s="329"/>
    </row>
    <row r="536" spans="1:14" s="327" customFormat="1" ht="17.25">
      <c r="A536" s="908">
        <v>530</v>
      </c>
      <c r="B536" s="128"/>
      <c r="C536" s="336"/>
      <c r="D536" s="330" t="s">
        <v>405</v>
      </c>
      <c r="E536" s="331"/>
      <c r="F536" s="408"/>
      <c r="G536" s="408"/>
      <c r="H536" s="525"/>
      <c r="I536" s="531">
        <f t="shared" si="9"/>
        <v>0</v>
      </c>
      <c r="J536" s="332"/>
      <c r="K536" s="332"/>
      <c r="L536" s="332"/>
      <c r="M536" s="332"/>
      <c r="N536" s="333"/>
    </row>
    <row r="537" spans="1:14" s="1500" customFormat="1" ht="17.25">
      <c r="A537" s="908">
        <v>531</v>
      </c>
      <c r="B537" s="337"/>
      <c r="C537" s="338"/>
      <c r="D537" s="334" t="s">
        <v>1067</v>
      </c>
      <c r="E537" s="335"/>
      <c r="F537" s="407"/>
      <c r="G537" s="407"/>
      <c r="H537" s="526"/>
      <c r="I537" s="532">
        <f t="shared" si="9"/>
        <v>7379</v>
      </c>
      <c r="J537" s="407">
        <f>SUM(J535:J536)</f>
        <v>0</v>
      </c>
      <c r="K537" s="407">
        <f>SUM(K535:K536)</f>
        <v>0</v>
      </c>
      <c r="L537" s="407">
        <f>SUM(L535:L536)</f>
        <v>7379</v>
      </c>
      <c r="M537" s="407">
        <f>SUM(M535:M536)</f>
        <v>0</v>
      </c>
      <c r="N537" s="514">
        <f>SUM(N535:N536)</f>
        <v>0</v>
      </c>
    </row>
    <row r="538" spans="1:14" s="42" customFormat="1" ht="27.75" customHeight="1">
      <c r="A538" s="908">
        <v>532</v>
      </c>
      <c r="B538" s="126"/>
      <c r="C538" s="121">
        <v>93</v>
      </c>
      <c r="D538" s="122" t="s">
        <v>165</v>
      </c>
      <c r="E538" s="123" t="s">
        <v>859</v>
      </c>
      <c r="F538" s="406"/>
      <c r="G538" s="406">
        <v>1000</v>
      </c>
      <c r="H538" s="524">
        <v>448</v>
      </c>
      <c r="I538" s="530"/>
      <c r="J538" s="123"/>
      <c r="K538" s="123"/>
      <c r="L538" s="123"/>
      <c r="M538" s="123"/>
      <c r="N538" s="515"/>
    </row>
    <row r="539" spans="1:14" s="893" customFormat="1" ht="16.5">
      <c r="A539" s="908">
        <v>533</v>
      </c>
      <c r="B539" s="894"/>
      <c r="C539" s="895"/>
      <c r="D539" s="896" t="s">
        <v>403</v>
      </c>
      <c r="E539" s="897"/>
      <c r="F539" s="888"/>
      <c r="G539" s="888"/>
      <c r="H539" s="889"/>
      <c r="I539" s="890">
        <f t="shared" si="9"/>
        <v>2000</v>
      </c>
      <c r="J539" s="891"/>
      <c r="K539" s="891"/>
      <c r="L539" s="891">
        <v>2000</v>
      </c>
      <c r="M539" s="891"/>
      <c r="N539" s="892"/>
    </row>
    <row r="540" spans="1:14" s="42" customFormat="1" ht="16.5">
      <c r="A540" s="908">
        <v>534</v>
      </c>
      <c r="B540" s="126"/>
      <c r="C540" s="121"/>
      <c r="D540" s="122" t="s">
        <v>957</v>
      </c>
      <c r="E540" s="123"/>
      <c r="F540" s="406"/>
      <c r="G540" s="406"/>
      <c r="H540" s="524"/>
      <c r="I540" s="530">
        <f t="shared" si="9"/>
        <v>2000</v>
      </c>
      <c r="J540" s="124"/>
      <c r="K540" s="124"/>
      <c r="L540" s="124">
        <v>2000</v>
      </c>
      <c r="M540" s="124"/>
      <c r="N540" s="329"/>
    </row>
    <row r="541" spans="1:14" s="327" customFormat="1" ht="17.25">
      <c r="A541" s="908">
        <v>535</v>
      </c>
      <c r="B541" s="128"/>
      <c r="C541" s="336"/>
      <c r="D541" s="330" t="s">
        <v>405</v>
      </c>
      <c r="E541" s="331"/>
      <c r="F541" s="408"/>
      <c r="G541" s="408"/>
      <c r="H541" s="525"/>
      <c r="I541" s="531">
        <f t="shared" si="9"/>
        <v>0</v>
      </c>
      <c r="J541" s="332"/>
      <c r="K541" s="332"/>
      <c r="L541" s="332"/>
      <c r="M541" s="332"/>
      <c r="N541" s="333"/>
    </row>
    <row r="542" spans="1:14" s="1500" customFormat="1" ht="17.25">
      <c r="A542" s="908">
        <v>536</v>
      </c>
      <c r="B542" s="337"/>
      <c r="C542" s="338"/>
      <c r="D542" s="334" t="s">
        <v>1067</v>
      </c>
      <c r="E542" s="335"/>
      <c r="F542" s="407"/>
      <c r="G542" s="407"/>
      <c r="H542" s="526"/>
      <c r="I542" s="532">
        <f t="shared" si="9"/>
        <v>2000</v>
      </c>
      <c r="J542" s="407">
        <f>SUM(J540:J541)</f>
        <v>0</v>
      </c>
      <c r="K542" s="407">
        <f>SUM(K540:K541)</f>
        <v>0</v>
      </c>
      <c r="L542" s="407">
        <f>SUM(L540:L541)</f>
        <v>2000</v>
      </c>
      <c r="M542" s="407">
        <f>SUM(M540:M541)</f>
        <v>0</v>
      </c>
      <c r="N542" s="514">
        <f>SUM(N540:N541)</f>
        <v>0</v>
      </c>
    </row>
    <row r="543" spans="1:14" s="42" customFormat="1" ht="27.75" customHeight="1">
      <c r="A543" s="908">
        <v>537</v>
      </c>
      <c r="B543" s="126"/>
      <c r="C543" s="121">
        <v>94</v>
      </c>
      <c r="D543" s="122" t="s">
        <v>168</v>
      </c>
      <c r="E543" s="123" t="s">
        <v>859</v>
      </c>
      <c r="F543" s="406">
        <v>63054</v>
      </c>
      <c r="G543" s="406">
        <v>38000</v>
      </c>
      <c r="H543" s="524">
        <v>25288</v>
      </c>
      <c r="I543" s="530"/>
      <c r="J543" s="123"/>
      <c r="K543" s="123"/>
      <c r="L543" s="123"/>
      <c r="M543" s="123"/>
      <c r="N543" s="515"/>
    </row>
    <row r="544" spans="1:14" s="893" customFormat="1" ht="16.5">
      <c r="A544" s="908">
        <v>538</v>
      </c>
      <c r="B544" s="894"/>
      <c r="C544" s="895"/>
      <c r="D544" s="896" t="s">
        <v>403</v>
      </c>
      <c r="E544" s="897"/>
      <c r="F544" s="888"/>
      <c r="G544" s="888"/>
      <c r="H544" s="889"/>
      <c r="I544" s="890">
        <f t="shared" si="9"/>
        <v>32500</v>
      </c>
      <c r="J544" s="891"/>
      <c r="K544" s="891"/>
      <c r="L544" s="891">
        <v>32500</v>
      </c>
      <c r="M544" s="891"/>
      <c r="N544" s="892"/>
    </row>
    <row r="545" spans="1:14" s="42" customFormat="1" ht="16.5">
      <c r="A545" s="908">
        <v>539</v>
      </c>
      <c r="B545" s="126"/>
      <c r="C545" s="121"/>
      <c r="D545" s="122" t="s">
        <v>957</v>
      </c>
      <c r="E545" s="123"/>
      <c r="F545" s="406"/>
      <c r="G545" s="406"/>
      <c r="H545" s="524"/>
      <c r="I545" s="530">
        <f t="shared" si="9"/>
        <v>33422</v>
      </c>
      <c r="J545" s="124"/>
      <c r="K545" s="124"/>
      <c r="L545" s="124">
        <v>33422</v>
      </c>
      <c r="M545" s="124"/>
      <c r="N545" s="329"/>
    </row>
    <row r="546" spans="1:14" s="327" customFormat="1" ht="17.25">
      <c r="A546" s="908">
        <v>540</v>
      </c>
      <c r="B546" s="128"/>
      <c r="C546" s="336"/>
      <c r="D546" s="330" t="s">
        <v>405</v>
      </c>
      <c r="E546" s="331"/>
      <c r="F546" s="408"/>
      <c r="G546" s="408"/>
      <c r="H546" s="525"/>
      <c r="I546" s="531">
        <f t="shared" si="9"/>
        <v>0</v>
      </c>
      <c r="J546" s="332"/>
      <c r="K546" s="332"/>
      <c r="L546" s="332"/>
      <c r="M546" s="332"/>
      <c r="N546" s="333"/>
    </row>
    <row r="547" spans="1:14" s="1500" customFormat="1" ht="17.25">
      <c r="A547" s="908">
        <v>541</v>
      </c>
      <c r="B547" s="337"/>
      <c r="C547" s="338"/>
      <c r="D547" s="334" t="s">
        <v>1067</v>
      </c>
      <c r="E547" s="335"/>
      <c r="F547" s="407"/>
      <c r="G547" s="407"/>
      <c r="H547" s="526"/>
      <c r="I547" s="532">
        <f t="shared" si="9"/>
        <v>33422</v>
      </c>
      <c r="J547" s="407">
        <f>SUM(J545:J546)</f>
        <v>0</v>
      </c>
      <c r="K547" s="407">
        <f>SUM(K545:K546)</f>
        <v>0</v>
      </c>
      <c r="L547" s="407">
        <f>SUM(L545:L546)</f>
        <v>33422</v>
      </c>
      <c r="M547" s="407">
        <f>SUM(M545:M546)</f>
        <v>0</v>
      </c>
      <c r="N547" s="514">
        <f>SUM(N545:N546)</f>
        <v>0</v>
      </c>
    </row>
    <row r="548" spans="1:14" s="42" customFormat="1" ht="27.75" customHeight="1">
      <c r="A548" s="908">
        <v>542</v>
      </c>
      <c r="B548" s="126"/>
      <c r="C548" s="121">
        <v>95</v>
      </c>
      <c r="D548" s="122" t="s">
        <v>428</v>
      </c>
      <c r="E548" s="123" t="s">
        <v>859</v>
      </c>
      <c r="F548" s="406">
        <v>36898</v>
      </c>
      <c r="G548" s="406">
        <v>38000</v>
      </c>
      <c r="H548" s="524">
        <v>38863</v>
      </c>
      <c r="I548" s="530"/>
      <c r="J548" s="123"/>
      <c r="K548" s="123"/>
      <c r="L548" s="123"/>
      <c r="M548" s="123"/>
      <c r="N548" s="515"/>
    </row>
    <row r="549" spans="1:14" s="893" customFormat="1" ht="16.5">
      <c r="A549" s="908">
        <v>543</v>
      </c>
      <c r="B549" s="894"/>
      <c r="C549" s="895"/>
      <c r="D549" s="896" t="s">
        <v>403</v>
      </c>
      <c r="E549" s="897"/>
      <c r="F549" s="888"/>
      <c r="G549" s="888"/>
      <c r="H549" s="889"/>
      <c r="I549" s="890">
        <f t="shared" si="9"/>
        <v>43500</v>
      </c>
      <c r="J549" s="891"/>
      <c r="K549" s="891"/>
      <c r="L549" s="891">
        <v>43500</v>
      </c>
      <c r="M549" s="891"/>
      <c r="N549" s="892"/>
    </row>
    <row r="550" spans="1:14" s="42" customFormat="1" ht="16.5">
      <c r="A550" s="908">
        <v>544</v>
      </c>
      <c r="B550" s="126"/>
      <c r="C550" s="121"/>
      <c r="D550" s="122" t="s">
        <v>957</v>
      </c>
      <c r="E550" s="123"/>
      <c r="F550" s="406"/>
      <c r="G550" s="406"/>
      <c r="H550" s="524"/>
      <c r="I550" s="530">
        <f t="shared" si="9"/>
        <v>45500</v>
      </c>
      <c r="J550" s="124"/>
      <c r="K550" s="124"/>
      <c r="L550" s="124">
        <v>45500</v>
      </c>
      <c r="M550" s="124"/>
      <c r="N550" s="329"/>
    </row>
    <row r="551" spans="1:14" s="327" customFormat="1" ht="17.25">
      <c r="A551" s="908">
        <v>545</v>
      </c>
      <c r="B551" s="128"/>
      <c r="C551" s="336"/>
      <c r="D551" s="330" t="s">
        <v>405</v>
      </c>
      <c r="E551" s="331"/>
      <c r="F551" s="408"/>
      <c r="G551" s="408"/>
      <c r="H551" s="525"/>
      <c r="I551" s="531">
        <f t="shared" si="9"/>
        <v>0</v>
      </c>
      <c r="J551" s="332"/>
      <c r="K551" s="332"/>
      <c r="L551" s="332"/>
      <c r="M551" s="332"/>
      <c r="N551" s="333"/>
    </row>
    <row r="552" spans="1:14" s="1500" customFormat="1" ht="17.25">
      <c r="A552" s="908">
        <v>546</v>
      </c>
      <c r="B552" s="337"/>
      <c r="C552" s="338"/>
      <c r="D552" s="334" t="s">
        <v>1067</v>
      </c>
      <c r="E552" s="335"/>
      <c r="F552" s="407"/>
      <c r="G552" s="407"/>
      <c r="H552" s="526"/>
      <c r="I552" s="532">
        <f t="shared" si="9"/>
        <v>45500</v>
      </c>
      <c r="J552" s="407">
        <f>SUM(J550:J551)</f>
        <v>0</v>
      </c>
      <c r="K552" s="407">
        <f>SUM(K550:K551)</f>
        <v>0</v>
      </c>
      <c r="L552" s="407">
        <f>SUM(L550:L551)</f>
        <v>45500</v>
      </c>
      <c r="M552" s="407">
        <f>SUM(M550:M551)</f>
        <v>0</v>
      </c>
      <c r="N552" s="514">
        <f>SUM(N550:N551)</f>
        <v>0</v>
      </c>
    </row>
    <row r="553" spans="1:14" s="42" customFormat="1" ht="27.75" customHeight="1">
      <c r="A553" s="908">
        <v>547</v>
      </c>
      <c r="B553" s="126"/>
      <c r="C553" s="121">
        <v>96</v>
      </c>
      <c r="D553" s="122" t="s">
        <v>163</v>
      </c>
      <c r="E553" s="123" t="s">
        <v>859</v>
      </c>
      <c r="F553" s="406"/>
      <c r="G553" s="406">
        <v>15500</v>
      </c>
      <c r="H553" s="524">
        <v>4093</v>
      </c>
      <c r="I553" s="530"/>
      <c r="J553" s="123"/>
      <c r="K553" s="123"/>
      <c r="L553" s="123"/>
      <c r="M553" s="123"/>
      <c r="N553" s="515"/>
    </row>
    <row r="554" spans="1:14" s="893" customFormat="1" ht="16.5">
      <c r="A554" s="908">
        <v>548</v>
      </c>
      <c r="B554" s="894"/>
      <c r="C554" s="895"/>
      <c r="D554" s="896" t="s">
        <v>403</v>
      </c>
      <c r="E554" s="897"/>
      <c r="F554" s="888"/>
      <c r="G554" s="888"/>
      <c r="H554" s="889"/>
      <c r="I554" s="890">
        <f t="shared" si="9"/>
        <v>16000</v>
      </c>
      <c r="J554" s="891"/>
      <c r="K554" s="891"/>
      <c r="L554" s="891">
        <v>16000</v>
      </c>
      <c r="M554" s="891"/>
      <c r="N554" s="892"/>
    </row>
    <row r="555" spans="1:14" s="42" customFormat="1" ht="16.5">
      <c r="A555" s="908">
        <v>549</v>
      </c>
      <c r="B555" s="126"/>
      <c r="C555" s="121"/>
      <c r="D555" s="122" t="s">
        <v>957</v>
      </c>
      <c r="E555" s="123"/>
      <c r="F555" s="406"/>
      <c r="G555" s="406"/>
      <c r="H555" s="524"/>
      <c r="I555" s="530">
        <f t="shared" si="9"/>
        <v>27503</v>
      </c>
      <c r="J555" s="124"/>
      <c r="K555" s="124"/>
      <c r="L555" s="124">
        <v>27503</v>
      </c>
      <c r="M555" s="124"/>
      <c r="N555" s="329"/>
    </row>
    <row r="556" spans="1:14" s="327" customFormat="1" ht="17.25">
      <c r="A556" s="908">
        <v>550</v>
      </c>
      <c r="B556" s="128"/>
      <c r="C556" s="336"/>
      <c r="D556" s="330" t="s">
        <v>405</v>
      </c>
      <c r="E556" s="331"/>
      <c r="F556" s="408"/>
      <c r="G556" s="408"/>
      <c r="H556" s="525"/>
      <c r="I556" s="531">
        <f t="shared" si="9"/>
        <v>0</v>
      </c>
      <c r="J556" s="332"/>
      <c r="K556" s="332"/>
      <c r="L556" s="332"/>
      <c r="M556" s="332"/>
      <c r="N556" s="333"/>
    </row>
    <row r="557" spans="1:14" s="1500" customFormat="1" ht="17.25">
      <c r="A557" s="908">
        <v>551</v>
      </c>
      <c r="B557" s="337"/>
      <c r="C557" s="338"/>
      <c r="D557" s="334" t="s">
        <v>1067</v>
      </c>
      <c r="E557" s="335"/>
      <c r="F557" s="407"/>
      <c r="G557" s="407"/>
      <c r="H557" s="526"/>
      <c r="I557" s="532">
        <f t="shared" si="9"/>
        <v>27503</v>
      </c>
      <c r="J557" s="407">
        <f>SUM(J555:J556)</f>
        <v>0</v>
      </c>
      <c r="K557" s="407">
        <f>SUM(K555:K556)</f>
        <v>0</v>
      </c>
      <c r="L557" s="407">
        <f>SUM(L555:L556)</f>
        <v>27503</v>
      </c>
      <c r="M557" s="407">
        <f>SUM(M555:M556)</f>
        <v>0</v>
      </c>
      <c r="N557" s="514">
        <f>SUM(N555:N556)</f>
        <v>0</v>
      </c>
    </row>
    <row r="558" spans="1:14" s="42" customFormat="1" ht="27.75" customHeight="1">
      <c r="A558" s="908">
        <v>552</v>
      </c>
      <c r="B558" s="126"/>
      <c r="C558" s="121">
        <v>97</v>
      </c>
      <c r="D558" s="122" t="s">
        <v>919</v>
      </c>
      <c r="E558" s="123" t="s">
        <v>859</v>
      </c>
      <c r="F558" s="406">
        <v>1744</v>
      </c>
      <c r="G558" s="406">
        <v>500</v>
      </c>
      <c r="H558" s="524">
        <v>485</v>
      </c>
      <c r="I558" s="530"/>
      <c r="J558" s="123"/>
      <c r="K558" s="123"/>
      <c r="L558" s="123"/>
      <c r="M558" s="123"/>
      <c r="N558" s="515"/>
    </row>
    <row r="559" spans="1:14" s="893" customFormat="1" ht="16.5">
      <c r="A559" s="908">
        <v>553</v>
      </c>
      <c r="B559" s="894"/>
      <c r="C559" s="895"/>
      <c r="D559" s="896" t="s">
        <v>403</v>
      </c>
      <c r="E559" s="897"/>
      <c r="F559" s="888"/>
      <c r="G559" s="888"/>
      <c r="H559" s="889"/>
      <c r="I559" s="890">
        <f t="shared" si="9"/>
        <v>1000</v>
      </c>
      <c r="J559" s="891"/>
      <c r="K559" s="891"/>
      <c r="L559" s="891">
        <v>1000</v>
      </c>
      <c r="M559" s="891"/>
      <c r="N559" s="892"/>
    </row>
    <row r="560" spans="1:14" s="42" customFormat="1" ht="16.5">
      <c r="A560" s="908">
        <v>554</v>
      </c>
      <c r="B560" s="126"/>
      <c r="C560" s="121"/>
      <c r="D560" s="122" t="s">
        <v>957</v>
      </c>
      <c r="E560" s="123"/>
      <c r="F560" s="406"/>
      <c r="G560" s="406"/>
      <c r="H560" s="524"/>
      <c r="I560" s="530">
        <f t="shared" si="9"/>
        <v>1000</v>
      </c>
      <c r="J560" s="124"/>
      <c r="K560" s="124"/>
      <c r="L560" s="124">
        <v>1000</v>
      </c>
      <c r="M560" s="124"/>
      <c r="N560" s="329"/>
    </row>
    <row r="561" spans="1:14" s="327" customFormat="1" ht="17.25">
      <c r="A561" s="908">
        <v>555</v>
      </c>
      <c r="B561" s="128"/>
      <c r="C561" s="336"/>
      <c r="D561" s="330" t="s">
        <v>405</v>
      </c>
      <c r="E561" s="331"/>
      <c r="F561" s="408"/>
      <c r="G561" s="408"/>
      <c r="H561" s="525"/>
      <c r="I561" s="531">
        <f t="shared" si="9"/>
        <v>0</v>
      </c>
      <c r="J561" s="332"/>
      <c r="K561" s="332"/>
      <c r="L561" s="332"/>
      <c r="M561" s="332"/>
      <c r="N561" s="333"/>
    </row>
    <row r="562" spans="1:14" s="1500" customFormat="1" ht="17.25">
      <c r="A562" s="908">
        <v>556</v>
      </c>
      <c r="B562" s="337"/>
      <c r="C562" s="338"/>
      <c r="D562" s="334" t="s">
        <v>1067</v>
      </c>
      <c r="E562" s="335"/>
      <c r="F562" s="407"/>
      <c r="G562" s="407"/>
      <c r="H562" s="526"/>
      <c r="I562" s="532">
        <f t="shared" si="9"/>
        <v>1000</v>
      </c>
      <c r="J562" s="407">
        <f>SUM(J560:J561)</f>
        <v>0</v>
      </c>
      <c r="K562" s="407">
        <f>SUM(K560:K561)</f>
        <v>0</v>
      </c>
      <c r="L562" s="407">
        <f>SUM(L560:L561)</f>
        <v>1000</v>
      </c>
      <c r="M562" s="407">
        <f>SUM(M560:M561)</f>
        <v>0</v>
      </c>
      <c r="N562" s="514">
        <f>SUM(N560:N561)</f>
        <v>0</v>
      </c>
    </row>
    <row r="563" spans="1:14" s="42" customFormat="1" ht="27.75" customHeight="1">
      <c r="A563" s="908">
        <v>557</v>
      </c>
      <c r="B563" s="126"/>
      <c r="C563" s="121">
        <v>98</v>
      </c>
      <c r="D563" s="122" t="s">
        <v>107</v>
      </c>
      <c r="E563" s="123" t="s">
        <v>859</v>
      </c>
      <c r="F563" s="406">
        <v>519</v>
      </c>
      <c r="G563" s="406">
        <v>1950</v>
      </c>
      <c r="H563" s="524">
        <v>502</v>
      </c>
      <c r="I563" s="530"/>
      <c r="J563" s="123"/>
      <c r="K563" s="123"/>
      <c r="L563" s="123"/>
      <c r="M563" s="123"/>
      <c r="N563" s="515"/>
    </row>
    <row r="564" spans="1:14" s="893" customFormat="1" ht="16.5">
      <c r="A564" s="908">
        <v>558</v>
      </c>
      <c r="B564" s="894"/>
      <c r="C564" s="895"/>
      <c r="D564" s="896" t="s">
        <v>403</v>
      </c>
      <c r="E564" s="897"/>
      <c r="F564" s="888"/>
      <c r="G564" s="888"/>
      <c r="H564" s="889"/>
      <c r="I564" s="890">
        <f t="shared" si="9"/>
        <v>1970</v>
      </c>
      <c r="J564" s="891"/>
      <c r="K564" s="891"/>
      <c r="L564" s="891">
        <v>1970</v>
      </c>
      <c r="M564" s="891"/>
      <c r="N564" s="892"/>
    </row>
    <row r="565" spans="1:14" s="42" customFormat="1" ht="16.5">
      <c r="A565" s="908">
        <v>559</v>
      </c>
      <c r="B565" s="126"/>
      <c r="C565" s="121"/>
      <c r="D565" s="122" t="s">
        <v>957</v>
      </c>
      <c r="E565" s="123"/>
      <c r="F565" s="406"/>
      <c r="G565" s="406"/>
      <c r="H565" s="524"/>
      <c r="I565" s="530">
        <f t="shared" si="9"/>
        <v>970</v>
      </c>
      <c r="J565" s="124"/>
      <c r="K565" s="124"/>
      <c r="L565" s="124">
        <v>970</v>
      </c>
      <c r="M565" s="124"/>
      <c r="N565" s="329"/>
    </row>
    <row r="566" spans="1:14" s="327" customFormat="1" ht="17.25">
      <c r="A566" s="908">
        <v>560</v>
      </c>
      <c r="B566" s="128"/>
      <c r="C566" s="336"/>
      <c r="D566" s="507" t="s">
        <v>405</v>
      </c>
      <c r="E566" s="331"/>
      <c r="F566" s="408"/>
      <c r="G566" s="408"/>
      <c r="H566" s="525"/>
      <c r="I566" s="531">
        <f t="shared" si="9"/>
        <v>0</v>
      </c>
      <c r="J566" s="332"/>
      <c r="K566" s="332"/>
      <c r="L566" s="332"/>
      <c r="M566" s="332"/>
      <c r="N566" s="333"/>
    </row>
    <row r="567" spans="1:14" s="1500" customFormat="1" ht="17.25">
      <c r="A567" s="908">
        <v>561</v>
      </c>
      <c r="B567" s="337"/>
      <c r="C567" s="338"/>
      <c r="D567" s="334" t="s">
        <v>1067</v>
      </c>
      <c r="E567" s="335"/>
      <c r="F567" s="407"/>
      <c r="G567" s="407"/>
      <c r="H567" s="526"/>
      <c r="I567" s="532">
        <f t="shared" si="9"/>
        <v>970</v>
      </c>
      <c r="J567" s="407">
        <f>SUM(J565:J566)</f>
        <v>0</v>
      </c>
      <c r="K567" s="407">
        <f>SUM(K565:K566)</f>
        <v>0</v>
      </c>
      <c r="L567" s="407">
        <f>SUM(L565:L566)</f>
        <v>970</v>
      </c>
      <c r="M567" s="407">
        <f>SUM(M565:M566)</f>
        <v>0</v>
      </c>
      <c r="N567" s="514">
        <f>SUM(N565:N566)</f>
        <v>0</v>
      </c>
    </row>
    <row r="568" spans="1:14" s="42" customFormat="1" ht="21.75" customHeight="1">
      <c r="A568" s="908">
        <v>562</v>
      </c>
      <c r="B568" s="126"/>
      <c r="C568" s="121">
        <v>99</v>
      </c>
      <c r="D568" s="122" t="s">
        <v>39</v>
      </c>
      <c r="E568" s="123" t="s">
        <v>799</v>
      </c>
      <c r="F568" s="406"/>
      <c r="G568" s="406">
        <v>3286</v>
      </c>
      <c r="H568" s="524">
        <v>2659</v>
      </c>
      <c r="I568" s="530"/>
      <c r="J568" s="123"/>
      <c r="K568" s="123"/>
      <c r="L568" s="123"/>
      <c r="M568" s="123"/>
      <c r="N568" s="515"/>
    </row>
    <row r="569" spans="1:14" s="893" customFormat="1" ht="16.5">
      <c r="A569" s="908">
        <v>563</v>
      </c>
      <c r="B569" s="894"/>
      <c r="C569" s="895"/>
      <c r="D569" s="896" t="s">
        <v>403</v>
      </c>
      <c r="E569" s="897"/>
      <c r="F569" s="888"/>
      <c r="G569" s="888"/>
      <c r="H569" s="889"/>
      <c r="I569" s="890">
        <f t="shared" si="9"/>
        <v>5356</v>
      </c>
      <c r="J569" s="891"/>
      <c r="K569" s="891"/>
      <c r="L569" s="891">
        <v>5356</v>
      </c>
      <c r="M569" s="891"/>
      <c r="N569" s="892"/>
    </row>
    <row r="570" spans="1:14" s="42" customFormat="1" ht="16.5">
      <c r="A570" s="908">
        <v>564</v>
      </c>
      <c r="B570" s="126"/>
      <c r="C570" s="121"/>
      <c r="D570" s="122" t="s">
        <v>957</v>
      </c>
      <c r="E570" s="123"/>
      <c r="F570" s="406"/>
      <c r="G570" s="406"/>
      <c r="H570" s="524"/>
      <c r="I570" s="530">
        <f t="shared" si="9"/>
        <v>5771</v>
      </c>
      <c r="J570" s="124"/>
      <c r="K570" s="124"/>
      <c r="L570" s="124">
        <v>5771</v>
      </c>
      <c r="M570" s="124"/>
      <c r="N570" s="329"/>
    </row>
    <row r="571" spans="1:14" s="327" customFormat="1" ht="17.25">
      <c r="A571" s="908">
        <v>565</v>
      </c>
      <c r="B571" s="128"/>
      <c r="C571" s="336"/>
      <c r="D571" s="330" t="s">
        <v>405</v>
      </c>
      <c r="E571" s="331"/>
      <c r="F571" s="408"/>
      <c r="G571" s="408"/>
      <c r="H571" s="525"/>
      <c r="I571" s="531">
        <f t="shared" si="9"/>
        <v>0</v>
      </c>
      <c r="J571" s="332"/>
      <c r="K571" s="332"/>
      <c r="L571" s="332"/>
      <c r="M571" s="332"/>
      <c r="N571" s="333"/>
    </row>
    <row r="572" spans="1:14" s="1500" customFormat="1" ht="17.25">
      <c r="A572" s="908">
        <v>566</v>
      </c>
      <c r="B572" s="337"/>
      <c r="C572" s="338"/>
      <c r="D572" s="334" t="s">
        <v>1067</v>
      </c>
      <c r="E572" s="335"/>
      <c r="F572" s="407"/>
      <c r="G572" s="407"/>
      <c r="H572" s="526"/>
      <c r="I572" s="532">
        <f t="shared" si="9"/>
        <v>5771</v>
      </c>
      <c r="J572" s="407">
        <f>SUM(J570:J571)</f>
        <v>0</v>
      </c>
      <c r="K572" s="407">
        <f>SUM(K570:K571)</f>
        <v>0</v>
      </c>
      <c r="L572" s="407">
        <f>SUM(L570:L571)</f>
        <v>5771</v>
      </c>
      <c r="M572" s="407">
        <f>SUM(M570:M571)</f>
        <v>0</v>
      </c>
      <c r="N572" s="514">
        <f>SUM(N570:N571)</f>
        <v>0</v>
      </c>
    </row>
    <row r="573" spans="1:14" s="42" customFormat="1" ht="25.5" customHeight="1">
      <c r="A573" s="908">
        <v>567</v>
      </c>
      <c r="B573" s="126"/>
      <c r="C573" s="121">
        <v>100</v>
      </c>
      <c r="D573" s="122" t="s">
        <v>111</v>
      </c>
      <c r="E573" s="123" t="s">
        <v>799</v>
      </c>
      <c r="F573" s="406">
        <v>6278</v>
      </c>
      <c r="G573" s="406">
        <v>9000</v>
      </c>
      <c r="H573" s="524">
        <v>5904</v>
      </c>
      <c r="I573" s="530"/>
      <c r="J573" s="123"/>
      <c r="K573" s="123"/>
      <c r="L573" s="123"/>
      <c r="M573" s="123"/>
      <c r="N573" s="515"/>
    </row>
    <row r="574" spans="1:14" s="893" customFormat="1" ht="16.5">
      <c r="A574" s="908">
        <v>568</v>
      </c>
      <c r="B574" s="894"/>
      <c r="C574" s="895"/>
      <c r="D574" s="896" t="s">
        <v>403</v>
      </c>
      <c r="E574" s="897"/>
      <c r="F574" s="888"/>
      <c r="G574" s="888"/>
      <c r="H574" s="889"/>
      <c r="I574" s="890">
        <f t="shared" si="9"/>
        <v>9000</v>
      </c>
      <c r="J574" s="891"/>
      <c r="K574" s="891"/>
      <c r="L574" s="891">
        <v>9000</v>
      </c>
      <c r="M574" s="891"/>
      <c r="N574" s="892"/>
    </row>
    <row r="575" spans="1:14" s="42" customFormat="1" ht="16.5">
      <c r="A575" s="908">
        <v>569</v>
      </c>
      <c r="B575" s="126"/>
      <c r="C575" s="121"/>
      <c r="D575" s="122" t="s">
        <v>957</v>
      </c>
      <c r="E575" s="123"/>
      <c r="F575" s="406"/>
      <c r="G575" s="406"/>
      <c r="H575" s="524"/>
      <c r="I575" s="530">
        <f t="shared" si="9"/>
        <v>10222</v>
      </c>
      <c r="J575" s="124"/>
      <c r="K575" s="124"/>
      <c r="L575" s="124">
        <v>10222</v>
      </c>
      <c r="M575" s="124"/>
      <c r="N575" s="329"/>
    </row>
    <row r="576" spans="1:14" s="327" customFormat="1" ht="17.25">
      <c r="A576" s="908">
        <v>570</v>
      </c>
      <c r="B576" s="128"/>
      <c r="C576" s="336"/>
      <c r="D576" s="507" t="s">
        <v>1093</v>
      </c>
      <c r="E576" s="331"/>
      <c r="F576" s="408"/>
      <c r="G576" s="408"/>
      <c r="H576" s="525"/>
      <c r="I576" s="531">
        <f>SUM(J576:N576)</f>
        <v>-35</v>
      </c>
      <c r="J576" s="332"/>
      <c r="K576" s="332"/>
      <c r="L576" s="332">
        <v>-35</v>
      </c>
      <c r="M576" s="332"/>
      <c r="N576" s="333"/>
    </row>
    <row r="577" spans="1:14" s="1500" customFormat="1" ht="17.25">
      <c r="A577" s="908">
        <v>571</v>
      </c>
      <c r="B577" s="337"/>
      <c r="C577" s="338"/>
      <c r="D577" s="334" t="s">
        <v>1067</v>
      </c>
      <c r="E577" s="335"/>
      <c r="F577" s="407"/>
      <c r="G577" s="407"/>
      <c r="H577" s="526"/>
      <c r="I577" s="532">
        <f>SUM(J577:N577)</f>
        <v>10187</v>
      </c>
      <c r="J577" s="407">
        <f>SUM(J575:J576)</f>
        <v>0</v>
      </c>
      <c r="K577" s="407">
        <f>SUM(K575:K576)</f>
        <v>0</v>
      </c>
      <c r="L577" s="407">
        <f>SUM(L575:L576)</f>
        <v>10187</v>
      </c>
      <c r="M577" s="407">
        <f>SUM(M575:M576)</f>
        <v>0</v>
      </c>
      <c r="N577" s="514">
        <f>SUM(N575:N576)</f>
        <v>0</v>
      </c>
    </row>
    <row r="578" spans="1:14" s="42" customFormat="1" ht="25.5" customHeight="1">
      <c r="A578" s="908">
        <v>572</v>
      </c>
      <c r="B578" s="126"/>
      <c r="C578" s="121">
        <v>101</v>
      </c>
      <c r="D578" s="122" t="s">
        <v>169</v>
      </c>
      <c r="E578" s="123" t="s">
        <v>799</v>
      </c>
      <c r="F578" s="406"/>
      <c r="G578" s="406">
        <v>3000</v>
      </c>
      <c r="H578" s="524">
        <v>2010</v>
      </c>
      <c r="I578" s="530"/>
      <c r="J578" s="123"/>
      <c r="K578" s="123"/>
      <c r="L578" s="123"/>
      <c r="M578" s="123"/>
      <c r="N578" s="515"/>
    </row>
    <row r="579" spans="1:14" s="893" customFormat="1" ht="16.5">
      <c r="A579" s="908">
        <v>573</v>
      </c>
      <c r="B579" s="894"/>
      <c r="C579" s="895"/>
      <c r="D579" s="896" t="s">
        <v>403</v>
      </c>
      <c r="E579" s="897"/>
      <c r="F579" s="888"/>
      <c r="G579" s="888"/>
      <c r="H579" s="889"/>
      <c r="I579" s="890">
        <f>SUM(J579:N579)</f>
        <v>3000</v>
      </c>
      <c r="J579" s="891"/>
      <c r="K579" s="891"/>
      <c r="L579" s="891"/>
      <c r="M579" s="891"/>
      <c r="N579" s="892">
        <v>3000</v>
      </c>
    </row>
    <row r="580" spans="1:14" s="42" customFormat="1" ht="16.5">
      <c r="A580" s="908">
        <v>574</v>
      </c>
      <c r="B580" s="126"/>
      <c r="C580" s="121"/>
      <c r="D580" s="122" t="s">
        <v>957</v>
      </c>
      <c r="E580" s="123"/>
      <c r="F580" s="406"/>
      <c r="G580" s="406"/>
      <c r="H580" s="524"/>
      <c r="I580" s="530">
        <f>SUM(J580:N580)</f>
        <v>3000</v>
      </c>
      <c r="J580" s="124"/>
      <c r="K580" s="124"/>
      <c r="L580" s="124"/>
      <c r="M580" s="124"/>
      <c r="N580" s="329">
        <v>3000</v>
      </c>
    </row>
    <row r="581" spans="1:14" s="327" customFormat="1" ht="17.25">
      <c r="A581" s="908">
        <v>575</v>
      </c>
      <c r="B581" s="128"/>
      <c r="C581" s="336"/>
      <c r="D581" s="330" t="s">
        <v>405</v>
      </c>
      <c r="E581" s="331"/>
      <c r="F581" s="408"/>
      <c r="G581" s="408"/>
      <c r="H581" s="525"/>
      <c r="I581" s="531">
        <f>SUM(J581:N581)</f>
        <v>0</v>
      </c>
      <c r="J581" s="332"/>
      <c r="K581" s="332"/>
      <c r="L581" s="332"/>
      <c r="M581" s="332"/>
      <c r="N581" s="333"/>
    </row>
    <row r="582" spans="1:14" s="1500" customFormat="1" ht="17.25">
      <c r="A582" s="908">
        <v>576</v>
      </c>
      <c r="B582" s="337"/>
      <c r="C582" s="338"/>
      <c r="D582" s="334" t="s">
        <v>1067</v>
      </c>
      <c r="E582" s="335"/>
      <c r="F582" s="407"/>
      <c r="G582" s="407"/>
      <c r="H582" s="526"/>
      <c r="I582" s="532">
        <f>SUM(J582:N582)</f>
        <v>3000</v>
      </c>
      <c r="J582" s="407">
        <f>SUM(J580:J581)</f>
        <v>0</v>
      </c>
      <c r="K582" s="407">
        <f>SUM(K580:K581)</f>
        <v>0</v>
      </c>
      <c r="L582" s="407">
        <f>SUM(L580:L581)</f>
        <v>0</v>
      </c>
      <c r="M582" s="407">
        <f>SUM(M580:M581)</f>
        <v>0</v>
      </c>
      <c r="N582" s="514">
        <f>SUM(N580:N581)</f>
        <v>3000</v>
      </c>
    </row>
    <row r="583" spans="1:14" s="42" customFormat="1" ht="25.5" customHeight="1">
      <c r="A583" s="908">
        <v>577</v>
      </c>
      <c r="B583" s="126"/>
      <c r="C583" s="121">
        <v>102</v>
      </c>
      <c r="D583" s="122" t="s">
        <v>423</v>
      </c>
      <c r="E583" s="123" t="s">
        <v>859</v>
      </c>
      <c r="F583" s="406"/>
      <c r="G583" s="406"/>
      <c r="H583" s="524"/>
      <c r="I583" s="530"/>
      <c r="J583" s="123"/>
      <c r="K583" s="123"/>
      <c r="L583" s="123"/>
      <c r="M583" s="123"/>
      <c r="N583" s="515"/>
    </row>
    <row r="584" spans="1:14" s="42" customFormat="1" ht="16.5">
      <c r="A584" s="908">
        <v>578</v>
      </c>
      <c r="B584" s="126"/>
      <c r="C584" s="121"/>
      <c r="D584" s="122" t="s">
        <v>957</v>
      </c>
      <c r="E584" s="123"/>
      <c r="F584" s="406"/>
      <c r="G584" s="406"/>
      <c r="H584" s="524"/>
      <c r="I584" s="530">
        <f>SUM(J584:N584)</f>
        <v>6600</v>
      </c>
      <c r="J584" s="124"/>
      <c r="K584" s="124"/>
      <c r="L584" s="124">
        <v>6600</v>
      </c>
      <c r="M584" s="124"/>
      <c r="N584" s="329"/>
    </row>
    <row r="585" spans="1:14" s="327" customFormat="1" ht="17.25">
      <c r="A585" s="908">
        <v>579</v>
      </c>
      <c r="B585" s="128"/>
      <c r="C585" s="336"/>
      <c r="D585" s="330" t="s">
        <v>405</v>
      </c>
      <c r="E585" s="331"/>
      <c r="F585" s="408"/>
      <c r="G585" s="408"/>
      <c r="H585" s="525"/>
      <c r="I585" s="531">
        <f>SUM(J585:N585)</f>
        <v>0</v>
      </c>
      <c r="J585" s="332"/>
      <c r="K585" s="332"/>
      <c r="L585" s="332"/>
      <c r="M585" s="332"/>
      <c r="N585" s="333"/>
    </row>
    <row r="586" spans="1:14" s="1500" customFormat="1" ht="17.25">
      <c r="A586" s="908">
        <v>580</v>
      </c>
      <c r="B586" s="337"/>
      <c r="C586" s="338"/>
      <c r="D586" s="334" t="s">
        <v>1067</v>
      </c>
      <c r="E586" s="335"/>
      <c r="F586" s="407"/>
      <c r="G586" s="407"/>
      <c r="H586" s="526"/>
      <c r="I586" s="532">
        <f>SUM(J586:N586)</f>
        <v>6600</v>
      </c>
      <c r="J586" s="407">
        <f>SUM(J584:J585)</f>
        <v>0</v>
      </c>
      <c r="K586" s="407">
        <f>SUM(K584:K585)</f>
        <v>0</v>
      </c>
      <c r="L586" s="407">
        <f>SUM(L584:L585)</f>
        <v>6600</v>
      </c>
      <c r="M586" s="407">
        <f>SUM(M584:M585)</f>
        <v>0</v>
      </c>
      <c r="N586" s="514">
        <f>SUM(N584:N585)</f>
        <v>0</v>
      </c>
    </row>
    <row r="587" spans="1:14" s="42" customFormat="1" ht="25.5" customHeight="1">
      <c r="A587" s="908">
        <v>581</v>
      </c>
      <c r="B587" s="126"/>
      <c r="C587" s="121">
        <v>103</v>
      </c>
      <c r="D587" s="122" t="s">
        <v>920</v>
      </c>
      <c r="E587" s="123" t="s">
        <v>859</v>
      </c>
      <c r="F587" s="406">
        <f>SUM(F592:F612)</f>
        <v>3250</v>
      </c>
      <c r="G587" s="406">
        <f>SUM(G592:G612)</f>
        <v>3250</v>
      </c>
      <c r="H587" s="524">
        <f>SUM(H592:H612)</f>
        <v>3250</v>
      </c>
      <c r="I587" s="530"/>
      <c r="J587" s="123"/>
      <c r="K587" s="123"/>
      <c r="L587" s="123"/>
      <c r="M587" s="123"/>
      <c r="N587" s="515"/>
    </row>
    <row r="588" spans="1:14" s="893" customFormat="1" ht="16.5">
      <c r="A588" s="908">
        <v>582</v>
      </c>
      <c r="B588" s="894"/>
      <c r="C588" s="895"/>
      <c r="D588" s="896" t="s">
        <v>403</v>
      </c>
      <c r="E588" s="897"/>
      <c r="F588" s="888"/>
      <c r="G588" s="888"/>
      <c r="H588" s="889"/>
      <c r="I588" s="890">
        <f>SUM(J588:N588)</f>
        <v>3250</v>
      </c>
      <c r="J588" s="888">
        <f aca="true" t="shared" si="10" ref="J588:N590">SUM(J593,J598,J603,J608,J613)</f>
        <v>0</v>
      </c>
      <c r="K588" s="888">
        <f t="shared" si="10"/>
        <v>0</v>
      </c>
      <c r="L588" s="888">
        <f t="shared" si="10"/>
        <v>0</v>
      </c>
      <c r="M588" s="888">
        <f t="shared" si="10"/>
        <v>0</v>
      </c>
      <c r="N588" s="898">
        <f t="shared" si="10"/>
        <v>3250</v>
      </c>
    </row>
    <row r="589" spans="1:14" s="42" customFormat="1" ht="16.5">
      <c r="A589" s="908">
        <v>583</v>
      </c>
      <c r="B589" s="126"/>
      <c r="C589" s="121"/>
      <c r="D589" s="122" t="s">
        <v>957</v>
      </c>
      <c r="E589" s="123"/>
      <c r="F589" s="406"/>
      <c r="G589" s="406"/>
      <c r="H589" s="524"/>
      <c r="I589" s="530">
        <f>SUM(J589:N589)</f>
        <v>3250</v>
      </c>
      <c r="J589" s="406">
        <f t="shared" si="10"/>
        <v>0</v>
      </c>
      <c r="K589" s="406">
        <f t="shared" si="10"/>
        <v>0</v>
      </c>
      <c r="L589" s="406">
        <f t="shared" si="10"/>
        <v>0</v>
      </c>
      <c r="M589" s="406">
        <f t="shared" si="10"/>
        <v>0</v>
      </c>
      <c r="N589" s="511">
        <f t="shared" si="10"/>
        <v>3250</v>
      </c>
    </row>
    <row r="590" spans="1:14" s="327" customFormat="1" ht="17.25">
      <c r="A590" s="908">
        <v>584</v>
      </c>
      <c r="B590" s="128"/>
      <c r="C590" s="336"/>
      <c r="D590" s="330" t="s">
        <v>405</v>
      </c>
      <c r="E590" s="331"/>
      <c r="F590" s="408"/>
      <c r="G590" s="408"/>
      <c r="H590" s="525"/>
      <c r="I590" s="531">
        <f>SUM(J590:N590)</f>
        <v>0</v>
      </c>
      <c r="J590" s="408">
        <f t="shared" si="10"/>
        <v>0</v>
      </c>
      <c r="K590" s="408">
        <f t="shared" si="10"/>
        <v>0</v>
      </c>
      <c r="L590" s="408">
        <f t="shared" si="10"/>
        <v>0</v>
      </c>
      <c r="M590" s="408">
        <f t="shared" si="10"/>
        <v>0</v>
      </c>
      <c r="N590" s="512">
        <f t="shared" si="10"/>
        <v>0</v>
      </c>
    </row>
    <row r="591" spans="1:14" s="1500" customFormat="1" ht="17.25">
      <c r="A591" s="908">
        <v>585</v>
      </c>
      <c r="B591" s="337"/>
      <c r="C591" s="338"/>
      <c r="D591" s="334" t="s">
        <v>1067</v>
      </c>
      <c r="E591" s="335"/>
      <c r="F591" s="407"/>
      <c r="G591" s="407"/>
      <c r="H591" s="526"/>
      <c r="I591" s="532">
        <f>SUM(J591:N591)</f>
        <v>3250</v>
      </c>
      <c r="J591" s="407">
        <f>SUM(J589:J590)</f>
        <v>0</v>
      </c>
      <c r="K591" s="407">
        <f>SUM(K589:K590)</f>
        <v>0</v>
      </c>
      <c r="L591" s="407">
        <f>SUM(L589:L590)</f>
        <v>0</v>
      </c>
      <c r="M591" s="407">
        <f>SUM(M589:M590)</f>
        <v>0</v>
      </c>
      <c r="N591" s="514">
        <f>SUM(N589:N590)</f>
        <v>3250</v>
      </c>
    </row>
    <row r="592" spans="1:14" s="42" customFormat="1" ht="17.25">
      <c r="A592" s="908">
        <v>586</v>
      </c>
      <c r="B592" s="128"/>
      <c r="C592" s="121"/>
      <c r="D592" s="1052" t="s">
        <v>178</v>
      </c>
      <c r="E592" s="331"/>
      <c r="F592" s="408">
        <v>650</v>
      </c>
      <c r="G592" s="408">
        <v>650</v>
      </c>
      <c r="H592" s="525">
        <v>650</v>
      </c>
      <c r="I592" s="531"/>
      <c r="J592" s="332"/>
      <c r="K592" s="332"/>
      <c r="L592" s="332"/>
      <c r="M592" s="332"/>
      <c r="N592" s="333"/>
    </row>
    <row r="593" spans="1:14" s="893" customFormat="1" ht="17.25">
      <c r="A593" s="908">
        <v>587</v>
      </c>
      <c r="B593" s="894"/>
      <c r="C593" s="895"/>
      <c r="D593" s="1053" t="s">
        <v>403</v>
      </c>
      <c r="E593" s="1037"/>
      <c r="F593" s="1038"/>
      <c r="G593" s="1038"/>
      <c r="H593" s="1039"/>
      <c r="I593" s="1040">
        <f>SUM(J593:N593)</f>
        <v>650</v>
      </c>
      <c r="J593" s="1041"/>
      <c r="K593" s="1041"/>
      <c r="L593" s="1041"/>
      <c r="M593" s="1041"/>
      <c r="N593" s="1042">
        <v>650</v>
      </c>
    </row>
    <row r="594" spans="1:14" s="42" customFormat="1" ht="17.25">
      <c r="A594" s="908">
        <v>588</v>
      </c>
      <c r="B594" s="126"/>
      <c r="C594" s="121"/>
      <c r="D594" s="1054" t="s">
        <v>957</v>
      </c>
      <c r="E594" s="331"/>
      <c r="F594" s="408"/>
      <c r="G594" s="408"/>
      <c r="H594" s="525"/>
      <c r="I594" s="531">
        <f>SUM(J594:N594)</f>
        <v>650</v>
      </c>
      <c r="J594" s="332"/>
      <c r="K594" s="332"/>
      <c r="L594" s="332"/>
      <c r="M594" s="332"/>
      <c r="N594" s="333">
        <v>650</v>
      </c>
    </row>
    <row r="595" spans="1:14" s="327" customFormat="1" ht="17.25">
      <c r="A595" s="908">
        <v>589</v>
      </c>
      <c r="B595" s="128"/>
      <c r="C595" s="336"/>
      <c r="D595" s="1052" t="s">
        <v>405</v>
      </c>
      <c r="E595" s="331"/>
      <c r="F595" s="408"/>
      <c r="G595" s="408"/>
      <c r="H595" s="525"/>
      <c r="I595" s="531">
        <f>SUM(J595:N595)</f>
        <v>0</v>
      </c>
      <c r="J595" s="332"/>
      <c r="K595" s="332"/>
      <c r="L595" s="332"/>
      <c r="M595" s="332"/>
      <c r="N595" s="333"/>
    </row>
    <row r="596" spans="1:14" s="1500" customFormat="1" ht="17.25">
      <c r="A596" s="908">
        <v>590</v>
      </c>
      <c r="B596" s="337"/>
      <c r="C596" s="338"/>
      <c r="D596" s="1055" t="s">
        <v>1067</v>
      </c>
      <c r="E596" s="1046"/>
      <c r="F596" s="1047"/>
      <c r="G596" s="1047"/>
      <c r="H596" s="1048"/>
      <c r="I596" s="1049">
        <f>SUM(J596:N596)</f>
        <v>650</v>
      </c>
      <c r="J596" s="1047">
        <f>SUM(J594:J595)</f>
        <v>0</v>
      </c>
      <c r="K596" s="1047">
        <f>SUM(K594:K595)</f>
        <v>0</v>
      </c>
      <c r="L596" s="1047">
        <f>SUM(L594:L595)</f>
        <v>0</v>
      </c>
      <c r="M596" s="1047">
        <f>SUM(M594:M595)</f>
        <v>0</v>
      </c>
      <c r="N596" s="1050">
        <f>SUM(N594:N595)</f>
        <v>650</v>
      </c>
    </row>
    <row r="597" spans="1:14" s="42" customFormat="1" ht="17.25">
      <c r="A597" s="908">
        <v>591</v>
      </c>
      <c r="B597" s="128"/>
      <c r="C597" s="121"/>
      <c r="D597" s="1052" t="s">
        <v>921</v>
      </c>
      <c r="E597" s="331"/>
      <c r="F597" s="408">
        <v>650</v>
      </c>
      <c r="G597" s="408">
        <v>650</v>
      </c>
      <c r="H597" s="525">
        <v>650</v>
      </c>
      <c r="I597" s="531"/>
      <c r="J597" s="332"/>
      <c r="K597" s="332"/>
      <c r="L597" s="332"/>
      <c r="M597" s="332"/>
      <c r="N597" s="333"/>
    </row>
    <row r="598" spans="1:14" s="893" customFormat="1" ht="17.25">
      <c r="A598" s="908">
        <v>592</v>
      </c>
      <c r="B598" s="894"/>
      <c r="C598" s="895"/>
      <c r="D598" s="1053" t="s">
        <v>403</v>
      </c>
      <c r="E598" s="1037"/>
      <c r="F598" s="1038"/>
      <c r="G598" s="1038"/>
      <c r="H598" s="1039"/>
      <c r="I598" s="1040">
        <f>SUM(J598:N598)</f>
        <v>650</v>
      </c>
      <c r="J598" s="1041"/>
      <c r="K598" s="1041"/>
      <c r="L598" s="1041"/>
      <c r="M598" s="1041"/>
      <c r="N598" s="1042">
        <v>650</v>
      </c>
    </row>
    <row r="599" spans="1:14" s="42" customFormat="1" ht="17.25">
      <c r="A599" s="908">
        <v>593</v>
      </c>
      <c r="B599" s="126"/>
      <c r="C599" s="121"/>
      <c r="D599" s="1054" t="s">
        <v>957</v>
      </c>
      <c r="E599" s="331"/>
      <c r="F599" s="408"/>
      <c r="G599" s="408"/>
      <c r="H599" s="525"/>
      <c r="I599" s="531">
        <f>SUM(J599:N599)</f>
        <v>650</v>
      </c>
      <c r="J599" s="332"/>
      <c r="K599" s="332"/>
      <c r="L599" s="332"/>
      <c r="M599" s="332"/>
      <c r="N599" s="333">
        <v>650</v>
      </c>
    </row>
    <row r="600" spans="1:14" s="327" customFormat="1" ht="17.25">
      <c r="A600" s="908">
        <v>594</v>
      </c>
      <c r="B600" s="128"/>
      <c r="C600" s="336"/>
      <c r="D600" s="1052" t="s">
        <v>405</v>
      </c>
      <c r="E600" s="331"/>
      <c r="F600" s="408"/>
      <c r="G600" s="408"/>
      <c r="H600" s="525"/>
      <c r="I600" s="531">
        <f>SUM(J600:N600)</f>
        <v>0</v>
      </c>
      <c r="J600" s="332"/>
      <c r="K600" s="332"/>
      <c r="L600" s="332"/>
      <c r="M600" s="332"/>
      <c r="N600" s="333"/>
    </row>
    <row r="601" spans="1:14" s="1500" customFormat="1" ht="17.25">
      <c r="A601" s="908">
        <v>595</v>
      </c>
      <c r="B601" s="337"/>
      <c r="C601" s="338"/>
      <c r="D601" s="1055" t="s">
        <v>1067</v>
      </c>
      <c r="E601" s="1046"/>
      <c r="F601" s="1047"/>
      <c r="G601" s="1047"/>
      <c r="H601" s="1048"/>
      <c r="I601" s="1049">
        <f>SUM(J601:N601)</f>
        <v>650</v>
      </c>
      <c r="J601" s="1047">
        <f>SUM(J599:J600)</f>
        <v>0</v>
      </c>
      <c r="K601" s="1047">
        <f>SUM(K599:K600)</f>
        <v>0</v>
      </c>
      <c r="L601" s="1047">
        <f>SUM(L599:L600)</f>
        <v>0</v>
      </c>
      <c r="M601" s="1047">
        <f>SUM(M599:M600)</f>
        <v>0</v>
      </c>
      <c r="N601" s="1050">
        <f>SUM(N599:N600)</f>
        <v>650</v>
      </c>
    </row>
    <row r="602" spans="1:14" s="42" customFormat="1" ht="17.25">
      <c r="A602" s="908">
        <v>596</v>
      </c>
      <c r="B602" s="128"/>
      <c r="C602" s="121"/>
      <c r="D602" s="1052" t="s">
        <v>922</v>
      </c>
      <c r="E602" s="331"/>
      <c r="F602" s="408">
        <v>650</v>
      </c>
      <c r="G602" s="408">
        <v>650</v>
      </c>
      <c r="H602" s="525">
        <v>650</v>
      </c>
      <c r="I602" s="531"/>
      <c r="J602" s="332"/>
      <c r="K602" s="332"/>
      <c r="L602" s="332"/>
      <c r="M602" s="332"/>
      <c r="N602" s="333"/>
    </row>
    <row r="603" spans="1:14" s="893" customFormat="1" ht="17.25">
      <c r="A603" s="908">
        <v>597</v>
      </c>
      <c r="B603" s="894"/>
      <c r="C603" s="895"/>
      <c r="D603" s="1053" t="s">
        <v>403</v>
      </c>
      <c r="E603" s="1037"/>
      <c r="F603" s="1038"/>
      <c r="G603" s="1038"/>
      <c r="H603" s="1039"/>
      <c r="I603" s="1040">
        <f>SUM(J603:N603)</f>
        <v>650</v>
      </c>
      <c r="J603" s="1041"/>
      <c r="K603" s="1041"/>
      <c r="L603" s="1041"/>
      <c r="M603" s="1041"/>
      <c r="N603" s="1042">
        <v>650</v>
      </c>
    </row>
    <row r="604" spans="1:14" s="42" customFormat="1" ht="17.25">
      <c r="A604" s="908">
        <v>598</v>
      </c>
      <c r="B604" s="126"/>
      <c r="C604" s="121"/>
      <c r="D604" s="1054" t="s">
        <v>957</v>
      </c>
      <c r="E604" s="331"/>
      <c r="F604" s="408"/>
      <c r="G604" s="408"/>
      <c r="H604" s="525"/>
      <c r="I604" s="531">
        <f>SUM(J604:N604)</f>
        <v>650</v>
      </c>
      <c r="J604" s="332"/>
      <c r="K604" s="332"/>
      <c r="L604" s="332"/>
      <c r="M604" s="332"/>
      <c r="N604" s="333">
        <v>650</v>
      </c>
    </row>
    <row r="605" spans="1:14" s="327" customFormat="1" ht="17.25">
      <c r="A605" s="908">
        <v>599</v>
      </c>
      <c r="B605" s="128"/>
      <c r="C605" s="336"/>
      <c r="D605" s="1052" t="s">
        <v>405</v>
      </c>
      <c r="E605" s="331"/>
      <c r="F605" s="408"/>
      <c r="G605" s="408"/>
      <c r="H605" s="525"/>
      <c r="I605" s="531">
        <f>SUM(J605:N605)</f>
        <v>0</v>
      </c>
      <c r="J605" s="332"/>
      <c r="K605" s="332"/>
      <c r="L605" s="332"/>
      <c r="M605" s="332"/>
      <c r="N605" s="333"/>
    </row>
    <row r="606" spans="1:14" s="1500" customFormat="1" ht="17.25">
      <c r="A606" s="908">
        <v>600</v>
      </c>
      <c r="B606" s="337"/>
      <c r="C606" s="338"/>
      <c r="D606" s="1055" t="s">
        <v>1067</v>
      </c>
      <c r="E606" s="1046"/>
      <c r="F606" s="1047"/>
      <c r="G606" s="1047"/>
      <c r="H606" s="1048"/>
      <c r="I606" s="1049">
        <f>SUM(J606:N606)</f>
        <v>650</v>
      </c>
      <c r="J606" s="1047">
        <f>SUM(J604:J605)</f>
        <v>0</v>
      </c>
      <c r="K606" s="1047">
        <f>SUM(K604:K605)</f>
        <v>0</v>
      </c>
      <c r="L606" s="1047">
        <f>SUM(L604:L605)</f>
        <v>0</v>
      </c>
      <c r="M606" s="1047">
        <f>SUM(M604:M605)</f>
        <v>0</v>
      </c>
      <c r="N606" s="1050">
        <f>SUM(N604:N605)</f>
        <v>650</v>
      </c>
    </row>
    <row r="607" spans="1:14" s="42" customFormat="1" ht="17.25">
      <c r="A607" s="908">
        <v>601</v>
      </c>
      <c r="B607" s="128"/>
      <c r="C607" s="121"/>
      <c r="D607" s="1052" t="s">
        <v>923</v>
      </c>
      <c r="E607" s="331"/>
      <c r="F607" s="408">
        <v>650</v>
      </c>
      <c r="G607" s="408">
        <v>650</v>
      </c>
      <c r="H607" s="525">
        <v>650</v>
      </c>
      <c r="I607" s="531"/>
      <c r="J607" s="332"/>
      <c r="K607" s="332"/>
      <c r="L607" s="332"/>
      <c r="M607" s="332"/>
      <c r="N607" s="333"/>
    </row>
    <row r="608" spans="1:14" s="893" customFormat="1" ht="17.25">
      <c r="A608" s="908">
        <v>602</v>
      </c>
      <c r="B608" s="894"/>
      <c r="C608" s="895"/>
      <c r="D608" s="1053" t="s">
        <v>403</v>
      </c>
      <c r="E608" s="1037"/>
      <c r="F608" s="1038"/>
      <c r="G608" s="1038"/>
      <c r="H608" s="1039"/>
      <c r="I608" s="1040">
        <f>SUM(J608:N608)</f>
        <v>650</v>
      </c>
      <c r="J608" s="1041"/>
      <c r="K608" s="1041"/>
      <c r="L608" s="1041"/>
      <c r="M608" s="1041"/>
      <c r="N608" s="1042">
        <v>650</v>
      </c>
    </row>
    <row r="609" spans="1:14" s="42" customFormat="1" ht="17.25">
      <c r="A609" s="908">
        <v>603</v>
      </c>
      <c r="B609" s="126"/>
      <c r="C609" s="121"/>
      <c r="D609" s="1054" t="s">
        <v>957</v>
      </c>
      <c r="E609" s="331"/>
      <c r="F609" s="408"/>
      <c r="G609" s="408"/>
      <c r="H609" s="525"/>
      <c r="I609" s="531">
        <f>SUM(J609:N609)</f>
        <v>650</v>
      </c>
      <c r="J609" s="332"/>
      <c r="K609" s="332"/>
      <c r="L609" s="332"/>
      <c r="M609" s="332"/>
      <c r="N609" s="333">
        <v>650</v>
      </c>
    </row>
    <row r="610" spans="1:14" s="327" customFormat="1" ht="17.25">
      <c r="A610" s="908">
        <v>604</v>
      </c>
      <c r="B610" s="128"/>
      <c r="C610" s="336"/>
      <c r="D610" s="1052" t="s">
        <v>405</v>
      </c>
      <c r="E610" s="331"/>
      <c r="F610" s="408"/>
      <c r="G610" s="408"/>
      <c r="H610" s="525"/>
      <c r="I610" s="531">
        <f>SUM(J610:N610)</f>
        <v>0</v>
      </c>
      <c r="J610" s="332"/>
      <c r="K610" s="332"/>
      <c r="L610" s="332"/>
      <c r="M610" s="332"/>
      <c r="N610" s="333"/>
    </row>
    <row r="611" spans="1:14" s="1500" customFormat="1" ht="17.25">
      <c r="A611" s="908">
        <v>605</v>
      </c>
      <c r="B611" s="337"/>
      <c r="C611" s="338"/>
      <c r="D611" s="1055" t="s">
        <v>1067</v>
      </c>
      <c r="E611" s="1046"/>
      <c r="F611" s="1047"/>
      <c r="G611" s="1047"/>
      <c r="H611" s="1048"/>
      <c r="I611" s="1049">
        <f>SUM(J611:N611)</f>
        <v>650</v>
      </c>
      <c r="J611" s="1047">
        <f>SUM(J609:J610)</f>
        <v>0</v>
      </c>
      <c r="K611" s="1047">
        <f>SUM(K609:K610)</f>
        <v>0</v>
      </c>
      <c r="L611" s="1047">
        <f>SUM(L609:L610)</f>
        <v>0</v>
      </c>
      <c r="M611" s="1047">
        <f>SUM(M609:M610)</f>
        <v>0</v>
      </c>
      <c r="N611" s="1050">
        <f>SUM(N609:N610)</f>
        <v>650</v>
      </c>
    </row>
    <row r="612" spans="1:14" s="42" customFormat="1" ht="17.25">
      <c r="A612" s="908">
        <v>606</v>
      </c>
      <c r="B612" s="128"/>
      <c r="C612" s="121"/>
      <c r="D612" s="1052" t="s">
        <v>3</v>
      </c>
      <c r="E612" s="331"/>
      <c r="F612" s="408">
        <v>650</v>
      </c>
      <c r="G612" s="408">
        <v>650</v>
      </c>
      <c r="H612" s="525">
        <v>650</v>
      </c>
      <c r="I612" s="531"/>
      <c r="J612" s="332"/>
      <c r="K612" s="332"/>
      <c r="L612" s="332"/>
      <c r="M612" s="332"/>
      <c r="N612" s="333"/>
    </row>
    <row r="613" spans="1:14" s="893" customFormat="1" ht="17.25">
      <c r="A613" s="908">
        <v>607</v>
      </c>
      <c r="B613" s="894"/>
      <c r="C613" s="895"/>
      <c r="D613" s="1053" t="s">
        <v>403</v>
      </c>
      <c r="E613" s="1037"/>
      <c r="F613" s="1038"/>
      <c r="G613" s="1038"/>
      <c r="H613" s="1039"/>
      <c r="I613" s="1040">
        <f>SUM(J613:N613)</f>
        <v>650</v>
      </c>
      <c r="J613" s="1041"/>
      <c r="K613" s="1041"/>
      <c r="L613" s="1041"/>
      <c r="M613" s="1041"/>
      <c r="N613" s="1042">
        <v>650</v>
      </c>
    </row>
    <row r="614" spans="1:14" s="42" customFormat="1" ht="17.25">
      <c r="A614" s="908">
        <v>608</v>
      </c>
      <c r="B614" s="126"/>
      <c r="C614" s="121"/>
      <c r="D614" s="1054" t="s">
        <v>957</v>
      </c>
      <c r="E614" s="331"/>
      <c r="F614" s="408"/>
      <c r="G614" s="408"/>
      <c r="H614" s="525"/>
      <c r="I614" s="531">
        <f>SUM(J614:N614)</f>
        <v>650</v>
      </c>
      <c r="J614" s="332"/>
      <c r="K614" s="332"/>
      <c r="L614" s="332"/>
      <c r="M614" s="332"/>
      <c r="N614" s="333">
        <v>650</v>
      </c>
    </row>
    <row r="615" spans="1:14" s="327" customFormat="1" ht="17.25">
      <c r="A615" s="908">
        <v>609</v>
      </c>
      <c r="B615" s="128"/>
      <c r="C615" s="336"/>
      <c r="D615" s="1052" t="s">
        <v>405</v>
      </c>
      <c r="E615" s="331"/>
      <c r="F615" s="408"/>
      <c r="G615" s="408"/>
      <c r="H615" s="525"/>
      <c r="I615" s="531">
        <f>SUM(J615:N615)</f>
        <v>0</v>
      </c>
      <c r="J615" s="332"/>
      <c r="K615" s="332"/>
      <c r="L615" s="332"/>
      <c r="M615" s="332"/>
      <c r="N615" s="333"/>
    </row>
    <row r="616" spans="1:14" s="1500" customFormat="1" ht="17.25">
      <c r="A616" s="908">
        <v>610</v>
      </c>
      <c r="B616" s="337"/>
      <c r="C616" s="338"/>
      <c r="D616" s="1055" t="s">
        <v>1067</v>
      </c>
      <c r="E616" s="1046"/>
      <c r="F616" s="1047"/>
      <c r="G616" s="1047"/>
      <c r="H616" s="1048"/>
      <c r="I616" s="1049">
        <f>SUM(J616:N616)</f>
        <v>650</v>
      </c>
      <c r="J616" s="1047">
        <f>SUM(J614:J615)</f>
        <v>0</v>
      </c>
      <c r="K616" s="1047">
        <f>SUM(K614:K615)</f>
        <v>0</v>
      </c>
      <c r="L616" s="1047">
        <f>SUM(L614:L615)</f>
        <v>0</v>
      </c>
      <c r="M616" s="1047">
        <f>SUM(M614:M615)</f>
        <v>0</v>
      </c>
      <c r="N616" s="1050">
        <f>SUM(N614:N615)</f>
        <v>650</v>
      </c>
    </row>
    <row r="617" spans="1:14" s="42" customFormat="1" ht="25.5" customHeight="1">
      <c r="A617" s="908">
        <v>611</v>
      </c>
      <c r="B617" s="126"/>
      <c r="C617" s="121">
        <v>104</v>
      </c>
      <c r="D617" s="122" t="s">
        <v>172</v>
      </c>
      <c r="E617" s="123" t="s">
        <v>799</v>
      </c>
      <c r="F617" s="406"/>
      <c r="G617" s="406">
        <v>4747</v>
      </c>
      <c r="H617" s="524"/>
      <c r="I617" s="530"/>
      <c r="J617" s="123"/>
      <c r="K617" s="123"/>
      <c r="L617" s="123"/>
      <c r="M617" s="123"/>
      <c r="N617" s="515"/>
    </row>
    <row r="618" spans="1:14" s="893" customFormat="1" ht="16.5">
      <c r="A618" s="908">
        <v>612</v>
      </c>
      <c r="B618" s="894"/>
      <c r="C618" s="895"/>
      <c r="D618" s="896" t="s">
        <v>403</v>
      </c>
      <c r="E618" s="897"/>
      <c r="F618" s="888"/>
      <c r="G618" s="888"/>
      <c r="H618" s="889"/>
      <c r="I618" s="890">
        <f>SUM(J618:N618)</f>
        <v>4747</v>
      </c>
      <c r="J618" s="891"/>
      <c r="K618" s="891"/>
      <c r="L618" s="891">
        <v>4747</v>
      </c>
      <c r="M618" s="891"/>
      <c r="N618" s="892"/>
    </row>
    <row r="619" spans="1:14" s="42" customFormat="1" ht="16.5">
      <c r="A619" s="908">
        <v>613</v>
      </c>
      <c r="B619" s="126"/>
      <c r="C619" s="121"/>
      <c r="D619" s="122" t="s">
        <v>957</v>
      </c>
      <c r="E619" s="123"/>
      <c r="F619" s="406"/>
      <c r="G619" s="406"/>
      <c r="H619" s="524"/>
      <c r="I619" s="530">
        <f>SUM(J619:N619)</f>
        <v>0</v>
      </c>
      <c r="J619" s="124"/>
      <c r="K619" s="124"/>
      <c r="L619" s="124">
        <v>0</v>
      </c>
      <c r="M619" s="124"/>
      <c r="N619" s="329"/>
    </row>
    <row r="620" spans="1:14" s="327" customFormat="1" ht="17.25">
      <c r="A620" s="908">
        <v>614</v>
      </c>
      <c r="B620" s="128"/>
      <c r="C620" s="336"/>
      <c r="D620" s="330" t="s">
        <v>405</v>
      </c>
      <c r="E620" s="331"/>
      <c r="F620" s="408"/>
      <c r="G620" s="408"/>
      <c r="H620" s="525"/>
      <c r="I620" s="531">
        <f>SUM(J620:N620)</f>
        <v>0</v>
      </c>
      <c r="J620" s="332"/>
      <c r="K620" s="332"/>
      <c r="L620" s="332"/>
      <c r="M620" s="332"/>
      <c r="N620" s="333"/>
    </row>
    <row r="621" spans="1:14" s="1500" customFormat="1" ht="17.25">
      <c r="A621" s="908">
        <v>615</v>
      </c>
      <c r="B621" s="337"/>
      <c r="C621" s="338"/>
      <c r="D621" s="334" t="s">
        <v>1067</v>
      </c>
      <c r="E621" s="335"/>
      <c r="F621" s="407"/>
      <c r="G621" s="407"/>
      <c r="H621" s="526"/>
      <c r="I621" s="532">
        <f>SUM(J621:N621)</f>
        <v>0</v>
      </c>
      <c r="J621" s="407">
        <f>SUM(J619:J620)</f>
        <v>0</v>
      </c>
      <c r="K621" s="407">
        <f>SUM(K619:K620)</f>
        <v>0</v>
      </c>
      <c r="L621" s="407">
        <f>SUM(L619:L620)</f>
        <v>0</v>
      </c>
      <c r="M621" s="407">
        <f>SUM(M619:M620)</f>
        <v>0</v>
      </c>
      <c r="N621" s="514">
        <f>SUM(N619:N620)</f>
        <v>0</v>
      </c>
    </row>
    <row r="622" spans="1:14" s="42" customFormat="1" ht="39.75" customHeight="1">
      <c r="A622" s="909">
        <v>616</v>
      </c>
      <c r="B622" s="127"/>
      <c r="C622" s="509">
        <v>105</v>
      </c>
      <c r="D622" s="497" t="s">
        <v>173</v>
      </c>
      <c r="E622" s="123" t="s">
        <v>799</v>
      </c>
      <c r="F622" s="406"/>
      <c r="G622" s="406">
        <v>40680</v>
      </c>
      <c r="H622" s="524"/>
      <c r="I622" s="530"/>
      <c r="J622" s="123"/>
      <c r="K622" s="123"/>
      <c r="L622" s="123"/>
      <c r="M622" s="123"/>
      <c r="N622" s="515"/>
    </row>
    <row r="623" spans="1:14" s="893" customFormat="1" ht="16.5">
      <c r="A623" s="908">
        <v>617</v>
      </c>
      <c r="B623" s="894"/>
      <c r="C623" s="895"/>
      <c r="D623" s="896" t="s">
        <v>403</v>
      </c>
      <c r="E623" s="897"/>
      <c r="F623" s="888"/>
      <c r="G623" s="888"/>
      <c r="H623" s="889"/>
      <c r="I623" s="890">
        <f>SUM(J623:N623)</f>
        <v>16410</v>
      </c>
      <c r="J623" s="891"/>
      <c r="K623" s="891"/>
      <c r="L623" s="891">
        <v>16410</v>
      </c>
      <c r="M623" s="891"/>
      <c r="N623" s="892"/>
    </row>
    <row r="624" spans="1:14" s="42" customFormat="1" ht="16.5">
      <c r="A624" s="908">
        <v>618</v>
      </c>
      <c r="B624" s="126"/>
      <c r="C624" s="121"/>
      <c r="D624" s="122" t="s">
        <v>957</v>
      </c>
      <c r="E624" s="123"/>
      <c r="F624" s="406"/>
      <c r="G624" s="406"/>
      <c r="H624" s="524"/>
      <c r="I624" s="530">
        <f>SUM(J624:N624)</f>
        <v>0</v>
      </c>
      <c r="J624" s="124"/>
      <c r="K624" s="124"/>
      <c r="L624" s="124"/>
      <c r="M624" s="124"/>
      <c r="N624" s="329"/>
    </row>
    <row r="625" spans="1:14" s="327" customFormat="1" ht="17.25">
      <c r="A625" s="908">
        <v>619</v>
      </c>
      <c r="B625" s="128"/>
      <c r="C625" s="336"/>
      <c r="D625" s="330" t="s">
        <v>405</v>
      </c>
      <c r="E625" s="331"/>
      <c r="F625" s="408"/>
      <c r="G625" s="408"/>
      <c r="H625" s="525"/>
      <c r="I625" s="531">
        <f>SUM(J625:N625)</f>
        <v>0</v>
      </c>
      <c r="J625" s="332"/>
      <c r="K625" s="332"/>
      <c r="L625" s="332"/>
      <c r="M625" s="332"/>
      <c r="N625" s="333"/>
    </row>
    <row r="626" spans="1:14" s="1500" customFormat="1" ht="17.25">
      <c r="A626" s="908">
        <v>620</v>
      </c>
      <c r="B626" s="337"/>
      <c r="C626" s="338"/>
      <c r="D626" s="334" t="s">
        <v>1067</v>
      </c>
      <c r="E626" s="335"/>
      <c r="F626" s="407"/>
      <c r="G626" s="407"/>
      <c r="H626" s="526"/>
      <c r="I626" s="532">
        <f>SUM(J626:N626)</f>
        <v>0</v>
      </c>
      <c r="J626" s="407">
        <f>SUM(J624:J625)</f>
        <v>0</v>
      </c>
      <c r="K626" s="407">
        <f>SUM(K624:K625)</f>
        <v>0</v>
      </c>
      <c r="L626" s="407">
        <f>SUM(L624:L625)</f>
        <v>0</v>
      </c>
      <c r="M626" s="407">
        <f>SUM(M624:M625)</f>
        <v>0</v>
      </c>
      <c r="N626" s="514">
        <f>SUM(N624:N625)</f>
        <v>0</v>
      </c>
    </row>
    <row r="627" spans="1:14" s="42" customFormat="1" ht="39.75" customHeight="1">
      <c r="A627" s="909">
        <v>621</v>
      </c>
      <c r="B627" s="127"/>
      <c r="C627" s="509">
        <v>106</v>
      </c>
      <c r="D627" s="497" t="s">
        <v>1052</v>
      </c>
      <c r="E627" s="123" t="s">
        <v>799</v>
      </c>
      <c r="F627" s="406"/>
      <c r="G627" s="406">
        <v>155214</v>
      </c>
      <c r="H627" s="524">
        <v>6133</v>
      </c>
      <c r="I627" s="530"/>
      <c r="J627" s="123"/>
      <c r="K627" s="123"/>
      <c r="L627" s="123"/>
      <c r="M627" s="123"/>
      <c r="N627" s="515"/>
    </row>
    <row r="628" spans="1:14" s="893" customFormat="1" ht="16.5">
      <c r="A628" s="908">
        <v>622</v>
      </c>
      <c r="B628" s="894"/>
      <c r="C628" s="895"/>
      <c r="D628" s="896" t="s">
        <v>403</v>
      </c>
      <c r="E628" s="897"/>
      <c r="F628" s="888"/>
      <c r="G628" s="888"/>
      <c r="H628" s="889"/>
      <c r="I628" s="890">
        <f>SUM(J628:N628)</f>
        <v>56542</v>
      </c>
      <c r="J628" s="891"/>
      <c r="K628" s="891"/>
      <c r="L628" s="891">
        <v>56542</v>
      </c>
      <c r="M628" s="891"/>
      <c r="N628" s="892"/>
    </row>
    <row r="629" spans="1:14" s="42" customFormat="1" ht="16.5">
      <c r="A629" s="908">
        <v>623</v>
      </c>
      <c r="B629" s="126"/>
      <c r="C629" s="121"/>
      <c r="D629" s="122" t="s">
        <v>957</v>
      </c>
      <c r="E629" s="123"/>
      <c r="F629" s="406"/>
      <c r="G629" s="406"/>
      <c r="H629" s="524"/>
      <c r="I629" s="530">
        <f>SUM(J629:N629)</f>
        <v>192192</v>
      </c>
      <c r="J629" s="124"/>
      <c r="K629" s="124"/>
      <c r="L629" s="124">
        <v>192192</v>
      </c>
      <c r="M629" s="124"/>
      <c r="N629" s="329"/>
    </row>
    <row r="630" spans="1:14" s="327" customFormat="1" ht="17.25">
      <c r="A630" s="908">
        <v>624</v>
      </c>
      <c r="B630" s="128"/>
      <c r="C630" s="336"/>
      <c r="D630" s="330" t="s">
        <v>1088</v>
      </c>
      <c r="E630" s="331"/>
      <c r="F630" s="408"/>
      <c r="G630" s="408"/>
      <c r="H630" s="525"/>
      <c r="I630" s="531">
        <f>SUM(J630:N630)</f>
        <v>-10000</v>
      </c>
      <c r="J630" s="332"/>
      <c r="K630" s="332"/>
      <c r="L630" s="332">
        <v>-10000</v>
      </c>
      <c r="M630" s="332"/>
      <c r="N630" s="333"/>
    </row>
    <row r="631" spans="1:14" s="1500" customFormat="1" ht="17.25">
      <c r="A631" s="908">
        <v>625</v>
      </c>
      <c r="B631" s="337"/>
      <c r="C631" s="338"/>
      <c r="D631" s="334" t="s">
        <v>1067</v>
      </c>
      <c r="E631" s="335"/>
      <c r="F631" s="407"/>
      <c r="G631" s="407"/>
      <c r="H631" s="526"/>
      <c r="I631" s="532">
        <f>SUM(J631:N631)</f>
        <v>182192</v>
      </c>
      <c r="J631" s="407">
        <f>SUM(J629:J630)</f>
        <v>0</v>
      </c>
      <c r="K631" s="407">
        <f>SUM(K629:K630)</f>
        <v>0</v>
      </c>
      <c r="L631" s="407">
        <f>SUM(L629:L630)</f>
        <v>182192</v>
      </c>
      <c r="M631" s="407">
        <f>SUM(M629:M630)</f>
        <v>0</v>
      </c>
      <c r="N631" s="514">
        <f>SUM(N629:N630)</f>
        <v>0</v>
      </c>
    </row>
    <row r="632" spans="1:14" s="42" customFormat="1" ht="39.75" customHeight="1">
      <c r="A632" s="909">
        <v>626</v>
      </c>
      <c r="B632" s="127"/>
      <c r="C632" s="509">
        <v>107</v>
      </c>
      <c r="D632" s="497" t="s">
        <v>176</v>
      </c>
      <c r="E632" s="123" t="s">
        <v>799</v>
      </c>
      <c r="F632" s="406"/>
      <c r="G632" s="406">
        <v>13881</v>
      </c>
      <c r="H632" s="524">
        <v>429</v>
      </c>
      <c r="I632" s="530"/>
      <c r="J632" s="123"/>
      <c r="K632" s="123"/>
      <c r="L632" s="123"/>
      <c r="M632" s="123"/>
      <c r="N632" s="515"/>
    </row>
    <row r="633" spans="1:14" s="893" customFormat="1" ht="16.5">
      <c r="A633" s="908">
        <v>627</v>
      </c>
      <c r="B633" s="894"/>
      <c r="C633" s="895"/>
      <c r="D633" s="896" t="s">
        <v>403</v>
      </c>
      <c r="E633" s="897"/>
      <c r="F633" s="888"/>
      <c r="G633" s="888"/>
      <c r="H633" s="889"/>
      <c r="I633" s="890">
        <f>SUM(J633:N633)</f>
        <v>4627</v>
      </c>
      <c r="J633" s="891"/>
      <c r="K633" s="891"/>
      <c r="L633" s="891">
        <v>4627</v>
      </c>
      <c r="M633" s="891"/>
      <c r="N633" s="892"/>
    </row>
    <row r="634" spans="1:14" s="42" customFormat="1" ht="16.5">
      <c r="A634" s="908">
        <v>628</v>
      </c>
      <c r="B634" s="126"/>
      <c r="C634" s="121"/>
      <c r="D634" s="122" t="s">
        <v>957</v>
      </c>
      <c r="E634" s="123"/>
      <c r="F634" s="406"/>
      <c r="G634" s="406"/>
      <c r="H634" s="524"/>
      <c r="I634" s="530">
        <f>SUM(J634:N634)</f>
        <v>10959</v>
      </c>
      <c r="J634" s="124"/>
      <c r="K634" s="124"/>
      <c r="L634" s="124">
        <v>10959</v>
      </c>
      <c r="M634" s="124"/>
      <c r="N634" s="329"/>
    </row>
    <row r="635" spans="1:14" s="327" customFormat="1" ht="17.25">
      <c r="A635" s="908">
        <v>629</v>
      </c>
      <c r="B635" s="128"/>
      <c r="C635" s="336"/>
      <c r="D635" s="330" t="s">
        <v>1085</v>
      </c>
      <c r="E635" s="331"/>
      <c r="F635" s="408"/>
      <c r="G635" s="408"/>
      <c r="H635" s="525"/>
      <c r="I635" s="531">
        <f>SUM(J635:N635)</f>
        <v>-807</v>
      </c>
      <c r="J635" s="332"/>
      <c r="K635" s="332"/>
      <c r="L635" s="332">
        <v>-807</v>
      </c>
      <c r="M635" s="332"/>
      <c r="N635" s="333"/>
    </row>
    <row r="636" spans="1:14" s="1500" customFormat="1" ht="17.25">
      <c r="A636" s="908">
        <v>630</v>
      </c>
      <c r="B636" s="337"/>
      <c r="C636" s="338"/>
      <c r="D636" s="334" t="s">
        <v>1067</v>
      </c>
      <c r="E636" s="335"/>
      <c r="F636" s="407"/>
      <c r="G636" s="407"/>
      <c r="H636" s="526"/>
      <c r="I636" s="532">
        <f>SUM(J636:N636)</f>
        <v>10152</v>
      </c>
      <c r="J636" s="407">
        <f>SUM(J634:J635)</f>
        <v>0</v>
      </c>
      <c r="K636" s="407">
        <f>SUM(K634:K635)</f>
        <v>0</v>
      </c>
      <c r="L636" s="407">
        <f>SUM(L634:L635)</f>
        <v>10152</v>
      </c>
      <c r="M636" s="407">
        <f>SUM(M634:M635)</f>
        <v>0</v>
      </c>
      <c r="N636" s="514">
        <f>SUM(N634:N635)</f>
        <v>0</v>
      </c>
    </row>
    <row r="637" spans="1:14" s="42" customFormat="1" ht="30" customHeight="1">
      <c r="A637" s="908">
        <v>631</v>
      </c>
      <c r="B637" s="126"/>
      <c r="C637" s="121">
        <v>108</v>
      </c>
      <c r="D637" s="122" t="s">
        <v>237</v>
      </c>
      <c r="E637" s="123" t="s">
        <v>799</v>
      </c>
      <c r="F637" s="406"/>
      <c r="G637" s="406"/>
      <c r="H637" s="524"/>
      <c r="I637" s="530"/>
      <c r="J637" s="123"/>
      <c r="K637" s="123"/>
      <c r="L637" s="123"/>
      <c r="M637" s="123"/>
      <c r="N637" s="515"/>
    </row>
    <row r="638" spans="1:14" s="893" customFormat="1" ht="16.5">
      <c r="A638" s="908">
        <v>632</v>
      </c>
      <c r="B638" s="894"/>
      <c r="C638" s="895"/>
      <c r="D638" s="896" t="s">
        <v>403</v>
      </c>
      <c r="E638" s="897"/>
      <c r="F638" s="888"/>
      <c r="G638" s="888"/>
      <c r="H638" s="889"/>
      <c r="I638" s="890">
        <f>SUM(J638:N638)</f>
        <v>6949</v>
      </c>
      <c r="J638" s="891"/>
      <c r="K638" s="891"/>
      <c r="L638" s="891">
        <v>6949</v>
      </c>
      <c r="M638" s="891"/>
      <c r="N638" s="892"/>
    </row>
    <row r="639" spans="1:14" s="42" customFormat="1" ht="16.5">
      <c r="A639" s="908">
        <v>633</v>
      </c>
      <c r="B639" s="126"/>
      <c r="C639" s="121"/>
      <c r="D639" s="122" t="s">
        <v>957</v>
      </c>
      <c r="E639" s="123"/>
      <c r="F639" s="406"/>
      <c r="G639" s="406"/>
      <c r="H639" s="524"/>
      <c r="I639" s="530">
        <f>SUM(J639:N639)</f>
        <v>9392</v>
      </c>
      <c r="J639" s="124">
        <v>7540</v>
      </c>
      <c r="K639" s="124">
        <v>1852</v>
      </c>
      <c r="L639" s="124">
        <v>0</v>
      </c>
      <c r="M639" s="124"/>
      <c r="N639" s="329"/>
    </row>
    <row r="640" spans="1:14" s="327" customFormat="1" ht="17.25">
      <c r="A640" s="908">
        <v>634</v>
      </c>
      <c r="B640" s="128"/>
      <c r="C640" s="336"/>
      <c r="D640" s="507" t="s">
        <v>405</v>
      </c>
      <c r="E640" s="331"/>
      <c r="F640" s="408"/>
      <c r="G640" s="408"/>
      <c r="H640" s="525"/>
      <c r="I640" s="531">
        <f>SUM(J640:N640)</f>
        <v>0</v>
      </c>
      <c r="J640" s="332"/>
      <c r="K640" s="332"/>
      <c r="L640" s="332"/>
      <c r="M640" s="332"/>
      <c r="N640" s="333"/>
    </row>
    <row r="641" spans="1:14" s="1500" customFormat="1" ht="17.25">
      <c r="A641" s="908">
        <v>635</v>
      </c>
      <c r="B641" s="337"/>
      <c r="C641" s="338"/>
      <c r="D641" s="334" t="s">
        <v>1067</v>
      </c>
      <c r="E641" s="335"/>
      <c r="F641" s="407"/>
      <c r="G641" s="407"/>
      <c r="H641" s="526"/>
      <c r="I641" s="532">
        <f>SUM(J641:N641)</f>
        <v>9392</v>
      </c>
      <c r="J641" s="407">
        <f>SUM(J639:J640)</f>
        <v>7540</v>
      </c>
      <c r="K641" s="407">
        <f>SUM(K639:K640)</f>
        <v>1852</v>
      </c>
      <c r="L641" s="407">
        <f>SUM(L639:L640)</f>
        <v>0</v>
      </c>
      <c r="M641" s="407">
        <f>SUM(M639:M640)</f>
        <v>0</v>
      </c>
      <c r="N641" s="514">
        <f>SUM(N639:N640)</f>
        <v>0</v>
      </c>
    </row>
    <row r="642" spans="1:14" s="42" customFormat="1" ht="30" customHeight="1">
      <c r="A642" s="908">
        <v>636</v>
      </c>
      <c r="B642" s="126"/>
      <c r="C642" s="121">
        <v>109</v>
      </c>
      <c r="D642" s="122" t="s">
        <v>776</v>
      </c>
      <c r="E642" s="123" t="s">
        <v>799</v>
      </c>
      <c r="F642" s="406"/>
      <c r="G642" s="406"/>
      <c r="H642" s="524"/>
      <c r="I642" s="530"/>
      <c r="J642" s="123"/>
      <c r="K642" s="123"/>
      <c r="L642" s="123"/>
      <c r="M642" s="123"/>
      <c r="N642" s="515"/>
    </row>
    <row r="643" spans="1:14" s="893" customFormat="1" ht="16.5">
      <c r="A643" s="908">
        <v>637</v>
      </c>
      <c r="B643" s="894"/>
      <c r="C643" s="895"/>
      <c r="D643" s="896" t="s">
        <v>403</v>
      </c>
      <c r="E643" s="897"/>
      <c r="F643" s="888"/>
      <c r="G643" s="888"/>
      <c r="H643" s="889"/>
      <c r="I643" s="890">
        <f>SUM(J643:N643)</f>
        <v>5262</v>
      </c>
      <c r="J643" s="891"/>
      <c r="K643" s="891"/>
      <c r="L643" s="891">
        <v>5262</v>
      </c>
      <c r="M643" s="891"/>
      <c r="N643" s="892"/>
    </row>
    <row r="644" spans="1:14" s="42" customFormat="1" ht="16.5">
      <c r="A644" s="908">
        <v>638</v>
      </c>
      <c r="B644" s="126"/>
      <c r="C644" s="121"/>
      <c r="D644" s="122" t="s">
        <v>957</v>
      </c>
      <c r="E644" s="123"/>
      <c r="F644" s="406"/>
      <c r="G644" s="406"/>
      <c r="H644" s="524"/>
      <c r="I644" s="530">
        <f>SUM(J644:N644)</f>
        <v>0</v>
      </c>
      <c r="J644" s="124"/>
      <c r="K644" s="124"/>
      <c r="L644" s="124"/>
      <c r="M644" s="124"/>
      <c r="N644" s="329"/>
    </row>
    <row r="645" spans="1:14" s="327" customFormat="1" ht="17.25">
      <c r="A645" s="908">
        <v>639</v>
      </c>
      <c r="B645" s="128"/>
      <c r="C645" s="336"/>
      <c r="D645" s="330" t="s">
        <v>405</v>
      </c>
      <c r="E645" s="331"/>
      <c r="F645" s="408"/>
      <c r="G645" s="408"/>
      <c r="H645" s="525"/>
      <c r="I645" s="531">
        <f>SUM(J645:N645)</f>
        <v>0</v>
      </c>
      <c r="J645" s="332"/>
      <c r="K645" s="332"/>
      <c r="L645" s="332"/>
      <c r="M645" s="332"/>
      <c r="N645" s="333"/>
    </row>
    <row r="646" spans="1:14" s="1500" customFormat="1" ht="17.25">
      <c r="A646" s="908">
        <v>640</v>
      </c>
      <c r="B646" s="337"/>
      <c r="C646" s="338"/>
      <c r="D646" s="334" t="s">
        <v>1067</v>
      </c>
      <c r="E646" s="335"/>
      <c r="F646" s="407"/>
      <c r="G646" s="407"/>
      <c r="H646" s="526"/>
      <c r="I646" s="532">
        <f>SUM(J646:N646)</f>
        <v>0</v>
      </c>
      <c r="J646" s="407">
        <f>SUM(J644:J645)</f>
        <v>0</v>
      </c>
      <c r="K646" s="407">
        <f>SUM(K644:K645)</f>
        <v>0</v>
      </c>
      <c r="L646" s="407">
        <f>SUM(L644:L645)</f>
        <v>0</v>
      </c>
      <c r="M646" s="407">
        <f>SUM(M644:M645)</f>
        <v>0</v>
      </c>
      <c r="N646" s="514">
        <f>SUM(N644:N645)</f>
        <v>0</v>
      </c>
    </row>
    <row r="647" spans="1:14" s="42" customFormat="1" ht="30" customHeight="1">
      <c r="A647" s="908">
        <v>641</v>
      </c>
      <c r="B647" s="126"/>
      <c r="C647" s="121">
        <v>110</v>
      </c>
      <c r="D647" s="1713" t="s">
        <v>226</v>
      </c>
      <c r="E647" s="1714"/>
      <c r="F647" s="1714"/>
      <c r="G647" s="1715"/>
      <c r="H647" s="524"/>
      <c r="I647" s="530"/>
      <c r="J647" s="123"/>
      <c r="K647" s="123"/>
      <c r="L647" s="123"/>
      <c r="M647" s="123"/>
      <c r="N647" s="515"/>
    </row>
    <row r="648" spans="1:14" s="42" customFormat="1" ht="16.5">
      <c r="A648" s="908">
        <v>642</v>
      </c>
      <c r="B648" s="126"/>
      <c r="C648" s="121"/>
      <c r="D648" s="122" t="s">
        <v>957</v>
      </c>
      <c r="E648" s="123"/>
      <c r="F648" s="406"/>
      <c r="G648" s="406"/>
      <c r="H648" s="524"/>
      <c r="I648" s="530">
        <f>SUM(J648:N648)</f>
        <v>1150</v>
      </c>
      <c r="J648" s="124"/>
      <c r="K648" s="124"/>
      <c r="L648" s="124">
        <v>1150</v>
      </c>
      <c r="M648" s="124"/>
      <c r="N648" s="329"/>
    </row>
    <row r="649" spans="1:14" s="327" customFormat="1" ht="17.25">
      <c r="A649" s="908">
        <v>643</v>
      </c>
      <c r="B649" s="128"/>
      <c r="C649" s="336"/>
      <c r="D649" s="330" t="s">
        <v>405</v>
      </c>
      <c r="E649" s="331" t="s">
        <v>799</v>
      </c>
      <c r="F649" s="408"/>
      <c r="G649" s="408"/>
      <c r="H649" s="525"/>
      <c r="I649" s="531">
        <f>SUM(J649:N649)</f>
        <v>0</v>
      </c>
      <c r="J649" s="332"/>
      <c r="K649" s="332"/>
      <c r="L649" s="332"/>
      <c r="M649" s="332"/>
      <c r="N649" s="333"/>
    </row>
    <row r="650" spans="1:14" s="1500" customFormat="1" ht="17.25">
      <c r="A650" s="908">
        <v>644</v>
      </c>
      <c r="B650" s="337"/>
      <c r="C650" s="338"/>
      <c r="D650" s="334" t="s">
        <v>1067</v>
      </c>
      <c r="E650" s="335"/>
      <c r="F650" s="407"/>
      <c r="G650" s="407"/>
      <c r="H650" s="526"/>
      <c r="I650" s="532">
        <f>SUM(J650:N650)</f>
        <v>1150</v>
      </c>
      <c r="J650" s="407">
        <f>SUM(J648:J649)</f>
        <v>0</v>
      </c>
      <c r="K650" s="407">
        <f>SUM(K648:K649)</f>
        <v>0</v>
      </c>
      <c r="L650" s="407">
        <f>SUM(L648:L649)</f>
        <v>1150</v>
      </c>
      <c r="M650" s="407">
        <f>SUM(M648:M649)</f>
        <v>0</v>
      </c>
      <c r="N650" s="514">
        <f>SUM(N648:N649)</f>
        <v>0</v>
      </c>
    </row>
    <row r="651" spans="1:14" s="42" customFormat="1" ht="30" customHeight="1">
      <c r="A651" s="908">
        <v>645</v>
      </c>
      <c r="B651" s="126"/>
      <c r="C651" s="121">
        <v>111</v>
      </c>
      <c r="D651" s="122" t="s">
        <v>11</v>
      </c>
      <c r="E651" s="123" t="s">
        <v>799</v>
      </c>
      <c r="F651" s="406"/>
      <c r="G651" s="406"/>
      <c r="H651" s="524"/>
      <c r="I651" s="530"/>
      <c r="J651" s="123"/>
      <c r="K651" s="123"/>
      <c r="L651" s="123"/>
      <c r="M651" s="123"/>
      <c r="N651" s="515"/>
    </row>
    <row r="652" spans="1:14" s="42" customFormat="1" ht="16.5">
      <c r="A652" s="908">
        <v>646</v>
      </c>
      <c r="B652" s="126"/>
      <c r="C652" s="121"/>
      <c r="D652" s="122" t="s">
        <v>957</v>
      </c>
      <c r="E652" s="123"/>
      <c r="F652" s="406"/>
      <c r="G652" s="406"/>
      <c r="H652" s="524"/>
      <c r="I652" s="530">
        <f>SUM(J652:N652)</f>
        <v>19629</v>
      </c>
      <c r="J652" s="124"/>
      <c r="K652" s="124"/>
      <c r="L652" s="124">
        <v>19629</v>
      </c>
      <c r="M652" s="124"/>
      <c r="N652" s="329"/>
    </row>
    <row r="653" spans="1:14" s="327" customFormat="1" ht="17.25">
      <c r="A653" s="908">
        <v>647</v>
      </c>
      <c r="B653" s="128"/>
      <c r="C653" s="336"/>
      <c r="D653" s="330" t="s">
        <v>405</v>
      </c>
      <c r="E653" s="331"/>
      <c r="F653" s="408"/>
      <c r="G653" s="408"/>
      <c r="H653" s="525"/>
      <c r="I653" s="531">
        <f>SUM(J653:N653)</f>
        <v>0</v>
      </c>
      <c r="J653" s="332"/>
      <c r="K653" s="332"/>
      <c r="L653" s="332"/>
      <c r="M653" s="332"/>
      <c r="N653" s="333"/>
    </row>
    <row r="654" spans="1:14" s="1500" customFormat="1" ht="17.25">
      <c r="A654" s="908">
        <v>648</v>
      </c>
      <c r="B654" s="337"/>
      <c r="C654" s="338"/>
      <c r="D654" s="334" t="s">
        <v>1067</v>
      </c>
      <c r="E654" s="335"/>
      <c r="F654" s="407"/>
      <c r="G654" s="407"/>
      <c r="H654" s="526"/>
      <c r="I654" s="532">
        <f>SUM(J654:N654)</f>
        <v>19629</v>
      </c>
      <c r="J654" s="407">
        <f>SUM(J652:J653)</f>
        <v>0</v>
      </c>
      <c r="K654" s="407">
        <f>SUM(K652:K653)</f>
        <v>0</v>
      </c>
      <c r="L654" s="407">
        <f>SUM(L652:L653)</f>
        <v>19629</v>
      </c>
      <c r="M654" s="407">
        <f>SUM(M652:M653)</f>
        <v>0</v>
      </c>
      <c r="N654" s="514">
        <f>SUM(N652:N653)</f>
        <v>0</v>
      </c>
    </row>
    <row r="655" spans="1:14" s="42" customFormat="1" ht="30" customHeight="1">
      <c r="A655" s="908">
        <v>649</v>
      </c>
      <c r="B655" s="126"/>
      <c r="C655" s="121">
        <v>112</v>
      </c>
      <c r="D655" s="122" t="s">
        <v>250</v>
      </c>
      <c r="E655" s="123" t="s">
        <v>799</v>
      </c>
      <c r="F655" s="406">
        <v>3370</v>
      </c>
      <c r="G655" s="406"/>
      <c r="H655" s="524"/>
      <c r="I655" s="530"/>
      <c r="J655" s="123"/>
      <c r="K655" s="123"/>
      <c r="L655" s="123"/>
      <c r="M655" s="123"/>
      <c r="N655" s="515"/>
    </row>
    <row r="656" spans="1:14" s="42" customFormat="1" ht="16.5">
      <c r="A656" s="908">
        <v>650</v>
      </c>
      <c r="B656" s="126"/>
      <c r="C656" s="121"/>
      <c r="D656" s="122" t="s">
        <v>957</v>
      </c>
      <c r="E656" s="123"/>
      <c r="F656" s="406"/>
      <c r="G656" s="406"/>
      <c r="H656" s="524"/>
      <c r="I656" s="530">
        <f>SUM(J656:N656)</f>
        <v>11573</v>
      </c>
      <c r="J656" s="124"/>
      <c r="K656" s="124"/>
      <c r="L656" s="124"/>
      <c r="M656" s="124"/>
      <c r="N656" s="329">
        <v>11573</v>
      </c>
    </row>
    <row r="657" spans="1:14" s="327" customFormat="1" ht="17.25">
      <c r="A657" s="908">
        <v>651</v>
      </c>
      <c r="B657" s="128"/>
      <c r="C657" s="336"/>
      <c r="D657" s="507" t="s">
        <v>405</v>
      </c>
      <c r="E657" s="331"/>
      <c r="F657" s="408"/>
      <c r="G657" s="408"/>
      <c r="H657" s="525"/>
      <c r="I657" s="531">
        <f>SUM(J657:N657)</f>
        <v>0</v>
      </c>
      <c r="J657" s="332"/>
      <c r="K657" s="332"/>
      <c r="L657" s="332"/>
      <c r="M657" s="332"/>
      <c r="N657" s="333"/>
    </row>
    <row r="658" spans="1:14" s="1500" customFormat="1" ht="17.25">
      <c r="A658" s="908">
        <v>652</v>
      </c>
      <c r="B658" s="337"/>
      <c r="C658" s="338"/>
      <c r="D658" s="334" t="s">
        <v>1067</v>
      </c>
      <c r="E658" s="335"/>
      <c r="F658" s="407"/>
      <c r="G658" s="407"/>
      <c r="H658" s="526"/>
      <c r="I658" s="532">
        <f>SUM(J658:N658)</f>
        <v>11573</v>
      </c>
      <c r="J658" s="407">
        <f>SUM(J656:J657)</f>
        <v>0</v>
      </c>
      <c r="K658" s="407">
        <f>SUM(K656:K657)</f>
        <v>0</v>
      </c>
      <c r="L658" s="407">
        <f>SUM(L656:L657)</f>
        <v>0</v>
      </c>
      <c r="M658" s="407">
        <f>SUM(M656:M657)</f>
        <v>0</v>
      </c>
      <c r="N658" s="514">
        <f>SUM(N656:N657)</f>
        <v>11573</v>
      </c>
    </row>
    <row r="659" spans="1:14" s="42" customFormat="1" ht="16.5">
      <c r="A659" s="908">
        <v>653</v>
      </c>
      <c r="B659" s="126"/>
      <c r="C659" s="121">
        <v>113</v>
      </c>
      <c r="D659" s="122" t="s">
        <v>265</v>
      </c>
      <c r="E659" s="123" t="s">
        <v>799</v>
      </c>
      <c r="F659" s="406">
        <v>60</v>
      </c>
      <c r="G659" s="406"/>
      <c r="H659" s="524">
        <v>30</v>
      </c>
      <c r="I659" s="530"/>
      <c r="J659" s="123"/>
      <c r="K659" s="123"/>
      <c r="L659" s="123"/>
      <c r="M659" s="123"/>
      <c r="N659" s="515"/>
    </row>
    <row r="660" spans="1:14" s="42" customFormat="1" ht="16.5">
      <c r="A660" s="908">
        <v>654</v>
      </c>
      <c r="B660" s="126"/>
      <c r="C660" s="121"/>
      <c r="D660" s="122" t="s">
        <v>957</v>
      </c>
      <c r="E660" s="123"/>
      <c r="F660" s="406"/>
      <c r="G660" s="406"/>
      <c r="H660" s="524"/>
      <c r="I660" s="530">
        <f>SUM(J660:N660)</f>
        <v>81</v>
      </c>
      <c r="J660" s="124">
        <v>60</v>
      </c>
      <c r="K660" s="124">
        <v>21</v>
      </c>
      <c r="L660" s="124">
        <v>0</v>
      </c>
      <c r="M660" s="124"/>
      <c r="N660" s="329"/>
    </row>
    <row r="661" spans="1:14" s="327" customFormat="1" ht="17.25">
      <c r="A661" s="908">
        <v>655</v>
      </c>
      <c r="B661" s="128"/>
      <c r="C661" s="336"/>
      <c r="D661" s="507" t="s">
        <v>405</v>
      </c>
      <c r="E661" s="331"/>
      <c r="F661" s="408"/>
      <c r="G661" s="408"/>
      <c r="H661" s="525"/>
      <c r="I661" s="531">
        <f>SUM(J661:N661)</f>
        <v>0</v>
      </c>
      <c r="J661" s="332"/>
      <c r="K661" s="332"/>
      <c r="L661" s="332"/>
      <c r="M661" s="332"/>
      <c r="N661" s="333"/>
    </row>
    <row r="662" spans="1:14" s="1500" customFormat="1" ht="17.25">
      <c r="A662" s="908">
        <v>656</v>
      </c>
      <c r="B662" s="337"/>
      <c r="C662" s="338"/>
      <c r="D662" s="334" t="s">
        <v>1067</v>
      </c>
      <c r="E662" s="335"/>
      <c r="F662" s="407"/>
      <c r="G662" s="407"/>
      <c r="H662" s="526"/>
      <c r="I662" s="532">
        <f>SUM(J662:N662)</f>
        <v>81</v>
      </c>
      <c r="J662" s="407">
        <f>SUM(J660:J661)</f>
        <v>60</v>
      </c>
      <c r="K662" s="407">
        <f>SUM(K660:K661)</f>
        <v>21</v>
      </c>
      <c r="L662" s="407">
        <f>SUM(L660:L661)</f>
        <v>0</v>
      </c>
      <c r="M662" s="407">
        <f>SUM(M660:M661)</f>
        <v>0</v>
      </c>
      <c r="N662" s="514">
        <f>SUM(N660:N661)</f>
        <v>0</v>
      </c>
    </row>
    <row r="663" spans="1:14" s="42" customFormat="1" ht="21.75" customHeight="1">
      <c r="A663" s="908">
        <v>657</v>
      </c>
      <c r="B663" s="126"/>
      <c r="C663" s="121">
        <v>114</v>
      </c>
      <c r="D663" s="122" t="s">
        <v>289</v>
      </c>
      <c r="E663" s="123"/>
      <c r="F663" s="406"/>
      <c r="G663" s="406"/>
      <c r="H663" s="524"/>
      <c r="I663" s="530"/>
      <c r="J663" s="123"/>
      <c r="K663" s="123"/>
      <c r="L663" s="123"/>
      <c r="M663" s="123"/>
      <c r="N663" s="515"/>
    </row>
    <row r="664" spans="1:14" s="42" customFormat="1" ht="16.5">
      <c r="A664" s="908">
        <v>658</v>
      </c>
      <c r="B664" s="126"/>
      <c r="C664" s="121"/>
      <c r="D664" s="122" t="s">
        <v>957</v>
      </c>
      <c r="E664" s="123"/>
      <c r="F664" s="406"/>
      <c r="G664" s="406"/>
      <c r="H664" s="524"/>
      <c r="I664" s="530">
        <f>SUM(J664:N664)</f>
        <v>40000</v>
      </c>
      <c r="J664" s="124"/>
      <c r="K664" s="124"/>
      <c r="L664" s="124">
        <v>40000</v>
      </c>
      <c r="M664" s="124"/>
      <c r="N664" s="329"/>
    </row>
    <row r="665" spans="1:14" s="327" customFormat="1" ht="17.25">
      <c r="A665" s="908">
        <v>659</v>
      </c>
      <c r="B665" s="694"/>
      <c r="C665" s="336"/>
      <c r="D665" s="730" t="s">
        <v>405</v>
      </c>
      <c r="E665" s="731" t="s">
        <v>799</v>
      </c>
      <c r="F665" s="732"/>
      <c r="G665" s="732"/>
      <c r="H665" s="733"/>
      <c r="I665" s="531">
        <f>SUM(J665:N665)</f>
        <v>0</v>
      </c>
      <c r="J665" s="734"/>
      <c r="K665" s="734"/>
      <c r="L665" s="734"/>
      <c r="M665" s="734"/>
      <c r="N665" s="735"/>
    </row>
    <row r="666" spans="1:14" s="1500" customFormat="1" ht="17.25">
      <c r="A666" s="908">
        <v>660</v>
      </c>
      <c r="B666" s="695"/>
      <c r="C666" s="338"/>
      <c r="D666" s="334" t="s">
        <v>1067</v>
      </c>
      <c r="E666" s="737"/>
      <c r="F666" s="738"/>
      <c r="G666" s="738"/>
      <c r="H666" s="739"/>
      <c r="I666" s="532">
        <f>SUM(J666:N666)</f>
        <v>40000</v>
      </c>
      <c r="J666" s="740">
        <f>SUM(J664:J665)</f>
        <v>0</v>
      </c>
      <c r="K666" s="740">
        <f>SUM(K664:K665)</f>
        <v>0</v>
      </c>
      <c r="L666" s="740">
        <f>SUM(L664:L665)</f>
        <v>40000</v>
      </c>
      <c r="M666" s="740">
        <f>SUM(M664:M665)</f>
        <v>0</v>
      </c>
      <c r="N666" s="829">
        <f>SUM(N664:N665)</f>
        <v>0</v>
      </c>
    </row>
    <row r="667" spans="1:14" s="42" customFormat="1" ht="21.75" customHeight="1">
      <c r="A667" s="908">
        <v>661</v>
      </c>
      <c r="B667" s="126"/>
      <c r="C667" s="121">
        <v>115</v>
      </c>
      <c r="D667" s="122" t="s">
        <v>290</v>
      </c>
      <c r="E667" s="123"/>
      <c r="F667" s="406"/>
      <c r="G667" s="406"/>
      <c r="H667" s="524"/>
      <c r="I667" s="530"/>
      <c r="J667" s="123"/>
      <c r="K667" s="123"/>
      <c r="L667" s="123"/>
      <c r="M667" s="123"/>
      <c r="N667" s="515"/>
    </row>
    <row r="668" spans="1:14" s="42" customFormat="1" ht="16.5">
      <c r="A668" s="908">
        <v>662</v>
      </c>
      <c r="B668" s="126"/>
      <c r="C668" s="121"/>
      <c r="D668" s="122" t="s">
        <v>957</v>
      </c>
      <c r="E668" s="123"/>
      <c r="F668" s="406"/>
      <c r="G668" s="406"/>
      <c r="H668" s="524"/>
      <c r="I668" s="530">
        <f>SUM(J668:N668)</f>
        <v>10000</v>
      </c>
      <c r="J668" s="124"/>
      <c r="K668" s="124"/>
      <c r="L668" s="124">
        <v>10000</v>
      </c>
      <c r="M668" s="124"/>
      <c r="N668" s="329"/>
    </row>
    <row r="669" spans="1:14" s="327" customFormat="1" ht="17.25">
      <c r="A669" s="908">
        <v>663</v>
      </c>
      <c r="B669" s="694"/>
      <c r="C669" s="336"/>
      <c r="D669" s="730" t="s">
        <v>405</v>
      </c>
      <c r="E669" s="731" t="s">
        <v>799</v>
      </c>
      <c r="F669" s="732"/>
      <c r="G669" s="732"/>
      <c r="H669" s="733"/>
      <c r="I669" s="531">
        <f>SUM(J669:N669)</f>
        <v>0</v>
      </c>
      <c r="J669" s="734"/>
      <c r="K669" s="734"/>
      <c r="L669" s="734"/>
      <c r="M669" s="734"/>
      <c r="N669" s="735"/>
    </row>
    <row r="670" spans="1:14" s="1500" customFormat="1" ht="17.25">
      <c r="A670" s="908">
        <v>664</v>
      </c>
      <c r="B670" s="695"/>
      <c r="C670" s="338"/>
      <c r="D670" s="334" t="s">
        <v>1067</v>
      </c>
      <c r="E670" s="737"/>
      <c r="F670" s="738"/>
      <c r="G670" s="738"/>
      <c r="H670" s="739"/>
      <c r="I670" s="532">
        <f>SUM(J670:N670)</f>
        <v>10000</v>
      </c>
      <c r="J670" s="740">
        <f>SUM(J668:J669)</f>
        <v>0</v>
      </c>
      <c r="K670" s="740">
        <f>SUM(K668:K669)</f>
        <v>0</v>
      </c>
      <c r="L670" s="740">
        <f>SUM(L668:L669)</f>
        <v>10000</v>
      </c>
      <c r="M670" s="740">
        <f>SUM(M668:M669)</f>
        <v>0</v>
      </c>
      <c r="N670" s="829">
        <f>SUM(N668:N669)</f>
        <v>0</v>
      </c>
    </row>
    <row r="671" spans="1:14" s="42" customFormat="1" ht="21.75" customHeight="1">
      <c r="A671" s="908">
        <v>665</v>
      </c>
      <c r="B671" s="126"/>
      <c r="C671" s="121">
        <v>116</v>
      </c>
      <c r="D671" s="122" t="s">
        <v>243</v>
      </c>
      <c r="E671" s="123" t="s">
        <v>859</v>
      </c>
      <c r="F671" s="406">
        <v>19783</v>
      </c>
      <c r="G671" s="406">
        <v>16000</v>
      </c>
      <c r="H671" s="524">
        <v>5445</v>
      </c>
      <c r="I671" s="530"/>
      <c r="J671" s="123"/>
      <c r="K671" s="123"/>
      <c r="L671" s="123"/>
      <c r="M671" s="123"/>
      <c r="N671" s="515"/>
    </row>
    <row r="672" spans="1:14" s="42" customFormat="1" ht="16.5">
      <c r="A672" s="908">
        <v>666</v>
      </c>
      <c r="B672" s="126"/>
      <c r="C672" s="121"/>
      <c r="D672" s="122" t="s">
        <v>957</v>
      </c>
      <c r="E672" s="123"/>
      <c r="F672" s="406"/>
      <c r="G672" s="406"/>
      <c r="H672" s="524"/>
      <c r="I672" s="530">
        <f>SUM(J672:N672)</f>
        <v>16000</v>
      </c>
      <c r="J672" s="124"/>
      <c r="K672" s="124"/>
      <c r="L672" s="124">
        <v>16000</v>
      </c>
      <c r="M672" s="124"/>
      <c r="N672" s="329"/>
    </row>
    <row r="673" spans="1:14" s="327" customFormat="1" ht="17.25">
      <c r="A673" s="908">
        <v>667</v>
      </c>
      <c r="B673" s="694"/>
      <c r="C673" s="336"/>
      <c r="D673" s="330" t="s">
        <v>405</v>
      </c>
      <c r="E673" s="731"/>
      <c r="F673" s="732"/>
      <c r="G673" s="732"/>
      <c r="H673" s="733"/>
      <c r="I673" s="531">
        <f>SUM(J673:N673)</f>
        <v>0</v>
      </c>
      <c r="J673" s="734"/>
      <c r="K673" s="734"/>
      <c r="L673" s="734"/>
      <c r="M673" s="734"/>
      <c r="N673" s="735"/>
    </row>
    <row r="674" spans="1:14" s="1500" customFormat="1" ht="17.25">
      <c r="A674" s="908">
        <v>668</v>
      </c>
      <c r="B674" s="695"/>
      <c r="C674" s="338"/>
      <c r="D674" s="334" t="s">
        <v>1067</v>
      </c>
      <c r="E674" s="737"/>
      <c r="F674" s="738">
        <f>SUM(F673)</f>
        <v>0</v>
      </c>
      <c r="G674" s="738">
        <f>SUM(G673)</f>
        <v>0</v>
      </c>
      <c r="H674" s="739">
        <f>SUM(H673)</f>
        <v>0</v>
      </c>
      <c r="I674" s="532">
        <f>SUM(J674:N674)</f>
        <v>16000</v>
      </c>
      <c r="J674" s="740">
        <f>SUM(J672:J673)</f>
        <v>0</v>
      </c>
      <c r="K674" s="740">
        <f>SUM(K672:K673)</f>
        <v>0</v>
      </c>
      <c r="L674" s="740">
        <f>SUM(L672:L673)</f>
        <v>16000</v>
      </c>
      <c r="M674" s="740">
        <f>SUM(M672:M673)</f>
        <v>0</v>
      </c>
      <c r="N674" s="829">
        <f>SUM(N672:N673)</f>
        <v>0</v>
      </c>
    </row>
    <row r="675" spans="1:14" s="42" customFormat="1" ht="21.75" customHeight="1">
      <c r="A675" s="908">
        <v>669</v>
      </c>
      <c r="B675" s="126"/>
      <c r="C675" s="121">
        <v>117</v>
      </c>
      <c r="D675" s="122" t="s">
        <v>40</v>
      </c>
      <c r="E675" s="123" t="s">
        <v>799</v>
      </c>
      <c r="F675" s="406"/>
      <c r="G675" s="406"/>
      <c r="H675" s="524"/>
      <c r="I675" s="530"/>
      <c r="J675" s="123"/>
      <c r="K675" s="123"/>
      <c r="L675" s="123"/>
      <c r="M675" s="123"/>
      <c r="N675" s="515"/>
    </row>
    <row r="676" spans="1:14" s="42" customFormat="1" ht="16.5">
      <c r="A676" s="908">
        <v>670</v>
      </c>
      <c r="B676" s="126"/>
      <c r="C676" s="121"/>
      <c r="D676" s="122" t="s">
        <v>957</v>
      </c>
      <c r="E676" s="123"/>
      <c r="F676" s="406"/>
      <c r="G676" s="406"/>
      <c r="H676" s="524"/>
      <c r="I676" s="530">
        <f>SUM(J676:N676)</f>
        <v>0</v>
      </c>
      <c r="J676" s="124"/>
      <c r="K676" s="124"/>
      <c r="L676" s="124"/>
      <c r="M676" s="124"/>
      <c r="N676" s="329">
        <v>0</v>
      </c>
    </row>
    <row r="677" spans="1:14" s="327" customFormat="1" ht="17.25">
      <c r="A677" s="908">
        <v>671</v>
      </c>
      <c r="B677" s="694"/>
      <c r="C677" s="336"/>
      <c r="D677" s="330" t="s">
        <v>405</v>
      </c>
      <c r="E677" s="731"/>
      <c r="F677" s="732"/>
      <c r="G677" s="732"/>
      <c r="H677" s="733"/>
      <c r="I677" s="531">
        <f>SUM(J677:N677)</f>
        <v>0</v>
      </c>
      <c r="J677" s="734"/>
      <c r="K677" s="734"/>
      <c r="L677" s="734"/>
      <c r="M677" s="734"/>
      <c r="N677" s="735"/>
    </row>
    <row r="678" spans="1:14" s="1500" customFormat="1" ht="17.25">
      <c r="A678" s="908">
        <v>672</v>
      </c>
      <c r="B678" s="695"/>
      <c r="C678" s="338"/>
      <c r="D678" s="334" t="s">
        <v>1067</v>
      </c>
      <c r="E678" s="737"/>
      <c r="F678" s="738"/>
      <c r="G678" s="738"/>
      <c r="H678" s="739"/>
      <c r="I678" s="532">
        <f>SUM(J678:N678)</f>
        <v>0</v>
      </c>
      <c r="J678" s="740">
        <f>SUM(J676:J677)</f>
        <v>0</v>
      </c>
      <c r="K678" s="740">
        <f>SUM(K676:K677)</f>
        <v>0</v>
      </c>
      <c r="L678" s="740">
        <f>SUM(L676:L677)</f>
        <v>0</v>
      </c>
      <c r="M678" s="740">
        <f>SUM(M676:M677)</f>
        <v>0</v>
      </c>
      <c r="N678" s="829">
        <f>SUM(N676:N677)</f>
        <v>0</v>
      </c>
    </row>
    <row r="679" spans="1:14" s="42" customFormat="1" ht="21.75" customHeight="1">
      <c r="A679" s="908">
        <v>673</v>
      </c>
      <c r="B679" s="126"/>
      <c r="C679" s="121">
        <v>118</v>
      </c>
      <c r="D679" s="122" t="s">
        <v>251</v>
      </c>
      <c r="E679" s="123" t="s">
        <v>859</v>
      </c>
      <c r="F679" s="406">
        <v>65</v>
      </c>
      <c r="G679" s="406"/>
      <c r="H679" s="524">
        <v>21</v>
      </c>
      <c r="I679" s="530"/>
      <c r="J679" s="123"/>
      <c r="K679" s="123"/>
      <c r="L679" s="123"/>
      <c r="M679" s="123"/>
      <c r="N679" s="515"/>
    </row>
    <row r="680" spans="1:14" s="42" customFormat="1" ht="16.5">
      <c r="A680" s="908">
        <v>674</v>
      </c>
      <c r="B680" s="126"/>
      <c r="C680" s="121"/>
      <c r="D680" s="122" t="s">
        <v>957</v>
      </c>
      <c r="E680" s="123"/>
      <c r="F680" s="406"/>
      <c r="G680" s="406"/>
      <c r="H680" s="524"/>
      <c r="I680" s="530">
        <f>SUM(J680:N680)</f>
        <v>23515</v>
      </c>
      <c r="J680" s="124"/>
      <c r="K680" s="124"/>
      <c r="L680" s="124">
        <v>0</v>
      </c>
      <c r="M680" s="124"/>
      <c r="N680" s="329">
        <v>23515</v>
      </c>
    </row>
    <row r="681" spans="1:14" s="327" customFormat="1" ht="17.25">
      <c r="A681" s="908">
        <v>675</v>
      </c>
      <c r="B681" s="694"/>
      <c r="C681" s="336"/>
      <c r="D681" s="507" t="s">
        <v>1079</v>
      </c>
      <c r="E681" s="731"/>
      <c r="F681" s="732"/>
      <c r="G681" s="732"/>
      <c r="H681" s="733"/>
      <c r="I681" s="531">
        <f>SUM(J681:N681)</f>
        <v>832</v>
      </c>
      <c r="J681" s="734"/>
      <c r="K681" s="734"/>
      <c r="L681" s="734"/>
      <c r="M681" s="734"/>
      <c r="N681" s="735">
        <v>832</v>
      </c>
    </row>
    <row r="682" spans="1:14" s="1500" customFormat="1" ht="17.25">
      <c r="A682" s="908">
        <v>676</v>
      </c>
      <c r="B682" s="695"/>
      <c r="C682" s="338"/>
      <c r="D682" s="334" t="s">
        <v>1067</v>
      </c>
      <c r="E682" s="737"/>
      <c r="F682" s="738"/>
      <c r="G682" s="738"/>
      <c r="H682" s="739"/>
      <c r="I682" s="532">
        <f aca="true" t="shared" si="11" ref="I682:N682">SUM(I680:I681)</f>
        <v>24347</v>
      </c>
      <c r="J682" s="407">
        <f t="shared" si="11"/>
        <v>0</v>
      </c>
      <c r="K682" s="407">
        <f t="shared" si="11"/>
        <v>0</v>
      </c>
      <c r="L682" s="407">
        <f t="shared" si="11"/>
        <v>0</v>
      </c>
      <c r="M682" s="407">
        <f t="shared" si="11"/>
        <v>0</v>
      </c>
      <c r="N682" s="514">
        <f t="shared" si="11"/>
        <v>24347</v>
      </c>
    </row>
    <row r="683" spans="1:14" s="42" customFormat="1" ht="21.75" customHeight="1">
      <c r="A683" s="908">
        <v>677</v>
      </c>
      <c r="B683" s="126"/>
      <c r="C683" s="121">
        <v>119</v>
      </c>
      <c r="D683" s="122" t="s">
        <v>287</v>
      </c>
      <c r="E683" s="123" t="s">
        <v>799</v>
      </c>
      <c r="F683" s="406"/>
      <c r="G683" s="406"/>
      <c r="H683" s="524">
        <v>3461</v>
      </c>
      <c r="I683" s="530"/>
      <c r="J683" s="123"/>
      <c r="K683" s="123"/>
      <c r="L683" s="123"/>
      <c r="M683" s="123"/>
      <c r="N683" s="515"/>
    </row>
    <row r="684" spans="1:14" s="42" customFormat="1" ht="16.5">
      <c r="A684" s="908">
        <v>678</v>
      </c>
      <c r="B684" s="126"/>
      <c r="C684" s="121"/>
      <c r="D684" s="122" t="s">
        <v>957</v>
      </c>
      <c r="E684" s="123"/>
      <c r="F684" s="406"/>
      <c r="G684" s="406"/>
      <c r="H684" s="524"/>
      <c r="I684" s="530">
        <f>SUM(J684:N684)</f>
        <v>35006</v>
      </c>
      <c r="J684" s="124">
        <v>4868</v>
      </c>
      <c r="K684" s="124">
        <v>1244</v>
      </c>
      <c r="L684" s="124">
        <v>28894</v>
      </c>
      <c r="M684" s="124"/>
      <c r="N684" s="329"/>
    </row>
    <row r="685" spans="1:14" s="327" customFormat="1" ht="17.25">
      <c r="A685" s="908">
        <v>679</v>
      </c>
      <c r="B685" s="694"/>
      <c r="C685" s="336"/>
      <c r="D685" s="730" t="s">
        <v>1080</v>
      </c>
      <c r="E685" s="731"/>
      <c r="F685" s="732"/>
      <c r="G685" s="732"/>
      <c r="H685" s="733"/>
      <c r="I685" s="531">
        <f>SUM(J685:N685)</f>
        <v>1046</v>
      </c>
      <c r="J685" s="734">
        <v>842</v>
      </c>
      <c r="K685" s="734">
        <v>204</v>
      </c>
      <c r="L685" s="734"/>
      <c r="M685" s="734"/>
      <c r="N685" s="735"/>
    </row>
    <row r="686" spans="1:14" s="1500" customFormat="1" ht="17.25">
      <c r="A686" s="908">
        <v>680</v>
      </c>
      <c r="B686" s="695"/>
      <c r="C686" s="338"/>
      <c r="D686" s="736" t="s">
        <v>1067</v>
      </c>
      <c r="E686" s="737"/>
      <c r="F686" s="738"/>
      <c r="G686" s="738"/>
      <c r="H686" s="739"/>
      <c r="I686" s="532">
        <f>SUM(J686:N686)</f>
        <v>36052</v>
      </c>
      <c r="J686" s="740">
        <f>SUM(J684:J685)</f>
        <v>5710</v>
      </c>
      <c r="K686" s="740">
        <f>SUM(K684:K685)</f>
        <v>1448</v>
      </c>
      <c r="L686" s="740">
        <f>SUM(L684:L685)</f>
        <v>28894</v>
      </c>
      <c r="M686" s="740">
        <f>SUM(M684:M685)</f>
        <v>0</v>
      </c>
      <c r="N686" s="829">
        <f>SUM(N684:N685)</f>
        <v>0</v>
      </c>
    </row>
    <row r="687" spans="1:14" s="42" customFormat="1" ht="21.75" customHeight="1">
      <c r="A687" s="908">
        <v>681</v>
      </c>
      <c r="B687" s="126"/>
      <c r="C687" s="121">
        <v>120</v>
      </c>
      <c r="D687" s="122" t="s">
        <v>288</v>
      </c>
      <c r="E687" s="123" t="s">
        <v>799</v>
      </c>
      <c r="F687" s="406"/>
      <c r="G687" s="406">
        <v>24000</v>
      </c>
      <c r="H687" s="524">
        <v>112</v>
      </c>
      <c r="I687" s="530"/>
      <c r="J687" s="123"/>
      <c r="K687" s="123"/>
      <c r="L687" s="123"/>
      <c r="M687" s="123"/>
      <c r="N687" s="515"/>
    </row>
    <row r="688" spans="1:14" s="42" customFormat="1" ht="16.5">
      <c r="A688" s="908">
        <v>682</v>
      </c>
      <c r="B688" s="126"/>
      <c r="C688" s="121"/>
      <c r="D688" s="122" t="s">
        <v>957</v>
      </c>
      <c r="E688" s="123"/>
      <c r="F688" s="406"/>
      <c r="G688" s="406"/>
      <c r="H688" s="524"/>
      <c r="I688" s="530">
        <f>SUM(J688:N688)</f>
        <v>16662</v>
      </c>
      <c r="J688" s="124"/>
      <c r="K688" s="124"/>
      <c r="L688" s="124">
        <v>16662</v>
      </c>
      <c r="M688" s="124"/>
      <c r="N688" s="329"/>
    </row>
    <row r="689" spans="1:14" s="327" customFormat="1" ht="17.25">
      <c r="A689" s="908">
        <v>683</v>
      </c>
      <c r="B689" s="694"/>
      <c r="C689" s="336"/>
      <c r="D689" s="330" t="s">
        <v>405</v>
      </c>
      <c r="E689" s="731"/>
      <c r="F689" s="732"/>
      <c r="G689" s="732"/>
      <c r="H689" s="733"/>
      <c r="I689" s="531">
        <f>SUM(J689:N689)</f>
        <v>0</v>
      </c>
      <c r="J689" s="734"/>
      <c r="K689" s="734"/>
      <c r="L689" s="734"/>
      <c r="M689" s="734"/>
      <c r="N689" s="735"/>
    </row>
    <row r="690" spans="1:14" s="1500" customFormat="1" ht="17.25">
      <c r="A690" s="908">
        <v>684</v>
      </c>
      <c r="B690" s="695"/>
      <c r="C690" s="338"/>
      <c r="D690" s="334" t="s">
        <v>1067</v>
      </c>
      <c r="E690" s="737"/>
      <c r="F690" s="738"/>
      <c r="G690" s="738"/>
      <c r="H690" s="739"/>
      <c r="I690" s="532">
        <f>SUM(J690:N690)</f>
        <v>16662</v>
      </c>
      <c r="J690" s="740">
        <f>SUM(J688:J689)</f>
        <v>0</v>
      </c>
      <c r="K690" s="740">
        <f>SUM(K688:K689)</f>
        <v>0</v>
      </c>
      <c r="L690" s="740">
        <f>SUM(L688:L689)</f>
        <v>16662</v>
      </c>
      <c r="M690" s="740">
        <f>SUM(M688:M689)</f>
        <v>0</v>
      </c>
      <c r="N690" s="829">
        <f>SUM(N688:N689)</f>
        <v>0</v>
      </c>
    </row>
    <row r="691" spans="1:14" s="42" customFormat="1" ht="21.75" customHeight="1">
      <c r="A691" s="908">
        <v>685</v>
      </c>
      <c r="B691" s="126"/>
      <c r="C691" s="121">
        <v>121</v>
      </c>
      <c r="D691" s="122" t="s">
        <v>653</v>
      </c>
      <c r="E691" s="123" t="s">
        <v>799</v>
      </c>
      <c r="F691" s="406"/>
      <c r="G691" s="406"/>
      <c r="H691" s="524"/>
      <c r="I691" s="530"/>
      <c r="J691" s="123"/>
      <c r="K691" s="123"/>
      <c r="L691" s="123"/>
      <c r="M691" s="123"/>
      <c r="N691" s="515"/>
    </row>
    <row r="692" spans="1:14" s="42" customFormat="1" ht="16.5">
      <c r="A692" s="908">
        <v>686</v>
      </c>
      <c r="B692" s="126"/>
      <c r="C692" s="121"/>
      <c r="D692" s="122" t="s">
        <v>957</v>
      </c>
      <c r="E692" s="123"/>
      <c r="F692" s="406"/>
      <c r="G692" s="406"/>
      <c r="H692" s="524"/>
      <c r="I692" s="530">
        <f>SUM(J692:N692)</f>
        <v>1500</v>
      </c>
      <c r="J692" s="124"/>
      <c r="K692" s="124"/>
      <c r="L692" s="124">
        <v>1500</v>
      </c>
      <c r="M692" s="124"/>
      <c r="N692" s="329"/>
    </row>
    <row r="693" spans="1:14" s="327" customFormat="1" ht="17.25">
      <c r="A693" s="908">
        <v>687</v>
      </c>
      <c r="B693" s="694"/>
      <c r="C693" s="336"/>
      <c r="D693" s="330" t="s">
        <v>74</v>
      </c>
      <c r="E693" s="731"/>
      <c r="F693" s="732"/>
      <c r="G693" s="732"/>
      <c r="H693" s="733"/>
      <c r="I693" s="531">
        <f>SUM(J693:N693)</f>
        <v>0</v>
      </c>
      <c r="J693" s="734"/>
      <c r="K693" s="734"/>
      <c r="L693" s="734"/>
      <c r="M693" s="734"/>
      <c r="N693" s="735"/>
    </row>
    <row r="694" spans="1:14" s="1500" customFormat="1" ht="17.25">
      <c r="A694" s="908">
        <v>688</v>
      </c>
      <c r="B694" s="695"/>
      <c r="C694" s="338"/>
      <c r="D694" s="334" t="s">
        <v>1067</v>
      </c>
      <c r="E694" s="737"/>
      <c r="F694" s="738"/>
      <c r="G694" s="738"/>
      <c r="H694" s="739"/>
      <c r="I694" s="532">
        <f>SUM(J694:N694)</f>
        <v>1500</v>
      </c>
      <c r="J694" s="740">
        <f>SUM(J692:J693)</f>
        <v>0</v>
      </c>
      <c r="K694" s="740">
        <f>SUM(K692:K693)</f>
        <v>0</v>
      </c>
      <c r="L694" s="740">
        <f>SUM(L692:L693)</f>
        <v>1500</v>
      </c>
      <c r="M694" s="740">
        <f>SUM(M692:M693)</f>
        <v>0</v>
      </c>
      <c r="N694" s="829">
        <f>SUM(N692:N693)</f>
        <v>0</v>
      </c>
    </row>
    <row r="695" spans="1:14" s="42" customFormat="1" ht="21.75" customHeight="1">
      <c r="A695" s="908">
        <v>689</v>
      </c>
      <c r="B695" s="126"/>
      <c r="C695" s="121">
        <v>122</v>
      </c>
      <c r="D695" s="122" t="s">
        <v>232</v>
      </c>
      <c r="E695" s="123" t="s">
        <v>799</v>
      </c>
      <c r="F695" s="406"/>
      <c r="G695" s="406"/>
      <c r="H695" s="524"/>
      <c r="I695" s="530"/>
      <c r="J695" s="123"/>
      <c r="K695" s="123"/>
      <c r="L695" s="123"/>
      <c r="M695" s="123"/>
      <c r="N695" s="515"/>
    </row>
    <row r="696" spans="1:14" s="42" customFormat="1" ht="16.5">
      <c r="A696" s="908">
        <v>690</v>
      </c>
      <c r="B696" s="126"/>
      <c r="C696" s="121"/>
      <c r="D696" s="122" t="s">
        <v>957</v>
      </c>
      <c r="E696" s="123"/>
      <c r="F696" s="406"/>
      <c r="G696" s="406"/>
      <c r="H696" s="524"/>
      <c r="I696" s="530">
        <f>SUM(J696:N696)</f>
        <v>1935</v>
      </c>
      <c r="J696" s="124"/>
      <c r="K696" s="124"/>
      <c r="L696" s="124"/>
      <c r="M696" s="124"/>
      <c r="N696" s="329">
        <v>1935</v>
      </c>
    </row>
    <row r="697" spans="1:14" s="327" customFormat="1" ht="17.25">
      <c r="A697" s="908">
        <v>691</v>
      </c>
      <c r="B697" s="694"/>
      <c r="C697" s="336"/>
      <c r="D697" s="330" t="s">
        <v>405</v>
      </c>
      <c r="E697" s="731"/>
      <c r="F697" s="732"/>
      <c r="G697" s="732"/>
      <c r="H697" s="733"/>
      <c r="I697" s="531">
        <f>SUM(J697:N697)</f>
        <v>0</v>
      </c>
      <c r="J697" s="734"/>
      <c r="K697" s="734"/>
      <c r="L697" s="734"/>
      <c r="M697" s="734"/>
      <c r="N697" s="735"/>
    </row>
    <row r="698" spans="1:14" s="1500" customFormat="1" ht="17.25">
      <c r="A698" s="908">
        <v>692</v>
      </c>
      <c r="B698" s="695"/>
      <c r="C698" s="338"/>
      <c r="D698" s="334" t="s">
        <v>1067</v>
      </c>
      <c r="E698" s="737"/>
      <c r="F698" s="738"/>
      <c r="G698" s="738"/>
      <c r="H698" s="739"/>
      <c r="I698" s="532">
        <f>SUM(J698:N698)</f>
        <v>1935</v>
      </c>
      <c r="J698" s="740">
        <f>SUM(J696:J697)</f>
        <v>0</v>
      </c>
      <c r="K698" s="740">
        <f>SUM(K696:K697)</f>
        <v>0</v>
      </c>
      <c r="L698" s="740">
        <f>SUM(L696:L697)</f>
        <v>0</v>
      </c>
      <c r="M698" s="740">
        <f>SUM(M696:M697)</f>
        <v>0</v>
      </c>
      <c r="N698" s="829">
        <f>SUM(N696:N697)</f>
        <v>1935</v>
      </c>
    </row>
    <row r="699" spans="1:14" s="42" customFormat="1" ht="21.75" customHeight="1">
      <c r="A699" s="908">
        <v>693</v>
      </c>
      <c r="B699" s="126"/>
      <c r="C699" s="121">
        <v>123</v>
      </c>
      <c r="D699" s="122" t="s">
        <v>233</v>
      </c>
      <c r="E699" s="123" t="s">
        <v>799</v>
      </c>
      <c r="F699" s="406"/>
      <c r="G699" s="406"/>
      <c r="H699" s="524"/>
      <c r="I699" s="530"/>
      <c r="J699" s="123"/>
      <c r="K699" s="123"/>
      <c r="L699" s="123"/>
      <c r="M699" s="123"/>
      <c r="N699" s="515"/>
    </row>
    <row r="700" spans="1:14" s="42" customFormat="1" ht="16.5">
      <c r="A700" s="908">
        <v>694</v>
      </c>
      <c r="B700" s="126"/>
      <c r="C700" s="121"/>
      <c r="D700" s="122" t="s">
        <v>957</v>
      </c>
      <c r="E700" s="123"/>
      <c r="F700" s="406"/>
      <c r="G700" s="406"/>
      <c r="H700" s="524"/>
      <c r="I700" s="530">
        <f>SUM(J700:N700)</f>
        <v>150</v>
      </c>
      <c r="J700" s="124"/>
      <c r="K700" s="124"/>
      <c r="L700" s="124"/>
      <c r="M700" s="124"/>
      <c r="N700" s="329">
        <v>150</v>
      </c>
    </row>
    <row r="701" spans="1:14" s="327" customFormat="1" ht="17.25">
      <c r="A701" s="908">
        <v>695</v>
      </c>
      <c r="B701" s="694"/>
      <c r="C701" s="336"/>
      <c r="D701" s="330" t="s">
        <v>405</v>
      </c>
      <c r="E701" s="731"/>
      <c r="F701" s="732"/>
      <c r="G701" s="732"/>
      <c r="H701" s="733"/>
      <c r="I701" s="531">
        <f>SUM(J701:N701)</f>
        <v>0</v>
      </c>
      <c r="J701" s="734"/>
      <c r="K701" s="734"/>
      <c r="L701" s="734"/>
      <c r="M701" s="734"/>
      <c r="N701" s="735"/>
    </row>
    <row r="702" spans="1:14" s="1500" customFormat="1" ht="17.25">
      <c r="A702" s="908">
        <v>696</v>
      </c>
      <c r="B702" s="695"/>
      <c r="C702" s="338"/>
      <c r="D702" s="334" t="s">
        <v>1067</v>
      </c>
      <c r="E702" s="737"/>
      <c r="F702" s="738"/>
      <c r="G702" s="738"/>
      <c r="H702" s="739"/>
      <c r="I702" s="532">
        <f>SUM(J702:N702)</f>
        <v>150</v>
      </c>
      <c r="J702" s="740">
        <f>SUM(J700:J701)</f>
        <v>0</v>
      </c>
      <c r="K702" s="740">
        <f>SUM(K700:K701)</f>
        <v>0</v>
      </c>
      <c r="L702" s="740">
        <f>SUM(L700:L701)</f>
        <v>0</v>
      </c>
      <c r="M702" s="740">
        <f>SUM(M700:M701)</f>
        <v>0</v>
      </c>
      <c r="N702" s="829">
        <f>SUM(N700:N701)</f>
        <v>150</v>
      </c>
    </row>
    <row r="703" spans="1:14" s="42" customFormat="1" ht="21.75" customHeight="1">
      <c r="A703" s="908">
        <v>697</v>
      </c>
      <c r="B703" s="126"/>
      <c r="C703" s="121">
        <v>124</v>
      </c>
      <c r="D703" s="122" t="s">
        <v>231</v>
      </c>
      <c r="E703" s="123" t="s">
        <v>799</v>
      </c>
      <c r="F703" s="406"/>
      <c r="G703" s="406"/>
      <c r="H703" s="524"/>
      <c r="I703" s="530"/>
      <c r="J703" s="123"/>
      <c r="K703" s="123"/>
      <c r="L703" s="123"/>
      <c r="M703" s="123"/>
      <c r="N703" s="515"/>
    </row>
    <row r="704" spans="1:14" s="42" customFormat="1" ht="16.5">
      <c r="A704" s="908">
        <v>698</v>
      </c>
      <c r="B704" s="126"/>
      <c r="C704" s="121"/>
      <c r="D704" s="122" t="s">
        <v>957</v>
      </c>
      <c r="E704" s="123"/>
      <c r="F704" s="406"/>
      <c r="G704" s="406"/>
      <c r="H704" s="524"/>
      <c r="I704" s="530">
        <f aca="true" t="shared" si="12" ref="I704:I710">SUM(J704:N704)</f>
        <v>900</v>
      </c>
      <c r="J704" s="124"/>
      <c r="K704" s="124"/>
      <c r="L704" s="124"/>
      <c r="M704" s="124"/>
      <c r="N704" s="329">
        <v>900</v>
      </c>
    </row>
    <row r="705" spans="1:14" s="327" customFormat="1" ht="17.25">
      <c r="A705" s="908">
        <v>699</v>
      </c>
      <c r="B705" s="694"/>
      <c r="C705" s="336"/>
      <c r="D705" s="330" t="s">
        <v>74</v>
      </c>
      <c r="E705" s="731"/>
      <c r="F705" s="732"/>
      <c r="G705" s="732"/>
      <c r="H705" s="733"/>
      <c r="I705" s="531">
        <f t="shared" si="12"/>
        <v>0</v>
      </c>
      <c r="J705" s="734"/>
      <c r="K705" s="734"/>
      <c r="L705" s="734"/>
      <c r="M705" s="734"/>
      <c r="N705" s="735"/>
    </row>
    <row r="706" spans="1:14" s="1500" customFormat="1" ht="17.25">
      <c r="A706" s="908">
        <v>700</v>
      </c>
      <c r="B706" s="695"/>
      <c r="C706" s="338"/>
      <c r="D706" s="334" t="s">
        <v>1067</v>
      </c>
      <c r="E706" s="737"/>
      <c r="F706" s="738"/>
      <c r="G706" s="738"/>
      <c r="H706" s="739"/>
      <c r="I706" s="532">
        <f t="shared" si="12"/>
        <v>900</v>
      </c>
      <c r="J706" s="740">
        <f>SUM(J704:J705)</f>
        <v>0</v>
      </c>
      <c r="K706" s="740">
        <f>SUM(K704:K705)</f>
        <v>0</v>
      </c>
      <c r="L706" s="740">
        <f>SUM(L704:L705)</f>
        <v>0</v>
      </c>
      <c r="M706" s="740">
        <f>SUM(M704:M705)</f>
        <v>0</v>
      </c>
      <c r="N706" s="829">
        <f>SUM(N704:N705)</f>
        <v>900</v>
      </c>
    </row>
    <row r="707" spans="1:14" s="42" customFormat="1" ht="39.75" customHeight="1">
      <c r="A707" s="909">
        <v>701</v>
      </c>
      <c r="B707" s="127"/>
      <c r="C707" s="509">
        <v>125</v>
      </c>
      <c r="D707" s="497" t="s">
        <v>238</v>
      </c>
      <c r="E707" s="123" t="s">
        <v>799</v>
      </c>
      <c r="F707" s="406"/>
      <c r="G707" s="406"/>
      <c r="H707" s="524">
        <v>336</v>
      </c>
      <c r="I707" s="530">
        <f t="shared" si="12"/>
        <v>0</v>
      </c>
      <c r="J707" s="123"/>
      <c r="K707" s="123"/>
      <c r="L707" s="123"/>
      <c r="M707" s="123"/>
      <c r="N707" s="515"/>
    </row>
    <row r="708" spans="1:14" s="1500" customFormat="1" ht="17.25">
      <c r="A708" s="908">
        <v>702</v>
      </c>
      <c r="B708" s="695"/>
      <c r="C708" s="338"/>
      <c r="D708" s="122" t="s">
        <v>957</v>
      </c>
      <c r="E708" s="737"/>
      <c r="F708" s="738"/>
      <c r="G708" s="738"/>
      <c r="H708" s="739"/>
      <c r="I708" s="530">
        <f t="shared" si="12"/>
        <v>7269</v>
      </c>
      <c r="J708" s="501">
        <v>5848</v>
      </c>
      <c r="K708" s="501">
        <v>1421</v>
      </c>
      <c r="L708" s="501"/>
      <c r="M708" s="501"/>
      <c r="N708" s="502"/>
    </row>
    <row r="709" spans="1:14" s="1500" customFormat="1" ht="17.25">
      <c r="A709" s="908">
        <v>703</v>
      </c>
      <c r="B709" s="695"/>
      <c r="C709" s="338"/>
      <c r="D709" s="330" t="s">
        <v>405</v>
      </c>
      <c r="E709" s="737"/>
      <c r="F709" s="738"/>
      <c r="G709" s="738"/>
      <c r="H709" s="739"/>
      <c r="I709" s="531">
        <f t="shared" si="12"/>
        <v>0</v>
      </c>
      <c r="J709" s="734"/>
      <c r="K709" s="734"/>
      <c r="L709" s="734"/>
      <c r="M709" s="734"/>
      <c r="N709" s="735"/>
    </row>
    <row r="710" spans="1:14" s="1500" customFormat="1" ht="17.25">
      <c r="A710" s="908">
        <v>704</v>
      </c>
      <c r="B710" s="695"/>
      <c r="C710" s="338"/>
      <c r="D710" s="334" t="s">
        <v>1067</v>
      </c>
      <c r="E710" s="737"/>
      <c r="F710" s="738"/>
      <c r="G710" s="738"/>
      <c r="H710" s="739"/>
      <c r="I710" s="532">
        <f t="shared" si="12"/>
        <v>7269</v>
      </c>
      <c r="J710" s="740">
        <f>SUM(J708:J709)</f>
        <v>5848</v>
      </c>
      <c r="K710" s="740">
        <f>SUM(K708:K709)</f>
        <v>1421</v>
      </c>
      <c r="L710" s="740">
        <f>SUM(L708:L709)</f>
        <v>0</v>
      </c>
      <c r="M710" s="740">
        <f>SUM(M708:M709)</f>
        <v>0</v>
      </c>
      <c r="N710" s="829">
        <f>SUM(N708:N709)</f>
        <v>0</v>
      </c>
    </row>
    <row r="711" spans="1:14" s="42" customFormat="1" ht="24" customHeight="1">
      <c r="A711" s="908">
        <v>705</v>
      </c>
      <c r="B711" s="126"/>
      <c r="C711" s="121">
        <v>126</v>
      </c>
      <c r="D711" s="122" t="s">
        <v>593</v>
      </c>
      <c r="E711" s="123" t="s">
        <v>799</v>
      </c>
      <c r="F711" s="406"/>
      <c r="G711" s="406"/>
      <c r="H711" s="524"/>
      <c r="I711" s="530"/>
      <c r="J711" s="123"/>
      <c r="K711" s="123"/>
      <c r="L711" s="123"/>
      <c r="M711" s="123"/>
      <c r="N711" s="515"/>
    </row>
    <row r="712" spans="1:14" s="1500" customFormat="1" ht="17.25">
      <c r="A712" s="908">
        <v>706</v>
      </c>
      <c r="B712" s="695"/>
      <c r="C712" s="338"/>
      <c r="D712" s="122" t="s">
        <v>957</v>
      </c>
      <c r="E712" s="737"/>
      <c r="F712" s="738"/>
      <c r="G712" s="738"/>
      <c r="H712" s="739"/>
      <c r="I712" s="530">
        <f>SUM(J712:N712)</f>
        <v>1000</v>
      </c>
      <c r="J712" s="501"/>
      <c r="K712" s="501"/>
      <c r="L712" s="501"/>
      <c r="M712" s="501"/>
      <c r="N712" s="502">
        <v>1000</v>
      </c>
    </row>
    <row r="713" spans="1:14" s="1500" customFormat="1" ht="17.25">
      <c r="A713" s="908">
        <v>707</v>
      </c>
      <c r="B713" s="695"/>
      <c r="C713" s="338"/>
      <c r="D713" s="330" t="s">
        <v>405</v>
      </c>
      <c r="E713" s="737"/>
      <c r="F713" s="738"/>
      <c r="G713" s="738"/>
      <c r="H713" s="739"/>
      <c r="I713" s="531">
        <f>SUM(J713:N713)</f>
        <v>0</v>
      </c>
      <c r="J713" s="734"/>
      <c r="K713" s="734"/>
      <c r="L713" s="734"/>
      <c r="M713" s="734"/>
      <c r="N713" s="735"/>
    </row>
    <row r="714" spans="1:14" s="1500" customFormat="1" ht="17.25">
      <c r="A714" s="908">
        <v>708</v>
      </c>
      <c r="B714" s="695"/>
      <c r="C714" s="338"/>
      <c r="D714" s="334" t="s">
        <v>1067</v>
      </c>
      <c r="E714" s="737"/>
      <c r="F714" s="738"/>
      <c r="G714" s="738"/>
      <c r="H714" s="739"/>
      <c r="I714" s="532">
        <f>SUM(I713)</f>
        <v>0</v>
      </c>
      <c r="J714" s="740">
        <f>SUM(J712:J713)</f>
        <v>0</v>
      </c>
      <c r="K714" s="740">
        <f>SUM(K712:K713)</f>
        <v>0</v>
      </c>
      <c r="L714" s="740">
        <f>SUM(L712:L713)</f>
        <v>0</v>
      </c>
      <c r="M714" s="740">
        <f>SUM(M712:M713)</f>
        <v>0</v>
      </c>
      <c r="N714" s="829">
        <f>SUM(N712:N713)</f>
        <v>1000</v>
      </c>
    </row>
    <row r="715" spans="1:14" s="42" customFormat="1" ht="24" customHeight="1">
      <c r="A715" s="908">
        <v>709</v>
      </c>
      <c r="B715" s="126"/>
      <c r="C715" s="121">
        <v>127</v>
      </c>
      <c r="D715" s="122" t="s">
        <v>592</v>
      </c>
      <c r="E715" s="123" t="s">
        <v>799</v>
      </c>
      <c r="F715" s="406"/>
      <c r="G715" s="406"/>
      <c r="H715" s="524"/>
      <c r="I715" s="530"/>
      <c r="J715" s="123"/>
      <c r="K715" s="123"/>
      <c r="L715" s="123"/>
      <c r="M715" s="123"/>
      <c r="N715" s="515"/>
    </row>
    <row r="716" spans="1:14" s="1500" customFormat="1" ht="17.25">
      <c r="A716" s="908">
        <v>710</v>
      </c>
      <c r="B716" s="695"/>
      <c r="C716" s="338"/>
      <c r="D716" s="122" t="s">
        <v>957</v>
      </c>
      <c r="E716" s="737"/>
      <c r="F716" s="738"/>
      <c r="G716" s="738"/>
      <c r="H716" s="739"/>
      <c r="I716" s="530">
        <f>SUM(J716:N716)</f>
        <v>502</v>
      </c>
      <c r="J716" s="501"/>
      <c r="K716" s="501"/>
      <c r="L716" s="501"/>
      <c r="M716" s="501"/>
      <c r="N716" s="502">
        <v>502</v>
      </c>
    </row>
    <row r="717" spans="1:14" s="1500" customFormat="1" ht="17.25">
      <c r="A717" s="908">
        <v>711</v>
      </c>
      <c r="B717" s="695"/>
      <c r="C717" s="338"/>
      <c r="D717" s="330" t="s">
        <v>405</v>
      </c>
      <c r="E717" s="737"/>
      <c r="F717" s="738"/>
      <c r="G717" s="738"/>
      <c r="H717" s="739"/>
      <c r="I717" s="531">
        <f>SUM(J717:N717)</f>
        <v>0</v>
      </c>
      <c r="J717" s="734"/>
      <c r="K717" s="734"/>
      <c r="L717" s="734"/>
      <c r="M717" s="734"/>
      <c r="N717" s="735"/>
    </row>
    <row r="718" spans="1:14" s="1500" customFormat="1" ht="17.25">
      <c r="A718" s="908">
        <v>712</v>
      </c>
      <c r="B718" s="695"/>
      <c r="C718" s="338"/>
      <c r="D718" s="334" t="s">
        <v>1067</v>
      </c>
      <c r="E718" s="737"/>
      <c r="F718" s="738"/>
      <c r="G718" s="738"/>
      <c r="H718" s="739"/>
      <c r="I718" s="532">
        <f>SUM(J718:N718)</f>
        <v>502</v>
      </c>
      <c r="J718" s="740">
        <f>SUM(J716:J717)</f>
        <v>0</v>
      </c>
      <c r="K718" s="740">
        <f>SUM(K716:K717)</f>
        <v>0</v>
      </c>
      <c r="L718" s="740">
        <f>SUM(L716:L717)</f>
        <v>0</v>
      </c>
      <c r="M718" s="740">
        <f>SUM(M716:M717)</f>
        <v>0</v>
      </c>
      <c r="N718" s="829">
        <f>SUM(N716:N717)</f>
        <v>502</v>
      </c>
    </row>
    <row r="719" spans="1:14" s="42" customFormat="1" ht="24" customHeight="1">
      <c r="A719" s="908">
        <v>713</v>
      </c>
      <c r="B719" s="126"/>
      <c r="C719" s="121">
        <v>128</v>
      </c>
      <c r="D719" s="122" t="s">
        <v>599</v>
      </c>
      <c r="E719" s="123" t="s">
        <v>799</v>
      </c>
      <c r="F719" s="406"/>
      <c r="G719" s="406"/>
      <c r="H719" s="524"/>
      <c r="I719" s="530"/>
      <c r="J719" s="123"/>
      <c r="K719" s="123"/>
      <c r="L719" s="123"/>
      <c r="M719" s="123"/>
      <c r="N719" s="515"/>
    </row>
    <row r="720" spans="1:14" s="1500" customFormat="1" ht="17.25">
      <c r="A720" s="908">
        <v>714</v>
      </c>
      <c r="B720" s="695"/>
      <c r="C720" s="338"/>
      <c r="D720" s="122" t="s">
        <v>957</v>
      </c>
      <c r="E720" s="737"/>
      <c r="F720" s="738"/>
      <c r="G720" s="738"/>
      <c r="H720" s="739"/>
      <c r="I720" s="530">
        <f>SUM(J720:N720)</f>
        <v>600</v>
      </c>
      <c r="J720" s="501"/>
      <c r="K720" s="501"/>
      <c r="L720" s="501">
        <v>600</v>
      </c>
      <c r="M720" s="501"/>
      <c r="N720" s="502"/>
    </row>
    <row r="721" spans="1:14" s="1500" customFormat="1" ht="17.25">
      <c r="A721" s="908">
        <v>715</v>
      </c>
      <c r="B721" s="695"/>
      <c r="C721" s="338"/>
      <c r="D721" s="330" t="s">
        <v>405</v>
      </c>
      <c r="E721" s="737"/>
      <c r="F721" s="738"/>
      <c r="G721" s="738"/>
      <c r="H721" s="739"/>
      <c r="I721" s="531">
        <f>SUM(J721:N721)</f>
        <v>0</v>
      </c>
      <c r="J721" s="734"/>
      <c r="K721" s="734"/>
      <c r="L721" s="734"/>
      <c r="M721" s="734"/>
      <c r="N721" s="735"/>
    </row>
    <row r="722" spans="1:14" s="1500" customFormat="1" ht="17.25">
      <c r="A722" s="908">
        <v>716</v>
      </c>
      <c r="B722" s="695"/>
      <c r="C722" s="338"/>
      <c r="D722" s="334" t="s">
        <v>1067</v>
      </c>
      <c r="E722" s="737"/>
      <c r="F722" s="738"/>
      <c r="G722" s="738"/>
      <c r="H722" s="739"/>
      <c r="I722" s="532">
        <f>SUM(J722:N722)</f>
        <v>600</v>
      </c>
      <c r="J722" s="740">
        <f>SUM(J720:J721)</f>
        <v>0</v>
      </c>
      <c r="K722" s="740">
        <f>SUM(K720:K721)</f>
        <v>0</v>
      </c>
      <c r="L722" s="740">
        <f>SUM(L720:L721)</f>
        <v>600</v>
      </c>
      <c r="M722" s="740">
        <f>SUM(M720:M721)</f>
        <v>0</v>
      </c>
      <c r="N722" s="829">
        <f>SUM(N720:N721)</f>
        <v>0</v>
      </c>
    </row>
    <row r="723" spans="1:14" s="42" customFormat="1" ht="24" customHeight="1">
      <c r="A723" s="908">
        <v>717</v>
      </c>
      <c r="B723" s="126"/>
      <c r="C723" s="121">
        <v>129</v>
      </c>
      <c r="D723" s="122" t="s">
        <v>257</v>
      </c>
      <c r="E723" s="123" t="s">
        <v>799</v>
      </c>
      <c r="F723" s="406"/>
      <c r="G723" s="406"/>
      <c r="H723" s="524"/>
      <c r="I723" s="530"/>
      <c r="J723" s="123"/>
      <c r="K723" s="123"/>
      <c r="L723" s="123"/>
      <c r="M723" s="123"/>
      <c r="N723" s="515"/>
    </row>
    <row r="724" spans="1:14" s="1500" customFormat="1" ht="17.25">
      <c r="A724" s="908">
        <v>718</v>
      </c>
      <c r="B724" s="695"/>
      <c r="C724" s="338"/>
      <c r="D724" s="122" t="s">
        <v>957</v>
      </c>
      <c r="E724" s="737"/>
      <c r="F724" s="738"/>
      <c r="G724" s="738"/>
      <c r="H724" s="739"/>
      <c r="I724" s="530">
        <f>SUM(J724:N724)</f>
        <v>75</v>
      </c>
      <c r="J724" s="501"/>
      <c r="K724" s="501"/>
      <c r="L724" s="501">
        <v>75</v>
      </c>
      <c r="M724" s="501"/>
      <c r="N724" s="502"/>
    </row>
    <row r="725" spans="1:14" s="1500" customFormat="1" ht="17.25">
      <c r="A725" s="908">
        <v>719</v>
      </c>
      <c r="B725" s="695"/>
      <c r="C725" s="338"/>
      <c r="D725" s="330" t="s">
        <v>405</v>
      </c>
      <c r="E725" s="737"/>
      <c r="F725" s="738"/>
      <c r="G725" s="738"/>
      <c r="H725" s="739"/>
      <c r="I725" s="531">
        <f>SUM(J725:N725)</f>
        <v>0</v>
      </c>
      <c r="J725" s="734"/>
      <c r="K725" s="734"/>
      <c r="L725" s="734"/>
      <c r="M725" s="734"/>
      <c r="N725" s="735"/>
    </row>
    <row r="726" spans="1:14" s="1500" customFormat="1" ht="17.25">
      <c r="A726" s="908">
        <v>720</v>
      </c>
      <c r="B726" s="695"/>
      <c r="C726" s="338"/>
      <c r="D726" s="334" t="s">
        <v>1067</v>
      </c>
      <c r="E726" s="737"/>
      <c r="F726" s="738"/>
      <c r="G726" s="738"/>
      <c r="H726" s="739"/>
      <c r="I726" s="532">
        <f>SUM(J726:N726)</f>
        <v>75</v>
      </c>
      <c r="J726" s="740">
        <f>SUM(J724:J725)</f>
        <v>0</v>
      </c>
      <c r="K726" s="740">
        <f>SUM(K724:K725)</f>
        <v>0</v>
      </c>
      <c r="L726" s="740">
        <f>SUM(L724:L725)</f>
        <v>75</v>
      </c>
      <c r="M726" s="740">
        <f>SUM(M724:M725)</f>
        <v>0</v>
      </c>
      <c r="N726" s="829">
        <f>SUM(N724:N725)</f>
        <v>0</v>
      </c>
    </row>
    <row r="727" spans="1:14" s="42" customFormat="1" ht="21.75" customHeight="1">
      <c r="A727" s="908">
        <v>721</v>
      </c>
      <c r="B727" s="126"/>
      <c r="C727" s="121">
        <v>130</v>
      </c>
      <c r="D727" s="741" t="s">
        <v>242</v>
      </c>
      <c r="E727" s="123" t="s">
        <v>859</v>
      </c>
      <c r="F727" s="406">
        <v>1091</v>
      </c>
      <c r="G727" s="406"/>
      <c r="H727" s="524"/>
      <c r="I727" s="530">
        <f aca="true" t="shared" si="13" ref="I727:I733">SUM(J727:N727)</f>
        <v>0</v>
      </c>
      <c r="J727" s="124"/>
      <c r="K727" s="124"/>
      <c r="L727" s="124"/>
      <c r="M727" s="124"/>
      <c r="N727" s="329"/>
    </row>
    <row r="728" spans="1:14" s="42" customFormat="1" ht="16.5">
      <c r="A728" s="908">
        <v>722</v>
      </c>
      <c r="B728" s="126"/>
      <c r="C728" s="125">
        <v>131</v>
      </c>
      <c r="D728" s="741" t="s">
        <v>244</v>
      </c>
      <c r="E728" s="123" t="s">
        <v>859</v>
      </c>
      <c r="F728" s="406">
        <v>3718</v>
      </c>
      <c r="G728" s="406"/>
      <c r="H728" s="524"/>
      <c r="I728" s="530">
        <f t="shared" si="13"/>
        <v>0</v>
      </c>
      <c r="J728" s="124"/>
      <c r="K728" s="124"/>
      <c r="L728" s="124"/>
      <c r="M728" s="124"/>
      <c r="N728" s="329"/>
    </row>
    <row r="729" spans="1:14" s="42" customFormat="1" ht="16.5">
      <c r="A729" s="908">
        <v>723</v>
      </c>
      <c r="B729" s="126"/>
      <c r="C729" s="125">
        <v>132</v>
      </c>
      <c r="D729" s="741" t="s">
        <v>245</v>
      </c>
      <c r="E729" s="123" t="s">
        <v>859</v>
      </c>
      <c r="F729" s="406"/>
      <c r="G729" s="406">
        <v>114584</v>
      </c>
      <c r="H729" s="524"/>
      <c r="I729" s="530">
        <f t="shared" si="13"/>
        <v>0</v>
      </c>
      <c r="J729" s="124"/>
      <c r="K729" s="124"/>
      <c r="L729" s="124"/>
      <c r="M729" s="124"/>
      <c r="N729" s="329"/>
    </row>
    <row r="730" spans="1:14" s="42" customFormat="1" ht="16.5">
      <c r="A730" s="908">
        <v>724</v>
      </c>
      <c r="B730" s="126"/>
      <c r="C730" s="121">
        <v>133</v>
      </c>
      <c r="D730" s="741" t="s">
        <v>246</v>
      </c>
      <c r="E730" s="123" t="s">
        <v>799</v>
      </c>
      <c r="F730" s="406">
        <v>389</v>
      </c>
      <c r="G730" s="406"/>
      <c r="H730" s="524"/>
      <c r="I730" s="530">
        <f t="shared" si="13"/>
        <v>0</v>
      </c>
      <c r="J730" s="124"/>
      <c r="K730" s="124"/>
      <c r="L730" s="124"/>
      <c r="M730" s="124"/>
      <c r="N730" s="329"/>
    </row>
    <row r="731" spans="1:14" s="42" customFormat="1" ht="16.5">
      <c r="A731" s="908">
        <v>725</v>
      </c>
      <c r="B731" s="126"/>
      <c r="C731" s="125">
        <v>134</v>
      </c>
      <c r="D731" s="741" t="s">
        <v>247</v>
      </c>
      <c r="E731" s="123" t="s">
        <v>799</v>
      </c>
      <c r="F731" s="406">
        <v>406</v>
      </c>
      <c r="G731" s="406"/>
      <c r="H731" s="524"/>
      <c r="I731" s="530">
        <f t="shared" si="13"/>
        <v>0</v>
      </c>
      <c r="J731" s="124"/>
      <c r="K731" s="124"/>
      <c r="L731" s="124"/>
      <c r="M731" s="124"/>
      <c r="N731" s="329"/>
    </row>
    <row r="732" spans="1:14" s="42" customFormat="1" ht="16.5">
      <c r="A732" s="908">
        <v>726</v>
      </c>
      <c r="B732" s="126"/>
      <c r="C732" s="125">
        <v>135</v>
      </c>
      <c r="D732" s="741" t="s">
        <v>248</v>
      </c>
      <c r="E732" s="123" t="s">
        <v>799</v>
      </c>
      <c r="F732" s="406">
        <v>221</v>
      </c>
      <c r="G732" s="406"/>
      <c r="H732" s="524"/>
      <c r="I732" s="530">
        <f t="shared" si="13"/>
        <v>0</v>
      </c>
      <c r="J732" s="124"/>
      <c r="K732" s="124"/>
      <c r="L732" s="124"/>
      <c r="M732" s="124"/>
      <c r="N732" s="329"/>
    </row>
    <row r="733" spans="1:14" s="42" customFormat="1" ht="16.5">
      <c r="A733" s="908">
        <v>727</v>
      </c>
      <c r="B733" s="126"/>
      <c r="C733" s="121">
        <v>136</v>
      </c>
      <c r="D733" s="741" t="s">
        <v>249</v>
      </c>
      <c r="E733" s="123" t="s">
        <v>799</v>
      </c>
      <c r="F733" s="406">
        <v>640</v>
      </c>
      <c r="G733" s="406"/>
      <c r="H733" s="524"/>
      <c r="I733" s="530">
        <f t="shared" si="13"/>
        <v>0</v>
      </c>
      <c r="J733" s="124"/>
      <c r="K733" s="124"/>
      <c r="L733" s="124"/>
      <c r="M733" s="124"/>
      <c r="N733" s="329"/>
    </row>
    <row r="734" spans="1:14" s="42" customFormat="1" ht="16.5">
      <c r="A734" s="908">
        <v>728</v>
      </c>
      <c r="B734" s="126"/>
      <c r="C734" s="125">
        <v>137</v>
      </c>
      <c r="D734" s="741" t="s">
        <v>252</v>
      </c>
      <c r="E734" s="123" t="s">
        <v>799</v>
      </c>
      <c r="F734" s="406">
        <v>308</v>
      </c>
      <c r="G734" s="406"/>
      <c r="H734" s="524"/>
      <c r="I734" s="530">
        <f aca="true" t="shared" si="14" ref="I734:I770">SUM(J734:N734)</f>
        <v>0</v>
      </c>
      <c r="J734" s="124"/>
      <c r="K734" s="124"/>
      <c r="L734" s="124"/>
      <c r="M734" s="124"/>
      <c r="N734" s="329"/>
    </row>
    <row r="735" spans="1:14" s="42" customFormat="1" ht="31.5">
      <c r="A735" s="1356">
        <v>729</v>
      </c>
      <c r="B735" s="126"/>
      <c r="C735" s="125">
        <v>138</v>
      </c>
      <c r="D735" s="742" t="s">
        <v>253</v>
      </c>
      <c r="E735" s="123" t="s">
        <v>799</v>
      </c>
      <c r="F735" s="122"/>
      <c r="G735" s="122">
        <v>500</v>
      </c>
      <c r="H735" s="513"/>
      <c r="I735" s="530">
        <f t="shared" si="14"/>
        <v>0</v>
      </c>
      <c r="J735" s="124"/>
      <c r="K735" s="124"/>
      <c r="L735" s="124"/>
      <c r="M735" s="124"/>
      <c r="N735" s="329"/>
    </row>
    <row r="736" spans="1:14" s="42" customFormat="1" ht="16.5">
      <c r="A736" s="908">
        <v>730</v>
      </c>
      <c r="B736" s="126"/>
      <c r="C736" s="121">
        <v>139</v>
      </c>
      <c r="D736" s="741" t="s">
        <v>254</v>
      </c>
      <c r="E736" s="123" t="s">
        <v>799</v>
      </c>
      <c r="F736" s="406">
        <v>119037</v>
      </c>
      <c r="G736" s="406"/>
      <c r="H736" s="524"/>
      <c r="I736" s="530">
        <f t="shared" si="14"/>
        <v>0</v>
      </c>
      <c r="J736" s="124"/>
      <c r="K736" s="124"/>
      <c r="L736" s="124"/>
      <c r="M736" s="124"/>
      <c r="N736" s="329"/>
    </row>
    <row r="737" spans="1:14" s="42" customFormat="1" ht="16.5">
      <c r="A737" s="908">
        <v>731</v>
      </c>
      <c r="B737" s="126"/>
      <c r="C737" s="125">
        <v>140</v>
      </c>
      <c r="D737" s="741" t="s">
        <v>255</v>
      </c>
      <c r="E737" s="123" t="s">
        <v>799</v>
      </c>
      <c r="F737" s="406">
        <v>5</v>
      </c>
      <c r="G737" s="406"/>
      <c r="H737" s="524"/>
      <c r="I737" s="530">
        <f t="shared" si="14"/>
        <v>0</v>
      </c>
      <c r="J737" s="124"/>
      <c r="K737" s="124"/>
      <c r="L737" s="124"/>
      <c r="M737" s="124"/>
      <c r="N737" s="329"/>
    </row>
    <row r="738" spans="1:14" s="42" customFormat="1" ht="16.5">
      <c r="A738" s="908">
        <v>732</v>
      </c>
      <c r="B738" s="126"/>
      <c r="C738" s="125">
        <v>141</v>
      </c>
      <c r="D738" s="741" t="s">
        <v>256</v>
      </c>
      <c r="E738" s="123" t="s">
        <v>799</v>
      </c>
      <c r="F738" s="406">
        <v>5640</v>
      </c>
      <c r="G738" s="406"/>
      <c r="H738" s="524"/>
      <c r="I738" s="530">
        <f t="shared" si="14"/>
        <v>0</v>
      </c>
      <c r="J738" s="124"/>
      <c r="K738" s="124"/>
      <c r="L738" s="124"/>
      <c r="M738" s="124"/>
      <c r="N738" s="329"/>
    </row>
    <row r="739" spans="1:14" s="42" customFormat="1" ht="16.5">
      <c r="A739" s="908">
        <v>733</v>
      </c>
      <c r="B739" s="126"/>
      <c r="C739" s="121">
        <v>142</v>
      </c>
      <c r="D739" s="741" t="s">
        <v>257</v>
      </c>
      <c r="E739" s="123" t="s">
        <v>799</v>
      </c>
      <c r="F739" s="406">
        <v>55850</v>
      </c>
      <c r="G739" s="406">
        <v>24129</v>
      </c>
      <c r="H739" s="524">
        <v>24396</v>
      </c>
      <c r="I739" s="530">
        <f t="shared" si="14"/>
        <v>0</v>
      </c>
      <c r="J739" s="124"/>
      <c r="K739" s="124"/>
      <c r="L739" s="124"/>
      <c r="M739" s="124"/>
      <c r="N739" s="329"/>
    </row>
    <row r="740" spans="1:14" s="42" customFormat="1" ht="16.5">
      <c r="A740" s="908">
        <v>734</v>
      </c>
      <c r="B740" s="126"/>
      <c r="C740" s="125">
        <v>143</v>
      </c>
      <c r="D740" s="741" t="s">
        <v>258</v>
      </c>
      <c r="E740" s="123" t="s">
        <v>799</v>
      </c>
      <c r="F740" s="406"/>
      <c r="G740" s="406"/>
      <c r="H740" s="524">
        <f>4091-2532</f>
        <v>1559</v>
      </c>
      <c r="I740" s="530">
        <f t="shared" si="14"/>
        <v>0</v>
      </c>
      <c r="J740" s="124"/>
      <c r="K740" s="124"/>
      <c r="L740" s="124"/>
      <c r="M740" s="124"/>
      <c r="N740" s="329"/>
    </row>
    <row r="741" spans="1:14" s="42" customFormat="1" ht="16.5">
      <c r="A741" s="908">
        <v>735</v>
      </c>
      <c r="B741" s="126"/>
      <c r="C741" s="125">
        <v>144</v>
      </c>
      <c r="D741" s="741" t="s">
        <v>259</v>
      </c>
      <c r="E741" s="123" t="s">
        <v>799</v>
      </c>
      <c r="F741" s="406">
        <v>100</v>
      </c>
      <c r="G741" s="406"/>
      <c r="H741" s="524"/>
      <c r="I741" s="530">
        <f t="shared" si="14"/>
        <v>0</v>
      </c>
      <c r="J741" s="124"/>
      <c r="K741" s="124"/>
      <c r="L741" s="124"/>
      <c r="M741" s="124"/>
      <c r="N741" s="329"/>
    </row>
    <row r="742" spans="1:14" s="42" customFormat="1" ht="16.5">
      <c r="A742" s="908">
        <v>736</v>
      </c>
      <c r="B742" s="126"/>
      <c r="C742" s="121">
        <v>145</v>
      </c>
      <c r="D742" s="741" t="s">
        <v>260</v>
      </c>
      <c r="E742" s="123" t="s">
        <v>799</v>
      </c>
      <c r="F742" s="406">
        <v>100</v>
      </c>
      <c r="G742" s="406"/>
      <c r="H742" s="524"/>
      <c r="I742" s="530">
        <f t="shared" si="14"/>
        <v>0</v>
      </c>
      <c r="J742" s="124"/>
      <c r="K742" s="124"/>
      <c r="L742" s="124"/>
      <c r="M742" s="124"/>
      <c r="N742" s="329"/>
    </row>
    <row r="743" spans="1:14" s="42" customFormat="1" ht="16.5">
      <c r="A743" s="908">
        <v>737</v>
      </c>
      <c r="B743" s="126"/>
      <c r="C743" s="125">
        <v>146</v>
      </c>
      <c r="D743" s="741" t="s">
        <v>1053</v>
      </c>
      <c r="E743" s="123" t="s">
        <v>799</v>
      </c>
      <c r="F743" s="406">
        <v>100</v>
      </c>
      <c r="G743" s="406"/>
      <c r="H743" s="524"/>
      <c r="I743" s="530">
        <f t="shared" si="14"/>
        <v>0</v>
      </c>
      <c r="J743" s="124"/>
      <c r="K743" s="124"/>
      <c r="L743" s="124"/>
      <c r="M743" s="124"/>
      <c r="N743" s="329"/>
    </row>
    <row r="744" spans="1:14" s="42" customFormat="1" ht="16.5">
      <c r="A744" s="908">
        <v>738</v>
      </c>
      <c r="B744" s="126"/>
      <c r="C744" s="125">
        <v>147</v>
      </c>
      <c r="D744" s="741" t="s">
        <v>1054</v>
      </c>
      <c r="E744" s="123" t="s">
        <v>799</v>
      </c>
      <c r="F744" s="406">
        <v>100</v>
      </c>
      <c r="G744" s="406"/>
      <c r="H744" s="524"/>
      <c r="I744" s="530">
        <f t="shared" si="14"/>
        <v>0</v>
      </c>
      <c r="J744" s="124"/>
      <c r="K744" s="124"/>
      <c r="L744" s="124"/>
      <c r="M744" s="124"/>
      <c r="N744" s="329"/>
    </row>
    <row r="745" spans="1:14" s="42" customFormat="1" ht="16.5">
      <c r="A745" s="908">
        <v>739</v>
      </c>
      <c r="B745" s="126"/>
      <c r="C745" s="121">
        <v>148</v>
      </c>
      <c r="D745" s="741" t="s">
        <v>261</v>
      </c>
      <c r="E745" s="123" t="s">
        <v>799</v>
      </c>
      <c r="F745" s="406">
        <v>100</v>
      </c>
      <c r="G745" s="406"/>
      <c r="H745" s="524"/>
      <c r="I745" s="530">
        <f t="shared" si="14"/>
        <v>0</v>
      </c>
      <c r="J745" s="124"/>
      <c r="K745" s="124"/>
      <c r="L745" s="124"/>
      <c r="M745" s="124"/>
      <c r="N745" s="329"/>
    </row>
    <row r="746" spans="1:14" s="42" customFormat="1" ht="16.5">
      <c r="A746" s="908">
        <v>740</v>
      </c>
      <c r="B746" s="126"/>
      <c r="C746" s="125">
        <v>149</v>
      </c>
      <c r="D746" s="741" t="s">
        <v>262</v>
      </c>
      <c r="E746" s="123" t="s">
        <v>799</v>
      </c>
      <c r="F746" s="406">
        <v>100</v>
      </c>
      <c r="G746" s="406"/>
      <c r="H746" s="524"/>
      <c r="I746" s="530">
        <f t="shared" si="14"/>
        <v>0</v>
      </c>
      <c r="J746" s="124"/>
      <c r="K746" s="124"/>
      <c r="L746" s="124"/>
      <c r="M746" s="124"/>
      <c r="N746" s="329"/>
    </row>
    <row r="747" spans="1:14" s="42" customFormat="1" ht="16.5">
      <c r="A747" s="908">
        <v>741</v>
      </c>
      <c r="B747" s="126"/>
      <c r="C747" s="125">
        <v>150</v>
      </c>
      <c r="D747" s="741" t="s">
        <v>263</v>
      </c>
      <c r="E747" s="123" t="s">
        <v>799</v>
      </c>
      <c r="F747" s="406">
        <v>3482</v>
      </c>
      <c r="G747" s="406"/>
      <c r="H747" s="524"/>
      <c r="I747" s="530">
        <f t="shared" si="14"/>
        <v>0</v>
      </c>
      <c r="J747" s="124"/>
      <c r="K747" s="124"/>
      <c r="L747" s="124"/>
      <c r="M747" s="124"/>
      <c r="N747" s="329"/>
    </row>
    <row r="748" spans="1:14" s="42" customFormat="1" ht="16.5">
      <c r="A748" s="908">
        <v>742</v>
      </c>
      <c r="B748" s="126"/>
      <c r="C748" s="121">
        <v>151</v>
      </c>
      <c r="D748" s="741" t="s">
        <v>264</v>
      </c>
      <c r="E748" s="123" t="s">
        <v>799</v>
      </c>
      <c r="F748" s="406">
        <v>3160</v>
      </c>
      <c r="G748" s="406"/>
      <c r="H748" s="524"/>
      <c r="I748" s="530">
        <f t="shared" si="14"/>
        <v>0</v>
      </c>
      <c r="J748" s="124"/>
      <c r="K748" s="124"/>
      <c r="L748" s="124"/>
      <c r="M748" s="124"/>
      <c r="N748" s="329"/>
    </row>
    <row r="749" spans="1:14" s="42" customFormat="1" ht="16.5">
      <c r="A749" s="908">
        <v>743</v>
      </c>
      <c r="B749" s="126"/>
      <c r="C749" s="125">
        <v>152</v>
      </c>
      <c r="D749" s="741" t="s">
        <v>266</v>
      </c>
      <c r="E749" s="123" t="s">
        <v>799</v>
      </c>
      <c r="F749" s="406">
        <v>333</v>
      </c>
      <c r="G749" s="406"/>
      <c r="H749" s="524"/>
      <c r="I749" s="530">
        <f t="shared" si="14"/>
        <v>0</v>
      </c>
      <c r="J749" s="124"/>
      <c r="K749" s="124"/>
      <c r="L749" s="124"/>
      <c r="M749" s="124"/>
      <c r="N749" s="329"/>
    </row>
    <row r="750" spans="1:14" s="42" customFormat="1" ht="16.5">
      <c r="A750" s="908">
        <v>744</v>
      </c>
      <c r="B750" s="126"/>
      <c r="C750" s="125">
        <v>153</v>
      </c>
      <c r="D750" s="741" t="s">
        <v>267</v>
      </c>
      <c r="E750" s="123" t="s">
        <v>799</v>
      </c>
      <c r="F750" s="406">
        <v>201</v>
      </c>
      <c r="G750" s="406"/>
      <c r="H750" s="524"/>
      <c r="I750" s="530">
        <f t="shared" si="14"/>
        <v>0</v>
      </c>
      <c r="J750" s="124"/>
      <c r="K750" s="124"/>
      <c r="L750" s="124"/>
      <c r="M750" s="124"/>
      <c r="N750" s="329"/>
    </row>
    <row r="751" spans="1:14" s="42" customFormat="1" ht="16.5">
      <c r="A751" s="908">
        <v>745</v>
      </c>
      <c r="B751" s="126"/>
      <c r="C751" s="121">
        <v>154</v>
      </c>
      <c r="D751" s="741" t="s">
        <v>268</v>
      </c>
      <c r="E751" s="123" t="s">
        <v>799</v>
      </c>
      <c r="F751" s="406">
        <v>56</v>
      </c>
      <c r="G751" s="406"/>
      <c r="H751" s="524"/>
      <c r="I751" s="530">
        <f t="shared" si="14"/>
        <v>0</v>
      </c>
      <c r="J751" s="124"/>
      <c r="K751" s="124"/>
      <c r="L751" s="124"/>
      <c r="M751" s="124"/>
      <c r="N751" s="329"/>
    </row>
    <row r="752" spans="1:14" s="42" customFormat="1" ht="31.5">
      <c r="A752" s="1356">
        <v>746</v>
      </c>
      <c r="B752" s="126"/>
      <c r="C752" s="125">
        <v>155</v>
      </c>
      <c r="D752" s="742" t="s">
        <v>269</v>
      </c>
      <c r="E752" s="123" t="s">
        <v>799</v>
      </c>
      <c r="F752" s="406"/>
      <c r="G752" s="406">
        <v>63701</v>
      </c>
      <c r="H752" s="524"/>
      <c r="I752" s="530">
        <f t="shared" si="14"/>
        <v>0</v>
      </c>
      <c r="J752" s="124"/>
      <c r="K752" s="124"/>
      <c r="L752" s="124"/>
      <c r="M752" s="124"/>
      <c r="N752" s="329"/>
    </row>
    <row r="753" spans="1:14" s="42" customFormat="1" ht="16.5">
      <c r="A753" s="908">
        <v>747</v>
      </c>
      <c r="B753" s="126"/>
      <c r="C753" s="125">
        <v>156</v>
      </c>
      <c r="D753" s="741" t="s">
        <v>270</v>
      </c>
      <c r="E753" s="123" t="s">
        <v>799</v>
      </c>
      <c r="F753" s="406"/>
      <c r="G753" s="406">
        <v>1500</v>
      </c>
      <c r="H753" s="524"/>
      <c r="I753" s="530">
        <f t="shared" si="14"/>
        <v>0</v>
      </c>
      <c r="J753" s="124"/>
      <c r="K753" s="124"/>
      <c r="L753" s="124"/>
      <c r="M753" s="124"/>
      <c r="N753" s="329"/>
    </row>
    <row r="754" spans="1:14" s="42" customFormat="1" ht="16.5">
      <c r="A754" s="908">
        <v>748</v>
      </c>
      <c r="B754" s="126"/>
      <c r="C754" s="121">
        <v>157</v>
      </c>
      <c r="D754" s="741" t="s">
        <v>271</v>
      </c>
      <c r="E754" s="123" t="s">
        <v>799</v>
      </c>
      <c r="F754" s="406"/>
      <c r="G754" s="406">
        <v>7000</v>
      </c>
      <c r="H754" s="524"/>
      <c r="I754" s="530">
        <f t="shared" si="14"/>
        <v>0</v>
      </c>
      <c r="J754" s="124"/>
      <c r="K754" s="124"/>
      <c r="L754" s="124"/>
      <c r="M754" s="124"/>
      <c r="N754" s="329"/>
    </row>
    <row r="755" spans="1:14" s="42" customFormat="1" ht="16.5">
      <c r="A755" s="908">
        <v>749</v>
      </c>
      <c r="B755" s="126"/>
      <c r="C755" s="125">
        <v>158</v>
      </c>
      <c r="D755" s="741" t="s">
        <v>272</v>
      </c>
      <c r="E755" s="123" t="s">
        <v>799</v>
      </c>
      <c r="F755" s="406">
        <v>2308</v>
      </c>
      <c r="G755" s="406"/>
      <c r="H755" s="524"/>
      <c r="I755" s="530">
        <f t="shared" si="14"/>
        <v>0</v>
      </c>
      <c r="J755" s="124"/>
      <c r="K755" s="124"/>
      <c r="L755" s="124"/>
      <c r="M755" s="124"/>
      <c r="N755" s="329"/>
    </row>
    <row r="756" spans="1:14" s="42" customFormat="1" ht="16.5">
      <c r="A756" s="908">
        <v>750</v>
      </c>
      <c r="B756" s="126"/>
      <c r="C756" s="125">
        <v>159</v>
      </c>
      <c r="D756" s="741" t="s">
        <v>273</v>
      </c>
      <c r="E756" s="123" t="s">
        <v>799</v>
      </c>
      <c r="F756" s="406">
        <v>749</v>
      </c>
      <c r="G756" s="406"/>
      <c r="H756" s="524"/>
      <c r="I756" s="530">
        <f t="shared" si="14"/>
        <v>0</v>
      </c>
      <c r="J756" s="124"/>
      <c r="K756" s="124"/>
      <c r="L756" s="124"/>
      <c r="M756" s="124"/>
      <c r="N756" s="329"/>
    </row>
    <row r="757" spans="1:14" s="42" customFormat="1" ht="16.5">
      <c r="A757" s="908">
        <v>751</v>
      </c>
      <c r="B757" s="126"/>
      <c r="C757" s="121">
        <v>160</v>
      </c>
      <c r="D757" s="741" t="s">
        <v>274</v>
      </c>
      <c r="E757" s="123" t="s">
        <v>799</v>
      </c>
      <c r="F757" s="406">
        <v>1635</v>
      </c>
      <c r="G757" s="406">
        <v>25</v>
      </c>
      <c r="H757" s="524">
        <v>25</v>
      </c>
      <c r="I757" s="530">
        <f t="shared" si="14"/>
        <v>0</v>
      </c>
      <c r="J757" s="124"/>
      <c r="K757" s="124"/>
      <c r="L757" s="124"/>
      <c r="M757" s="124"/>
      <c r="N757" s="329"/>
    </row>
    <row r="758" spans="1:14" s="42" customFormat="1" ht="16.5">
      <c r="A758" s="908">
        <v>752</v>
      </c>
      <c r="B758" s="126"/>
      <c r="C758" s="125">
        <v>161</v>
      </c>
      <c r="D758" s="741" t="s">
        <v>275</v>
      </c>
      <c r="E758" s="123" t="s">
        <v>799</v>
      </c>
      <c r="F758" s="406">
        <v>2970</v>
      </c>
      <c r="G758" s="406"/>
      <c r="H758" s="524"/>
      <c r="I758" s="530">
        <f t="shared" si="14"/>
        <v>0</v>
      </c>
      <c r="J758" s="124"/>
      <c r="K758" s="124"/>
      <c r="L758" s="124"/>
      <c r="M758" s="124"/>
      <c r="N758" s="329"/>
    </row>
    <row r="759" spans="1:14" s="42" customFormat="1" ht="16.5">
      <c r="A759" s="908">
        <v>753</v>
      </c>
      <c r="B759" s="126"/>
      <c r="C759" s="125">
        <v>162</v>
      </c>
      <c r="D759" s="741" t="s">
        <v>278</v>
      </c>
      <c r="E759" s="123" t="s">
        <v>768</v>
      </c>
      <c r="F759" s="406">
        <v>1832</v>
      </c>
      <c r="G759" s="406">
        <v>165</v>
      </c>
      <c r="H759" s="524">
        <v>165</v>
      </c>
      <c r="I759" s="530">
        <f t="shared" si="14"/>
        <v>0</v>
      </c>
      <c r="J759" s="124"/>
      <c r="K759" s="124"/>
      <c r="L759" s="124"/>
      <c r="M759" s="124"/>
      <c r="N759" s="329"/>
    </row>
    <row r="760" spans="1:14" s="42" customFormat="1" ht="16.5">
      <c r="A760" s="908">
        <v>754</v>
      </c>
      <c r="B760" s="126"/>
      <c r="C760" s="121">
        <v>163</v>
      </c>
      <c r="D760" s="741" t="s">
        <v>279</v>
      </c>
      <c r="E760" s="123" t="s">
        <v>768</v>
      </c>
      <c r="F760" s="406">
        <v>36426</v>
      </c>
      <c r="G760" s="406"/>
      <c r="H760" s="524">
        <v>4801</v>
      </c>
      <c r="I760" s="530">
        <f t="shared" si="14"/>
        <v>0</v>
      </c>
      <c r="J760" s="124"/>
      <c r="K760" s="124"/>
      <c r="L760" s="124"/>
      <c r="M760" s="124"/>
      <c r="N760" s="329"/>
    </row>
    <row r="761" spans="1:14" s="42" customFormat="1" ht="16.5">
      <c r="A761" s="908">
        <v>755</v>
      </c>
      <c r="B761" s="126"/>
      <c r="C761" s="125">
        <v>164</v>
      </c>
      <c r="D761" s="741" t="s">
        <v>280</v>
      </c>
      <c r="E761" s="123" t="s">
        <v>768</v>
      </c>
      <c r="F761" s="406">
        <v>13155</v>
      </c>
      <c r="G761" s="406"/>
      <c r="H761" s="524">
        <v>369</v>
      </c>
      <c r="I761" s="530">
        <f t="shared" si="14"/>
        <v>0</v>
      </c>
      <c r="J761" s="124"/>
      <c r="K761" s="124"/>
      <c r="L761" s="124"/>
      <c r="M761" s="124"/>
      <c r="N761" s="329"/>
    </row>
    <row r="762" spans="1:14" s="42" customFormat="1" ht="16.5">
      <c r="A762" s="908">
        <v>756</v>
      </c>
      <c r="B762" s="126"/>
      <c r="C762" s="125">
        <v>165</v>
      </c>
      <c r="D762" s="741" t="s">
        <v>281</v>
      </c>
      <c r="E762" s="123" t="s">
        <v>768</v>
      </c>
      <c r="F762" s="406">
        <v>21193</v>
      </c>
      <c r="G762" s="406"/>
      <c r="H762" s="524"/>
      <c r="I762" s="530">
        <f t="shared" si="14"/>
        <v>0</v>
      </c>
      <c r="J762" s="124"/>
      <c r="K762" s="124"/>
      <c r="L762" s="124"/>
      <c r="M762" s="124"/>
      <c r="N762" s="329"/>
    </row>
    <row r="763" spans="1:14" s="42" customFormat="1" ht="16.5">
      <c r="A763" s="908">
        <v>757</v>
      </c>
      <c r="B763" s="126"/>
      <c r="C763" s="121">
        <v>166</v>
      </c>
      <c r="D763" s="741" t="s">
        <v>282</v>
      </c>
      <c r="E763" s="123" t="s">
        <v>768</v>
      </c>
      <c r="F763" s="406">
        <v>35129</v>
      </c>
      <c r="G763" s="406"/>
      <c r="H763" s="524"/>
      <c r="I763" s="530">
        <f t="shared" si="14"/>
        <v>0</v>
      </c>
      <c r="J763" s="124"/>
      <c r="K763" s="124"/>
      <c r="L763" s="124"/>
      <c r="M763" s="124"/>
      <c r="N763" s="329"/>
    </row>
    <row r="764" spans="1:14" s="42" customFormat="1" ht="16.5">
      <c r="A764" s="908">
        <v>758</v>
      </c>
      <c r="B764" s="126"/>
      <c r="C764" s="125">
        <v>167</v>
      </c>
      <c r="D764" s="741" t="s">
        <v>283</v>
      </c>
      <c r="E764" s="123" t="s">
        <v>768</v>
      </c>
      <c r="F764" s="406">
        <v>1523</v>
      </c>
      <c r="G764" s="406"/>
      <c r="H764" s="524"/>
      <c r="I764" s="530">
        <f t="shared" si="14"/>
        <v>0</v>
      </c>
      <c r="J764" s="124"/>
      <c r="K764" s="124"/>
      <c r="L764" s="124"/>
      <c r="M764" s="124"/>
      <c r="N764" s="329"/>
    </row>
    <row r="765" spans="1:14" s="42" customFormat="1" ht="16.5">
      <c r="A765" s="908">
        <v>759</v>
      </c>
      <c r="B765" s="498"/>
      <c r="C765" s="125">
        <v>168</v>
      </c>
      <c r="D765" s="741" t="s">
        <v>284</v>
      </c>
      <c r="E765" s="499" t="s">
        <v>859</v>
      </c>
      <c r="F765" s="500"/>
      <c r="G765" s="500"/>
      <c r="H765" s="527">
        <v>63</v>
      </c>
      <c r="I765" s="530">
        <f t="shared" si="14"/>
        <v>0</v>
      </c>
      <c r="J765" s="124"/>
      <c r="K765" s="124"/>
      <c r="L765" s="124"/>
      <c r="M765" s="124"/>
      <c r="N765" s="329"/>
    </row>
    <row r="766" spans="1:14" s="42" customFormat="1" ht="16.5">
      <c r="A766" s="908">
        <v>760</v>
      </c>
      <c r="B766" s="498"/>
      <c r="C766" s="121">
        <v>169</v>
      </c>
      <c r="D766" s="741" t="s">
        <v>285</v>
      </c>
      <c r="E766" s="499" t="s">
        <v>859</v>
      </c>
      <c r="F766" s="500"/>
      <c r="G766" s="500"/>
      <c r="H766" s="527">
        <v>59</v>
      </c>
      <c r="I766" s="530">
        <f t="shared" si="14"/>
        <v>0</v>
      </c>
      <c r="J766" s="501"/>
      <c r="K766" s="501"/>
      <c r="L766" s="501"/>
      <c r="M766" s="501"/>
      <c r="N766" s="502"/>
    </row>
    <row r="767" spans="1:14" s="42" customFormat="1" ht="16.5">
      <c r="A767" s="908">
        <v>761</v>
      </c>
      <c r="B767" s="498"/>
      <c r="C767" s="125">
        <v>170</v>
      </c>
      <c r="D767" s="741" t="s">
        <v>286</v>
      </c>
      <c r="E767" s="499" t="s">
        <v>859</v>
      </c>
      <c r="F767" s="500"/>
      <c r="G767" s="500"/>
      <c r="H767" s="527"/>
      <c r="I767" s="530">
        <f t="shared" si="14"/>
        <v>0</v>
      </c>
      <c r="J767" s="501"/>
      <c r="K767" s="501"/>
      <c r="L767" s="501"/>
      <c r="M767" s="501"/>
      <c r="N767" s="502"/>
    </row>
    <row r="768" spans="1:14" s="42" customFormat="1" ht="16.5">
      <c r="A768" s="908">
        <v>762</v>
      </c>
      <c r="B768" s="498"/>
      <c r="C768" s="125">
        <v>171</v>
      </c>
      <c r="D768" s="741" t="s">
        <v>1055</v>
      </c>
      <c r="E768" s="499" t="s">
        <v>859</v>
      </c>
      <c r="F768" s="500"/>
      <c r="G768" s="500"/>
      <c r="H768" s="527">
        <v>17515</v>
      </c>
      <c r="I768" s="530">
        <f t="shared" si="14"/>
        <v>0</v>
      </c>
      <c r="J768" s="501"/>
      <c r="K768" s="501"/>
      <c r="L768" s="501"/>
      <c r="M768" s="501"/>
      <c r="N768" s="502"/>
    </row>
    <row r="769" spans="1:14" s="42" customFormat="1" ht="16.5">
      <c r="A769" s="908">
        <v>763</v>
      </c>
      <c r="B769" s="498"/>
      <c r="C769" s="121">
        <v>172</v>
      </c>
      <c r="D769" s="742" t="s">
        <v>291</v>
      </c>
      <c r="E769" s="499" t="s">
        <v>799</v>
      </c>
      <c r="F769" s="500"/>
      <c r="G769" s="500"/>
      <c r="H769" s="527">
        <v>7723</v>
      </c>
      <c r="I769" s="530">
        <f t="shared" si="14"/>
        <v>0</v>
      </c>
      <c r="J769" s="501"/>
      <c r="K769" s="501"/>
      <c r="L769" s="501"/>
      <c r="M769" s="501"/>
      <c r="N769" s="502"/>
    </row>
    <row r="770" spans="1:14" s="42" customFormat="1" ht="32.25" thickBot="1">
      <c r="A770" s="1356">
        <v>764</v>
      </c>
      <c r="B770" s="498"/>
      <c r="C770" s="125">
        <v>173</v>
      </c>
      <c r="D770" s="743" t="s">
        <v>292</v>
      </c>
      <c r="E770" s="499" t="s">
        <v>859</v>
      </c>
      <c r="F770" s="500"/>
      <c r="G770" s="500"/>
      <c r="H770" s="527">
        <v>4064</v>
      </c>
      <c r="I770" s="533">
        <f t="shared" si="14"/>
        <v>0</v>
      </c>
      <c r="J770" s="501"/>
      <c r="K770" s="501"/>
      <c r="L770" s="501"/>
      <c r="M770" s="501"/>
      <c r="N770" s="502"/>
    </row>
    <row r="771" spans="1:14" s="118" customFormat="1" ht="17.25">
      <c r="A771" s="908">
        <v>765</v>
      </c>
      <c r="B771" s="516"/>
      <c r="C771" s="517"/>
      <c r="D771" s="518" t="s">
        <v>431</v>
      </c>
      <c r="E771" s="519"/>
      <c r="F771" s="520">
        <f>SUM(F7:F42,F72:F113,F138:F183,F213:F587,F617:F764)</f>
        <v>3102371</v>
      </c>
      <c r="G771" s="520">
        <f>SUM(G7:G42,G72:G113,G138:G183,G213:G587,G617:G768)</f>
        <v>3968229</v>
      </c>
      <c r="H771" s="528">
        <f>SUM(H7:H42,H72:H113,H138:H183,H213:H587,H617:H770)</f>
        <v>3823797</v>
      </c>
      <c r="I771" s="534"/>
      <c r="J771" s="521"/>
      <c r="K771" s="521"/>
      <c r="L771" s="521"/>
      <c r="M771" s="521"/>
      <c r="N771" s="522"/>
    </row>
    <row r="772" spans="1:14" s="907" customFormat="1" ht="16.5">
      <c r="A772" s="908">
        <v>766</v>
      </c>
      <c r="B772" s="899"/>
      <c r="C772" s="900"/>
      <c r="D772" s="901" t="s">
        <v>403</v>
      </c>
      <c r="E772" s="902"/>
      <c r="F772" s="903"/>
      <c r="G772" s="903"/>
      <c r="H772" s="904"/>
      <c r="I772" s="905">
        <f aca="true" t="shared" si="15" ref="I772:N772">SUM(I643+I638+I633+I628+I623+I618+I588+I579+I574+I569+I564+I559+I554+I549+I544+I539+I534+I529+I524+I519+I514+I509+I504+I495+I490+I485+I480+I475+I470+I465+I460+I455+I450+I445+I440+I435+I430+I425+I420+I415+I410+I405+I400+I395+I390+I385+I380+I375+I370+I365+I360+I355+I350+I345+I340+I335+I330+I325+I320+I315+I310+I305+I300+I295+I290+I285+I280+I275+I270+I265+I259+I254+I249+I244+I239+I234+I229+I224+I219+I214+I184+I179+I174+I169+I164+I159+I154+I149+I144+I139+I114+I109+I104+I99+I94+I89+I84+I79+I73+I43+I38+I33+I28+I23+I18+I13+I8)</f>
        <v>4181144</v>
      </c>
      <c r="J772" s="903">
        <f t="shared" si="15"/>
        <v>53432</v>
      </c>
      <c r="K772" s="903">
        <f t="shared" si="15"/>
        <v>10236</v>
      </c>
      <c r="L772" s="903">
        <f t="shared" si="15"/>
        <v>3025107</v>
      </c>
      <c r="M772" s="903">
        <f t="shared" si="15"/>
        <v>276400</v>
      </c>
      <c r="N772" s="906">
        <f t="shared" si="15"/>
        <v>815969</v>
      </c>
    </row>
    <row r="773" spans="1:14" s="118" customFormat="1" ht="17.25">
      <c r="A773" s="908">
        <v>767</v>
      </c>
      <c r="B773" s="127"/>
      <c r="C773" s="509"/>
      <c r="D773" s="1056" t="s">
        <v>957</v>
      </c>
      <c r="E773" s="1057"/>
      <c r="F773" s="1058"/>
      <c r="G773" s="1058"/>
      <c r="H773" s="1005"/>
      <c r="I773" s="1265">
        <f>SUM(J773+K773+L773+M773+N773)</f>
        <v>4812682</v>
      </c>
      <c r="J773" s="1059">
        <f>SUM(J688+J684+J680+J676+J672+J668+J664+J660+J656+J652+J648+J644+J639+J634+J629+J624+J619+J589+J580+J575+J570+J565+J560+J555+J550+J545+J540+J535+J530+J525+J520+J515+J510+J505+J500+J496+J491+J486+J481+J476+J471+J466+J461+J456+J451+J446+J441+J436+J431+J426+J421+J416+J411+J406+J401+J396+J391+J386+J381+J376+J371+J366+J361+J356+J351+J346+J341+J336+J331+J326+J321+J316+J311+J306+J301+J296+J291+J286+J281+J276+J271+J266+J260+J255+J250+J245+J240+J235+J230+J225+J220+J215+J185+J180+J175+J170+J165+J160+J155+J150+J145+J140+J115+J110+J105+J100+J95+J90+J85+J80+J74+J44+J39+J34+J29+J24+J19+J14+J9)+J704+J700+J696+J692+J708+J584+J712+J716+J720+J724</f>
        <v>84025</v>
      </c>
      <c r="K773" s="1059">
        <f>SUM(K688+K684+K680+K676+K672+K668+K664+K660+K656+K652+K648+K644+K639+K634+K629+K624+K619+K589+K580+K575+K570+K565+K560+K555+K550+K545+K540+K535+K530+K525+K520+K515+K510+K505+K500+K496+K491+K486+K481+K476+K471+K466+K461+K456+K451+K446+K441+K436+K431+K426+K421+K416+K411+K406+K401+K396+K391+K386+K381+K376+K371+K366+K361+K356+K351+K346+K341+K336+K331+K326+K321+K316+K311+K306+K301+K296+K291+K286+K281+K276+K271+K266+K260+K255+K250+K245+K240+K235+K230+K225+K220+K215+K185+K180+K175+K170+K165+K160+K155+K150+K145+K140+K115+K110+K105+K100+K95+K90+K85+K80+K74+K44+K39+K34+K29+K24+K19+K14+K9)+K704+K700+K696+K692+K708+K584+K712+K716+K720+K724</f>
        <v>17308</v>
      </c>
      <c r="L773" s="1059">
        <f>SUM(L688+L684+L680+L676+L672+L668+L664+L660+L656+L652+L648+L644+L639+L634+L629+L624+L619+L589+L580+L575+L570+L565+L560+L555+L550+L545+L540+L535+L530+L525+L520+L515+L510+L505+L500+L496+L491+L486+L481+L476+L471+L466+L461+L456+L451+L446+L441+L436+L431+L426+L421+L416+L411+L406+L401+L396+L391+L386+L381+L376+L371+L366+L361+L356+L351+L346+L341+L336+L331+L326+L321+L316+L311+L306+L301+L296+L291+L286+L281+L276+L271+L266+L260+L255+L250+L245+L240+L235+L230+L225+L220+L215+L185+L180+L175+L170+L165+L160+L155+L150+L145+L140+L115+L110+L105+L100+L95+L90+L85+L80+L74+L44+L39+L34+L29+L24+L19+L14+L9)+L704+L700+L696+L692+L708+L584+L712+L716+L720+L724</f>
        <v>3045297</v>
      </c>
      <c r="M773" s="1059">
        <f>SUM(M688+M684+M680+M676+M672+M668+M664+M660+M656+M652+M648+M644+M639+M634+M629+M624+M619+M589+M580+M575+M570+M565+M560+M555+M550+M545+M540+M535+M530+M525+M520+M515+M510+M505+M500+M496+M491+M486+M481+M476+M471+M466+M461+M456+M451+M446+M441+M436+M431+M426+M421+M416+M411+M406+M401+M396+M391+M386+M381+M376+M371+M366+M361+M356+M351+M346+M341+M336+M331+M326+M321+M316+M311+M306+M301+M296+M291+M286+M281+M276+M271+M266+M260+M255+M250+M245+M240+M235+M230+M225+M220+M215+M185+M180+M175+M170+M165+M160+M155+M150+M145+M140+M115+M110+M105+M100+M95+M90+M85+M80+M74+M44+M39+M34+M29+M24+M19+M14+M9)+M704+M700+M696+M692+M708+M584+M712+M716+M720+M724</f>
        <v>276400</v>
      </c>
      <c r="N773" s="1297">
        <f>SUM(N688+N684+N680+N676+N672+N668+N664+N660+N656+N652+N648+N644+N639+N634+N629+N624+N619+N589+N580+N575+N570+N565+N560+N555+N550+N545+N540+N535+N530+N525+N520+N515+N510+N505+N500+N496+N491+N486+N481+N476+N471+N466+N461+N456+N451+N446+N441+N436+N431+N426+N421+N416+N411+N406+N401+N396+N391+N386+N381+N376+N371+N366+N361+N356+N351+N346+N341+N336+N331+N326+N321+N316+N311+N306+N301+N296+N291+N286+N281+N276+N271+N266+N260+N255+N250+N245+N240+N235+N230+N225+N220+N215+N185+N180+N175+N170+N165+N160+N155+N150+N145+N140+N115+N110+N105+N100+N95+N90+N85+N80+N74+N44+N39+N34+N29+N24+N19+N14+N9)+N704+N700+N696+N692+N708+N584+N712+N716+N720+N724</f>
        <v>1389652</v>
      </c>
    </row>
    <row r="774" spans="1:14" s="1065" customFormat="1" ht="17.25">
      <c r="A774" s="908">
        <v>768</v>
      </c>
      <c r="B774" s="1060"/>
      <c r="C774" s="1061"/>
      <c r="D774" s="1062" t="s">
        <v>1230</v>
      </c>
      <c r="E774" s="1063"/>
      <c r="F774" s="1064"/>
      <c r="G774" s="1064"/>
      <c r="H774" s="1302"/>
      <c r="I774" s="1351">
        <f>SUM(J774+K774+L774+M774+N774)</f>
        <v>2873</v>
      </c>
      <c r="J774" s="1296">
        <f>SUM(J673+J669+J665+J661+J657+J653+J649+J645+J640+J635+J630+J625+J620+J615+J610+J605+J600+J595+J581+J576+J571+J566+J561+J556+J551+J546+J541+J536+J531+J526+J521+J516+J511+J506+J501+J497+J492+J487+J482+J477+J472+J467+J462+J457+J452+J447+J442+J437+J432+J427+J422+J417+J412+J407+J402+J397+J392+J387+J382+J377+J372+J367+J362+J357+J352+J347+J342+J337+J332+J327+J322+J317+J312+J307+J302+J297+J292+J287+J282+J277+J272+J267+J261+J256+J251+J246+J241+J236+J231+J226+J221+J216+J211+J206+J201+J196+J191+J181+J176+J171+J166+J161+J156+J151+J146+J141+J136+J131+J126+J121+J111+J106+J101+J96+J91+J86+J81+J75+J70+J65+J60+J55+J50+J40+J35+J30+J25+J20+J15+J10)+J677+J681+J689+J685+J693+J705+J701+J697+J709+J76+J585+J713+J717+J721+J725+J262</f>
        <v>2810</v>
      </c>
      <c r="K774" s="1296">
        <f>SUM(K673+K669+K665+K661+K657+K653+K649+K645+K640+K635+K630+K625+K620+K615+K610+K605+K600+K595+K581+K576+K571+K566+K561+K556+K551+K546+K541+K536+K531+K526+K521+K516+K511+K506+K501+K497+K492+K487+K482+K477+K472+K467+K462+K457+K452+K447+K442+K437+K432+K427+K422+K417+K412+K407+K402+K397+K392+K387+K382+K377+K372+K367+K362+K357+K352+K347+K342+K337+K332+K327+K322+K317+K312+K307+K302+K297+K292+K287+K282+K277+K272+K267+K261+K256+K251+K246+K241+K236+K231+K226+K221+K216+K211+K206+K201+K196+K191+K181+K176+K171+K166+K161+K156+K151+K146+K141+K136+K131+K126+K121+K111+K106+K101+K96+K91+K86+K81+K75+K70+K65+K60+K55+K50+K40+K35+K30+K25+K20+K15+K10)+K677+K681+K689+K685+K693+K705+K701+K697+K709+K76+K585+K713+K717+K721+K725+K262</f>
        <v>189</v>
      </c>
      <c r="L774" s="1296">
        <f>SUM(L673+L669+L665+L661+L657+L653+L649+L645+L640+L635+L630+L625+L620+L615+L610+L605+L600+L595+L581+L576+L571+L566+L561+L556+L551+L546+L541+L536+L531+L526+L521+L516+L511+L506+L501+L497+L492+L487+L482+L477+L472+L467+L462+L457+L452+L447+L442+L437+L432+L427+L422+L417+L412+L407+L402+L397+L392+L387+L382+L377+L372+L367+L362+L357+L352+L347+L342+L337+L332+L327+L322+L317+L312+L307+L302+L297+L292+L287+L282+L277+L272+L267+L261+L256+L251+L246+L241+L236+L231+L226+L221+L216+L211+L206+L201+L196+L191+L181+L176+L171+L166+L161+L156+L151+L146+L141+L136+L131+L126+L121+L111+L106+L101+L96+L91+L86+L81+L75+L70+L65+L60+L55+L50+L40+L35+L30+L25+L20+L15+L10)+L677+L681+L689+L685+L693+L705+L701+L697+L709+L76+L585+L713+L717+L721+L725+L262</f>
        <v>71197</v>
      </c>
      <c r="M774" s="1296">
        <f>SUM(M673+M669+M665+M661+M657+M653+M649+M645+M640+M635+M630+M625+M620+M615+M610+M605+M600+M595+M581+M576+M571+M566+M561+M556+M551+M546+M541+M536+M531+M526+M521+M516+M511+M506+M501+M497+M492+M487+M482+M477+M472+M467+M462+M457+M452+M447+M442+M437+M432+M427+M422+M417+M412+M407+M402+M397+M392+M387+M382+M377+M372+M367+M362+M357+M352+M347+M342+M337+M332+M327+M322+M317+M312+M307+M302+M297+M292+M287+M282+M277+M272+M267+M261+M256+M251+M246+M241+M236+M231+M226+M221+M216+M211+M206+M201+M196+M191+M181+M176+M171+M166+M161+M156+M151+M146+M141+M136+M131+M126+M121+M111+M106+M101+M96+M91+M86+M81+M75+M70+M65+M60+M55+M50+M40+M35+M30+M25+M20+M15+M10)+M677+M681+M689+M685+M693+M705+M701+M697+M709+M76+M585+M713+M717+M721+M725+M262</f>
        <v>-73365</v>
      </c>
      <c r="N774" s="1589">
        <f>SUM(N673+N669+N665+N661+N657+N653+N649+N645+N640+N635+N630+N625+N620+N615+N610+N605+N600+N595+N581+N576+N571+N566+N561+N556+N551+N546+N541+N536+N531+N526+N521+N516+N511+N506+N501+N497+N492+N487+N482+N477+N472+N467+N462+N457+N452+N447+N442+N437+N432+N427+N422+N417+N412+N407+N402+N397+N392+N387+N382+N377+N372+N367+N362+N357+N352+N347+N342+N337+N332+N327+N322+N317+N312+N307+N302+N297+N292+N287+N282+N277+N272+N267+N261+N256+N251+N246+N241+N236+N231+N226+N221+N216+N211+N206+N201+N196+N191+N181+N176+N171+N166+N161+N156+N151+N146+N141+N136+N131+N126+N121+N111+N106+N101+N96+N91+N86+N81+N75+N70+N65+N60+N55+N50+N40+N35+N30+N25+N20+N15+N10)+N677+N681+N689+N685+N693+N705+N701+N697+N709+N76+N585+N713+N717+N721+N725+N262</f>
        <v>2042</v>
      </c>
    </row>
    <row r="775" spans="1:14" s="118" customFormat="1" ht="18" thickBot="1">
      <c r="A775" s="908">
        <v>769</v>
      </c>
      <c r="B775" s="1066"/>
      <c r="C775" s="1067"/>
      <c r="D775" s="1068" t="s">
        <v>1067</v>
      </c>
      <c r="E775" s="1069"/>
      <c r="F775" s="1070"/>
      <c r="G775" s="1070"/>
      <c r="H775" s="1071"/>
      <c r="I775" s="1352">
        <f aca="true" t="shared" si="16" ref="I775:I785">SUM(J775+K775+L775+M775+N775)</f>
        <v>4815555</v>
      </c>
      <c r="J775" s="1070">
        <f>SUM(J773:J774)</f>
        <v>86835</v>
      </c>
      <c r="K775" s="1070">
        <f>SUM(K773:K774)</f>
        <v>17497</v>
      </c>
      <c r="L775" s="1070">
        <f>SUM(L773:L774)</f>
        <v>3116494</v>
      </c>
      <c r="M775" s="1070">
        <f>SUM(M773:M774)</f>
        <v>203035</v>
      </c>
      <c r="N775" s="1072">
        <f>SUM(N773:N774)</f>
        <v>1391694</v>
      </c>
    </row>
    <row r="776" spans="1:14" s="998" customFormat="1" ht="15">
      <c r="A776" s="908">
        <v>770</v>
      </c>
      <c r="B776" s="994"/>
      <c r="C776" s="995"/>
      <c r="D776" s="996" t="s">
        <v>777</v>
      </c>
      <c r="E776" s="995"/>
      <c r="F776" s="997">
        <f>SUM(F7:F17,F158:F168,F243:F294,F319,F359:F389,F464:F518,F528:F563,F587,F727:F729,)+F770+F765+F766+F767+F768+F679+F671</f>
        <v>1200795</v>
      </c>
      <c r="G776" s="997">
        <f>SUM(G7:G17,G158:G168,G243:G294,G319,G359:G389,G464:G518,G528:G563,G587,G727:G729,)+G770+G765+G766+G767+G768+G679+G671</f>
        <v>2358173</v>
      </c>
      <c r="H776" s="997">
        <f>SUM(H7:H17,H158:H168,H243:H294,H319,H359:H389,H464:H518,H528:H563,H587,H727:H729,)+H770+H765+H766+H767+H768+H679+H671</f>
        <v>2576045</v>
      </c>
      <c r="I776" s="1355">
        <f t="shared" si="16"/>
        <v>0</v>
      </c>
      <c r="J776" s="1353"/>
      <c r="K776" s="1353"/>
      <c r="L776" s="1353"/>
      <c r="M776" s="1353"/>
      <c r="N776" s="1354"/>
    </row>
    <row r="777" spans="1:14" s="1034" customFormat="1" ht="15">
      <c r="A777" s="908">
        <v>771</v>
      </c>
      <c r="B777" s="1028"/>
      <c r="C777" s="1029"/>
      <c r="D777" s="1030" t="s">
        <v>403</v>
      </c>
      <c r="E777" s="1029"/>
      <c r="F777" s="1031"/>
      <c r="G777" s="1031"/>
      <c r="H777" s="1035"/>
      <c r="I777" s="1032">
        <f t="shared" si="16"/>
        <v>2872399</v>
      </c>
      <c r="J777" s="1031">
        <f>SUM(J588+J564+J559+J554+J549+J544+J539+J534+J529+J519+J514+J509+J504+J495+J490+J485+J480+J475+J470+J465+J390+J385+J380+J375+J370+J365+J360+J320+J295+J290+J285+J280+J275+J270+J265+J259+J254+J249+J244+J169+J164+J159+J18+J13+J8)</f>
        <v>39844</v>
      </c>
      <c r="K777" s="1031">
        <f>SUM(K588+K564+K559+K554+K549+K544+K539+K534+K529+K519+K514+K509+K504+K495+K490+K485+K480+K475+K470+K465+K390+K385+K380+K375+K370+K365+K360+K320+K295+K290+K285+K280+K275+K270+K265+K259+K254+K249+K244+K169+K164+K159+K18+K13+K8)</f>
        <v>5604</v>
      </c>
      <c r="L777" s="1031">
        <f>SUM(L588+L564+L559+L554+L549+L544+L539+L534+L529+L519+L514+L509+L504+L495+L490+L485+L480+L475+L470+L465+L390+L385+L380+L375+L370+L365+L360+L320+L295+L290+L285+L280+L275+L270+L265+L259+L254+L249+L244+L169+L164+L159+L18+L13+L8)</f>
        <v>2242682</v>
      </c>
      <c r="M777" s="1031">
        <f>SUM(M588+M564+M559+M554+M549+M544+M539+M534+M529+M519+M514+M509+M504+M495+M490+M485+M480+M475+M470+M465+M390+M385+M380+M375+M370+M365+M360+M320+M295+M290+M285+M280+M275+M270+M265+M259+M254+M249+M244+M169+M164+M159+M18+M13+M8)</f>
        <v>32000</v>
      </c>
      <c r="N777" s="1033">
        <f>SUM(N588+N564+N559+N554+N549+N544+N539+N534+N529+N519+N514+N509+N504+N495+N490+N485+N480+N475+N470+N465+N390+N385+N380+N375+N370+N365+N360+N320+N295+N290+N285+N280+N275+N270+N265+N259+N254+N249+N244+N169+N164+N159+N18+N13+N8)</f>
        <v>552269</v>
      </c>
    </row>
    <row r="778" spans="1:14" s="998" customFormat="1" ht="15">
      <c r="A778" s="908">
        <v>772</v>
      </c>
      <c r="B778" s="999"/>
      <c r="C778" s="1000"/>
      <c r="D778" s="1001" t="s">
        <v>957</v>
      </c>
      <c r="E778" s="1000"/>
      <c r="F778" s="1002"/>
      <c r="G778" s="1002"/>
      <c r="H778" s="1005"/>
      <c r="I778" s="1003">
        <f t="shared" si="16"/>
        <v>3190791</v>
      </c>
      <c r="J778" s="1002">
        <f>SUM(J729+J728+J727+J680+J672+J589+J565+J560+J555+J550+J545+J540+J535+J530+J520+J515+J510+J505+J496+J491+J486+J481+J476+J471+J466+J391+J386+J381+J376+J371+J366+J361+J321+J296+J291+J286+J281+J276+J271+J266+J260+J255+J250+J245+J170+J165+J160+J19+J14+J9)+J584</f>
        <v>50364</v>
      </c>
      <c r="K778" s="1002">
        <f>SUM(K729+K728+K727+K680+K672+K589+K565+K560+K555+K550+K545+K540+K535+K530+K520+K515+K510+K505+K496+K491+K486+K481+K476+K471+K466+K391+K386+K381+K376+K371+K366+K361+K321+K296+K291+K286+K281+K276+K271+K266+K260+K255+K250+K245+K170+K165+K160+K19+K14+K9)+K584</f>
        <v>7084</v>
      </c>
      <c r="L778" s="1002">
        <f>SUM(L729+L728+L727+L680+L672+L589+L565+L560+L555+L550+L545+L540+L535+L530+L520+L515+L510+L505+L496+L491+L486+L481+L476+L471+L466+L391+L386+L381+L376+L371+L366+L361+L321+L296+L291+L286+L281+L276+L271+L266+L260+L255+L250+L245+L170+L165+L160+L19+L14+L9)+L584</f>
        <v>2155419</v>
      </c>
      <c r="M778" s="1002">
        <f>SUM(M729+M728+M727+M680+M672+M589+M565+M560+M555+M550+M545+M540+M535+M530+M520+M515+M510+M505+M496+M491+M486+M481+M476+M471+M466+M391+M386+M381+M376+M371+M366+M361+M321+M296+M291+M286+M281+M276+M271+M266+M260+M255+M250+M245+M170+M165+M160+M19+M14+M9)+M584</f>
        <v>32000</v>
      </c>
      <c r="N778" s="1004">
        <f>SUM(N729+N728+N727+N680+N672+N589+N565+N560+N555+N550+N545+N540+N535+N530+N520+N515+N510+N505+N496+N491+N486+N481+N476+N471+N466+N391+N386+N381+N376+N371+N366+N361+N321+N296+N291+N286+N281+N276+N271+N266+N260+N255+N250+N245+N170+N165+N160+N19+N14+N9)+N584</f>
        <v>945924</v>
      </c>
    </row>
    <row r="779" spans="1:14" s="998" customFormat="1" ht="15">
      <c r="A779" s="908">
        <v>773</v>
      </c>
      <c r="B779" s="999"/>
      <c r="C779" s="1000"/>
      <c r="D779" s="1001" t="s">
        <v>405</v>
      </c>
      <c r="E779" s="1000"/>
      <c r="F779" s="1002"/>
      <c r="G779" s="1002"/>
      <c r="H779" s="1005"/>
      <c r="I779" s="1025">
        <f t="shared" si="16"/>
        <v>119696</v>
      </c>
      <c r="J779" s="1026">
        <f>SUM(J681+J673+J590+J566+J561+J556+J551+J546+J541+J531+J536+J521+J516+J511+J506+J497+J492+J487+J482+J477+J472+J467+J392+J387+J382+J377+J372+J367+J362+J322+J297+J292+J287+J282+J277+J272+J267+J261+J256+J251+J246+J171+J166+J161+J20+J15+J10)+J585+J262</f>
        <v>1968</v>
      </c>
      <c r="K779" s="1026">
        <f>SUM(K681+K673+K590+K566+K561+K556+K551+K546+K541+K531+K536+K521+K516+K511+K506+K497+K492+K487+K482+K477+K472+K467+K392+K387+K382+K377+K372+K367+K362+K322+K297+K292+K287+K282+K277+K272+K267+K261+K256+K251+K246+K171+K166+K161+K20+K15+K10)+K585+K262</f>
        <v>-15</v>
      </c>
      <c r="L779" s="1026">
        <f>SUM(L681+L673+L590+L566+L561+L556+L551+L546+L541+L531+L536+L521+L516+L511+L506+L497+L492+L487+L482+L477+L472+L467+L392+L387+L382+L377+L372+L367+L362+L322+L297+L292+L287+L282+L277+L272+L267+L261+L256+L251+L246+L171+L166+L161+L20+L15+L10)+L585+L262</f>
        <v>124066</v>
      </c>
      <c r="M779" s="1026">
        <f>SUM(M681+M673+M590+M566+M561+M556+M551+M546+M541+M531+M536+M521+M516+M511+M506+M497+M492+M487+M482+M477+M472+M467+M392+M387+M382+M377+M372+M367+M362+M322+M297+M292+M287+M282+M277+M272+M267+M261+M256+M251+M246+M171+M166+M161+M20+M15+M10)+M585+M262</f>
        <v>-8365</v>
      </c>
      <c r="N779" s="1027">
        <f>SUM(N681+N673+N590+N566+N561+N556+N551+N546+N541+N531+N536+N521+N516+N511+N506+N497+N492+N487+N482+N477+N472+N467+N392+N387+N382+N377+N372+N367+N362+N322+N297+N292+N287+N282+N277+N272+N267+N261+N256+N251+N246+N171+N166+N161+N20+N15+N10)+N585+N262</f>
        <v>2042</v>
      </c>
    </row>
    <row r="780" spans="1:14" s="1013" customFormat="1" ht="15">
      <c r="A780" s="908">
        <v>774</v>
      </c>
      <c r="B780" s="1006"/>
      <c r="C780" s="1007"/>
      <c r="D780" s="1008" t="s">
        <v>1067</v>
      </c>
      <c r="E780" s="1007"/>
      <c r="F780" s="1009"/>
      <c r="G780" s="1009"/>
      <c r="H780" s="1010"/>
      <c r="I780" s="1011">
        <f t="shared" si="16"/>
        <v>3310487</v>
      </c>
      <c r="J780" s="1009">
        <f>SUM(J778:J779)</f>
        <v>52332</v>
      </c>
      <c r="K780" s="1009">
        <f>SUM(K778:K779)</f>
        <v>7069</v>
      </c>
      <c r="L780" s="1009">
        <f>SUM(L778:L779)</f>
        <v>2279485</v>
      </c>
      <c r="M780" s="1009">
        <f>SUM(M778:M779)</f>
        <v>23635</v>
      </c>
      <c r="N780" s="1012">
        <f>SUM(N778:N779)</f>
        <v>947966</v>
      </c>
    </row>
    <row r="781" spans="1:14" s="998" customFormat="1" ht="15">
      <c r="A781" s="908">
        <v>775</v>
      </c>
      <c r="B781" s="999"/>
      <c r="C781" s="1000"/>
      <c r="D781" s="1014" t="s">
        <v>778</v>
      </c>
      <c r="E781" s="1000"/>
      <c r="F781" s="1005">
        <f>SUM(F22:F42,F72:F113,F138:F153,F173:F183,F299:F314,F324:F354,F394:F459,F523,F568:F578,F617:F642,F730:F758)+F687+F769+F669+F665+F707+F683+F675+F659+F655+F651+F649</f>
        <v>1522398</v>
      </c>
      <c r="G781" s="1005">
        <f>SUM(G22:G42,G72:G113,G138:G153,G173:G183,G299:G314,G324:G354,G394:G459,G523,G568:G578,G617:G642,G730:G758)+G687+G769+G669+G665+G707+G683+G675+G659+G655+G651+G649</f>
        <v>1321791</v>
      </c>
      <c r="H781" s="1005">
        <f>SUM(H22:H42,H72:H113,H138:H153,H173:H183,H299:H314,H324:H354,H394:H459,H523,H568:H578,H617:H642,H730:H758)+H687+H769+H669+H665+H707+H683+H675+H659+H655+H651+H649</f>
        <v>1008248</v>
      </c>
      <c r="I781" s="1003">
        <f t="shared" si="16"/>
        <v>0</v>
      </c>
      <c r="J781" s="1015"/>
      <c r="K781" s="1015"/>
      <c r="L781" s="1015"/>
      <c r="M781" s="1015"/>
      <c r="N781" s="1016"/>
    </row>
    <row r="782" spans="1:14" s="1034" customFormat="1" ht="15">
      <c r="A782" s="908">
        <v>776</v>
      </c>
      <c r="B782" s="1028"/>
      <c r="C782" s="1029"/>
      <c r="D782" s="1030" t="s">
        <v>403</v>
      </c>
      <c r="E782" s="1029"/>
      <c r="F782" s="1031"/>
      <c r="G782" s="1031"/>
      <c r="H782" s="1035"/>
      <c r="I782" s="1032">
        <f t="shared" si="16"/>
        <v>1064845</v>
      </c>
      <c r="J782" s="1031">
        <f>SUM(J643+J638+J628+J623+J618+J579+J574+J569+J524+J460+J455+J450+J445+J440+J435+J430+J425+J420+J415+J410+J405+J400+J395+J355+J350+J345+J340+J335+J330+J325+J315+J310+J305+J300+J184+J179+J174+J154+J149+J144+J139+J114+J109+J104+J99+J94+J89+J84+J79+J73+J43+J38+J33+J28+J23)+J633</f>
        <v>13588</v>
      </c>
      <c r="K782" s="1031">
        <f>SUM(K643+K638+K628+K623+K618+K579+K574+K569+K524+K460+K455+K450+K445+K440+K435+K430+K425+K420+K415+K410+K405+K400+K395+K355+K350+K345+K340+K335+K330+K325+K315+K310+K305+K300+K184+K179+K174+K154+K149+K144+K139+K114+K109+K104+K99+K94+K89+K84+K79+K73+K43+K38+K33+K28+K23)+K633</f>
        <v>4632</v>
      </c>
      <c r="L782" s="1031">
        <f>SUM(L643+L638+L628+L623+L618+L579+L574+L569+L524+L460+L455+L450+L445+L440+L435+L430+L425+L420+L415+L410+L405+L400+L395+L355+L350+L345+L340+L335+L330+L325+L315+L310+L305+L300+L184+L179+L174+L154+L149+L144+L139+L114+L109+L104+L99+L94+L89+L84+L79+L73+L43+L38+L33+L28+L23)+L633</f>
        <v>782425</v>
      </c>
      <c r="M782" s="1031">
        <f>SUM(M643+M638+M628+M623+M618+M579+M574+M569+M524+M460+M455+M450+M445+M440+M435+M430+M425+M420+M415+M410+M405+M400+M395+M355+M350+M345+M340+M335+M330+M325+M315+M310+M305+M300+M184+M179+M174+M154+M149+M144+M139+M114+M109+M104+M99+M94+M89+M84+M79+M73+M43+M38+M33+M28+M23)+M633</f>
        <v>500</v>
      </c>
      <c r="N782" s="1033">
        <f>SUM(N643+N638+N628+N623+N618+N579+N574+N569+N524+N460+N455+N450+N445+N440+N435+N430+N425+N420+N415+N410+N405+N400+N395+N355+N350+N345+N340+N335+N330+N325+N315+N310+N305+N300+N184+N179+N174+N154+N149+N144+N139+N114+N109+N104+N99+N94+N89+N84+N79+N73+N43+N38+N33+N28+N23)+N633</f>
        <v>263700</v>
      </c>
    </row>
    <row r="783" spans="1:14" s="998" customFormat="1" ht="15">
      <c r="A783" s="908">
        <v>777</v>
      </c>
      <c r="B783" s="999"/>
      <c r="C783" s="1000"/>
      <c r="D783" s="1001" t="s">
        <v>957</v>
      </c>
      <c r="E783" s="1000"/>
      <c r="F783" s="1002"/>
      <c r="G783" s="1002"/>
      <c r="H783" s="1005"/>
      <c r="I783" s="1003">
        <f t="shared" si="16"/>
        <v>1377991</v>
      </c>
      <c r="J783" s="1002">
        <f>SUM(J688+J684+J676+J668+J664+J660+J656+J652+J648+J644+J639+J634+J629+J624+J619+J580+J575+J570+J525+J500+J461+J456+J451+J446+J441+J436+J431+J426+J421+J416+J411+J406+J401+J396+J356+J351+J346+J341+J336+J331+J326+J316+J311+J306+J301+J185+J180+J175+J155+J150+J145+J140+J115+J110+J105+J100+J95+J90+J85+J80+J74+J44+J39+J34+J29+J24)+J708+J691+J704+J700+J696+J692+J712+J716+J720+J724</f>
        <v>33661</v>
      </c>
      <c r="K783" s="1002">
        <f>SUM(K688+K684+K676+K668+K664+K660+K656+K652+K648+K644+K639+K634+K629+K624+K619+K580+K575+K570+K525+K500+K461+K456+K451+K446+K441+K436+K431+K426+K421+K416+K411+K406+K401+K396+K356+K351+K346+K341+K336+K331+K326+K316+K311+K306+K301+K185+K180+K175+K155+K150+K145+K140+K115+K110+K105+K100+K95+K90+K85+K80+K74+K44+K39+K34+K29+K24)+K708+K691+K704+K700+K696+K692+K712+K716+K720+K724</f>
        <v>10224</v>
      </c>
      <c r="L783" s="1002">
        <f>SUM(L688+L684+L676+L668+L664+L660+L656+L652+L648+L644+L639+L634+L629+L624+L619+L580+L575+L570+L525+L500+L461+L456+L451+L446+L441+L436+L431+L426+L421+L416+L411+L406+L401+L396+L356+L351+L346+L341+L336+L331+L326+L316+L311+L306+L301+L185+L180+L175+L155+L150+L145+L140+L115+L110+L105+L100+L95+L90+L85+L80+L74+L44+L39+L34+L29+L24)+L708+L691+L704+L700+L696+L692+L712+L716+L720+L724</f>
        <v>889878</v>
      </c>
      <c r="M783" s="1002">
        <f>SUM(M688+M684+M676+M668+M664+M660+M656+M652+M648+M644+M639+M634+M629+M624+M619+M580+M575+M570+M525+M500+M461+M456+M451+M446+M441+M436+M431+M426+M421+M416+M411+M406+M401+M396+M356+M351+M346+M341+M336+M331+M326+M316+M311+M306+M301+M185+M180+M175+M155+M150+M145+M140+M115+M110+M105+M100+M95+M90+M85+M80+M74+M44+M39+M34+M29+M24)+M708+M691+M704+M700+M696+M692+M712+M716+M720+M724</f>
        <v>500</v>
      </c>
      <c r="N783" s="1004">
        <f>SUM(N688+N684+N676+N668+N664+N660+N656+N652+N648+N644+N639+N634+N629+N624+N619+N580+N575+N570+N525+N500+N461+N456+N451+N446+N441+N436+N431+N426+N421+N416+N411+N406+N401+N396+N356+N351+N346+N341+N336+N331+N326+N316+N311+N306+N301+N185+N180+N175+N155+N150+N145+N140+N115+N110+N105+N100+N95+N90+N85+N80+N74+N44+N39+N34+N29+N24)+N708+N691+N704+N700+N696+N692+N712+N716+N720+N724</f>
        <v>443728</v>
      </c>
    </row>
    <row r="784" spans="1:14" s="998" customFormat="1" ht="15">
      <c r="A784" s="908">
        <v>778</v>
      </c>
      <c r="B784" s="999"/>
      <c r="C784" s="1000"/>
      <c r="D784" s="1001" t="s">
        <v>405</v>
      </c>
      <c r="E784" s="1000"/>
      <c r="F784" s="1002"/>
      <c r="G784" s="1002"/>
      <c r="H784" s="1005"/>
      <c r="I784" s="1025">
        <f t="shared" si="16"/>
        <v>-51823</v>
      </c>
      <c r="J784" s="1026">
        <f>SUM(J689+J685+J677+J669+J665+J661+J657+J653+J649+J645+J640+J635+J630+J625+J620+J581+J576+J571+J526+J501+J462+J457+J452+J447+J442+J437+J432+J427+J422+J417+J412+J407+J402+J397+J357+J352+J347+J342+J337+J332+J327+J317+J312+J307+J302+J186+J181+J176+J156+J151+J146+J141+J116+J111+J106+J101+J96+J91+J86+J81+J75+J45+J40+J35+J30+J25)+J705+J701+J697+J693+J709+J76+J713+J717+J721+J725</f>
        <v>842</v>
      </c>
      <c r="K784" s="1026">
        <f>SUM(K689+K685+K677+K669+K665+K661+K657+K653+K649+K645+K640+K635+K630+K625+K620+K581+K576+K571+K526+K501+K462+K457+K452+K447+K442+K437+K432+K427+K422+K417+K412+K407+K402+K397+K357+K352+K347+K342+K337+K332+K327+K317+K312+K307+K302+K186+K181+K176+K156+K151+K146+K141+K116+K111+K106+K101+K96+K91+K86+K81+K75+K45+K40+K35+K30+K25)+K705+K701+K697+K693+K709+K76+K713+K717+K721+K725</f>
        <v>204</v>
      </c>
      <c r="L784" s="1026">
        <f>SUM(L689+L685+L677+L669+L665+L661+L657+L653+L649+L645+L640+L635+L630+L625+L620+L581+L576+L571+L526+L501+L462+L457+L452+L447+L442+L437+L432+L427+L422+L417+L412+L407+L402+L397+L357+L352+L347+L342+L337+L332+L327+L317+L312+L307+L302+L186+L181+L176+L156+L151+L146+L141+L116+L111+L106+L101+L96+L91+L86+L81+L75+L45+L40+L35+L30+L25)+L705+L701+L697+L693+L709+L76+L713+L717+L721+L725</f>
        <v>-52869</v>
      </c>
      <c r="M784" s="1026">
        <f>SUM(M689+M685+M677+M669+M665+M661+M657+M653+M649+M645+M640+M635+M630+M625+M620+M581+M576+M571+M526+M501+M462+M457+M452+M447+M442+M437+M432+M427+M422+M417+M412+M407+M402+M397+M357+M352+M347+M342+M337+M332+M327+M317+M312+M307+M302+M186+M181+M176+M156+M151+M146+M141+M116+M111+M106+M101+M96+M91+M86+M81+M75+M45+M40+M35+M30+M25)+M705+M701+M697+M693+M709+M76+M713+M717+M721+M725</f>
        <v>0</v>
      </c>
      <c r="N784" s="1027">
        <f>SUM(N689+N685+N677+N669+N665+N661+N657+N653+N649+N645+N640+N635+N630+N625+N620+N581+N576+N571+N526+N501+N462+N457+N452+N447+N442+N437+N432+N427+N422+N417+N412+N407+N402+N397+N357+N352+N347+N342+N337+N332+N327+N317+N312+N307+N302+N186+N181+N176+N156+N151+N146+N141+N116+N111+N106+N101+N96+N91+N86+N81+N75+N45+N40+N35+N30+N25)+N705+N701+N697+N693+N709+N76+N713+N717+N721+N725</f>
        <v>0</v>
      </c>
    </row>
    <row r="785" spans="1:14" s="1013" customFormat="1" ht="15">
      <c r="A785" s="908">
        <v>779</v>
      </c>
      <c r="B785" s="1006"/>
      <c r="C785" s="1007"/>
      <c r="D785" s="1008" t="s">
        <v>1067</v>
      </c>
      <c r="E785" s="1007"/>
      <c r="F785" s="1009"/>
      <c r="G785" s="1009"/>
      <c r="H785" s="1010"/>
      <c r="I785" s="1011">
        <f t="shared" si="16"/>
        <v>1326168</v>
      </c>
      <c r="J785" s="1009">
        <f>SUM(J783:J784)</f>
        <v>34503</v>
      </c>
      <c r="K785" s="1009">
        <f>SUM(K783:K784)</f>
        <v>10428</v>
      </c>
      <c r="L785" s="1009">
        <f>SUM(L783:L784)</f>
        <v>837009</v>
      </c>
      <c r="M785" s="1009">
        <f>SUM(M783:M784)</f>
        <v>500</v>
      </c>
      <c r="N785" s="1012">
        <f>SUM(N783:N784)</f>
        <v>443728</v>
      </c>
    </row>
    <row r="786" spans="1:14" s="998" customFormat="1" ht="15">
      <c r="A786" s="908">
        <v>780</v>
      </c>
      <c r="B786" s="999"/>
      <c r="C786" s="1000"/>
      <c r="D786" s="1014" t="s">
        <v>781</v>
      </c>
      <c r="E786" s="1000"/>
      <c r="F786" s="1005">
        <f>SUM(F213:F238,F759:F764)</f>
        <v>379178</v>
      </c>
      <c r="G786" s="1005">
        <f>SUM(G213:G238,G759:G764)</f>
        <v>288265</v>
      </c>
      <c r="H786" s="1005">
        <f>SUM(H213:H238,H759:H764)</f>
        <v>239504</v>
      </c>
      <c r="I786" s="1003"/>
      <c r="J786" s="1015"/>
      <c r="K786" s="1015"/>
      <c r="L786" s="1015"/>
      <c r="M786" s="1015"/>
      <c r="N786" s="1016"/>
    </row>
    <row r="787" spans="1:14" s="1034" customFormat="1" ht="15">
      <c r="A787" s="908">
        <v>781</v>
      </c>
      <c r="B787" s="1028"/>
      <c r="C787" s="1029"/>
      <c r="D787" s="1030" t="s">
        <v>403</v>
      </c>
      <c r="E787" s="1029"/>
      <c r="F787" s="1031"/>
      <c r="G787" s="1031"/>
      <c r="H787" s="1035"/>
      <c r="I787" s="1032">
        <f aca="true" t="shared" si="17" ref="I787:N789">SUM(I239+I234+I229+I224+I219+I214)</f>
        <v>243900</v>
      </c>
      <c r="J787" s="1031">
        <f t="shared" si="17"/>
        <v>0</v>
      </c>
      <c r="K787" s="1031">
        <f t="shared" si="17"/>
        <v>0</v>
      </c>
      <c r="L787" s="1031">
        <f t="shared" si="17"/>
        <v>0</v>
      </c>
      <c r="M787" s="1031">
        <f t="shared" si="17"/>
        <v>243900</v>
      </c>
      <c r="N787" s="1033">
        <f t="shared" si="17"/>
        <v>0</v>
      </c>
    </row>
    <row r="788" spans="1:14" s="998" customFormat="1" ht="15">
      <c r="A788" s="908">
        <v>782</v>
      </c>
      <c r="B788" s="999"/>
      <c r="C788" s="1000"/>
      <c r="D788" s="1001" t="s">
        <v>957</v>
      </c>
      <c r="E788" s="1000"/>
      <c r="F788" s="1002"/>
      <c r="G788" s="1002"/>
      <c r="H788" s="1005"/>
      <c r="I788" s="1003">
        <f t="shared" si="17"/>
        <v>243900</v>
      </c>
      <c r="J788" s="1002">
        <f t="shared" si="17"/>
        <v>0</v>
      </c>
      <c r="K788" s="1002">
        <f t="shared" si="17"/>
        <v>0</v>
      </c>
      <c r="L788" s="1002">
        <f t="shared" si="17"/>
        <v>0</v>
      </c>
      <c r="M788" s="1002">
        <f t="shared" si="17"/>
        <v>243900</v>
      </c>
      <c r="N788" s="1004">
        <f t="shared" si="17"/>
        <v>0</v>
      </c>
    </row>
    <row r="789" spans="1:14" s="998" customFormat="1" ht="15">
      <c r="A789" s="908">
        <v>783</v>
      </c>
      <c r="B789" s="999"/>
      <c r="C789" s="1000"/>
      <c r="D789" s="1001" t="s">
        <v>405</v>
      </c>
      <c r="E789" s="1000"/>
      <c r="F789" s="1002"/>
      <c r="G789" s="1002"/>
      <c r="H789" s="1005"/>
      <c r="I789" s="1025">
        <f t="shared" si="17"/>
        <v>-65000</v>
      </c>
      <c r="J789" s="1026">
        <f t="shared" si="17"/>
        <v>0</v>
      </c>
      <c r="K789" s="1026">
        <f t="shared" si="17"/>
        <v>0</v>
      </c>
      <c r="L789" s="1026">
        <f t="shared" si="17"/>
        <v>0</v>
      </c>
      <c r="M789" s="1026">
        <f t="shared" si="17"/>
        <v>-65000</v>
      </c>
      <c r="N789" s="1027">
        <f t="shared" si="17"/>
        <v>0</v>
      </c>
    </row>
    <row r="790" spans="1:14" s="1013" customFormat="1" ht="15.75" thickBot="1">
      <c r="A790" s="908">
        <v>784</v>
      </c>
      <c r="B790" s="1017"/>
      <c r="C790" s="1018"/>
      <c r="D790" s="1019" t="s">
        <v>1067</v>
      </c>
      <c r="E790" s="1018"/>
      <c r="F790" s="1020"/>
      <c r="G790" s="1020"/>
      <c r="H790" s="1021"/>
      <c r="I790" s="1022">
        <f aca="true" t="shared" si="18" ref="I790:N790">SUM(I788:I789)</f>
        <v>178900</v>
      </c>
      <c r="J790" s="1020">
        <f t="shared" si="18"/>
        <v>0</v>
      </c>
      <c r="K790" s="1020">
        <f>SUM(K788:K789)</f>
        <v>0</v>
      </c>
      <c r="L790" s="1020">
        <f t="shared" si="18"/>
        <v>0</v>
      </c>
      <c r="M790" s="1020">
        <f t="shared" si="18"/>
        <v>178900</v>
      </c>
      <c r="N790" s="1023">
        <f t="shared" si="18"/>
        <v>0</v>
      </c>
    </row>
    <row r="791" spans="1:14" s="1024" customFormat="1" ht="13.5">
      <c r="A791" s="910"/>
      <c r="B791" s="1703" t="s">
        <v>801</v>
      </c>
      <c r="C791" s="1703"/>
      <c r="D791" s="1703"/>
      <c r="E791" s="1703"/>
      <c r="F791" s="549"/>
      <c r="G791" s="549"/>
      <c r="H791" s="549"/>
      <c r="I791" s="549"/>
      <c r="J791" s="549"/>
      <c r="K791" s="549"/>
      <c r="L791" s="549"/>
      <c r="M791" s="549"/>
      <c r="N791" s="549"/>
    </row>
    <row r="792" spans="1:14" s="1024" customFormat="1" ht="13.5">
      <c r="A792" s="910"/>
      <c r="B792" s="1703" t="s">
        <v>885</v>
      </c>
      <c r="C792" s="1703"/>
      <c r="D792" s="1703"/>
      <c r="E792" s="1703"/>
      <c r="F792" s="549"/>
      <c r="G792" s="549"/>
      <c r="H792" s="549"/>
      <c r="I792" s="549"/>
      <c r="J792" s="549"/>
      <c r="K792" s="549"/>
      <c r="L792" s="549"/>
      <c r="M792" s="549"/>
      <c r="N792" s="549"/>
    </row>
    <row r="793" spans="1:14" s="1024" customFormat="1" ht="13.5">
      <c r="A793" s="910"/>
      <c r="B793" s="1703" t="s">
        <v>886</v>
      </c>
      <c r="C793" s="1703"/>
      <c r="D793" s="1703"/>
      <c r="E793" s="1703"/>
      <c r="F793" s="549"/>
      <c r="G793" s="549"/>
      <c r="H793" s="549"/>
      <c r="I793" s="549"/>
      <c r="J793" s="549"/>
      <c r="K793" s="549"/>
      <c r="L793" s="549"/>
      <c r="M793" s="549"/>
      <c r="N793" s="549"/>
    </row>
    <row r="794" spans="1:14" s="1024" customFormat="1" ht="13.5">
      <c r="A794" s="910"/>
      <c r="B794" s="1703" t="s">
        <v>779</v>
      </c>
      <c r="C794" s="1703"/>
      <c r="D794" s="1703"/>
      <c r="E794" s="1703"/>
      <c r="F794" s="549"/>
      <c r="G794" s="549"/>
      <c r="H794" s="549"/>
      <c r="I794" s="549"/>
      <c r="J794" s="549"/>
      <c r="K794" s="549"/>
      <c r="L794" s="549"/>
      <c r="M794" s="549"/>
      <c r="N794" s="549"/>
    </row>
    <row r="795" spans="4:8" ht="17.25">
      <c r="D795" s="61"/>
      <c r="E795" s="49"/>
      <c r="F795" s="503"/>
      <c r="G795" s="503"/>
      <c r="H795" s="503"/>
    </row>
    <row r="796" spans="4:8" ht="17.25">
      <c r="D796" s="61"/>
      <c r="E796" s="49"/>
      <c r="F796" s="503"/>
      <c r="G796" s="503"/>
      <c r="H796" s="503"/>
    </row>
    <row r="797" spans="4:8" ht="17.25">
      <c r="D797" s="61"/>
      <c r="E797" s="49"/>
      <c r="F797" s="503"/>
      <c r="G797" s="503"/>
      <c r="H797" s="503"/>
    </row>
    <row r="798" spans="4:8" ht="17.25">
      <c r="D798" s="61"/>
      <c r="E798" s="49"/>
      <c r="F798" s="503"/>
      <c r="G798" s="503"/>
      <c r="H798" s="503"/>
    </row>
    <row r="799" spans="4:8" ht="17.25">
      <c r="D799" s="61"/>
      <c r="E799" s="49"/>
      <c r="F799" s="503"/>
      <c r="G799" s="503"/>
      <c r="H799" s="503"/>
    </row>
    <row r="800" spans="4:8" ht="17.25">
      <c r="D800" s="503"/>
      <c r="E800" s="51"/>
      <c r="F800" s="503"/>
      <c r="G800" s="503"/>
      <c r="H800" s="503"/>
    </row>
    <row r="801" spans="4:8" ht="17.25">
      <c r="D801" s="503"/>
      <c r="E801" s="51"/>
      <c r="F801" s="503"/>
      <c r="G801" s="503"/>
      <c r="H801" s="503"/>
    </row>
    <row r="802" spans="4:8" ht="17.25">
      <c r="D802" s="61"/>
      <c r="E802" s="49"/>
      <c r="F802" s="503"/>
      <c r="G802" s="503"/>
      <c r="H802" s="503"/>
    </row>
    <row r="803" spans="4:8" ht="17.25">
      <c r="D803" s="61"/>
      <c r="E803" s="49"/>
      <c r="F803" s="503"/>
      <c r="G803" s="503"/>
      <c r="H803" s="503"/>
    </row>
    <row r="804" spans="4:8" ht="17.25">
      <c r="D804" s="61"/>
      <c r="E804" s="49"/>
      <c r="F804" s="503"/>
      <c r="G804" s="503"/>
      <c r="H804" s="503"/>
    </row>
    <row r="805" spans="4:8" ht="17.25">
      <c r="D805" s="61"/>
      <c r="E805" s="49"/>
      <c r="F805" s="503"/>
      <c r="G805" s="503"/>
      <c r="H805" s="503"/>
    </row>
    <row r="806" spans="4:8" ht="17.25">
      <c r="D806" s="61"/>
      <c r="E806" s="49"/>
      <c r="F806" s="503"/>
      <c r="G806" s="503"/>
      <c r="H806" s="503"/>
    </row>
    <row r="807" spans="4:8" ht="17.25">
      <c r="D807" s="61"/>
      <c r="E807" s="49"/>
      <c r="F807" s="503"/>
      <c r="G807" s="503"/>
      <c r="H807" s="503"/>
    </row>
    <row r="808" spans="4:8" ht="17.25">
      <c r="D808" s="61"/>
      <c r="E808" s="49"/>
      <c r="F808" s="503"/>
      <c r="G808" s="503"/>
      <c r="H808" s="503"/>
    </row>
    <row r="809" spans="4:8" ht="17.25">
      <c r="D809" s="61"/>
      <c r="E809" s="49"/>
      <c r="F809" s="503"/>
      <c r="G809" s="503"/>
      <c r="H809" s="503"/>
    </row>
    <row r="810" spans="4:8" ht="17.25">
      <c r="D810" s="61"/>
      <c r="E810" s="49"/>
      <c r="F810" s="503"/>
      <c r="G810" s="503"/>
      <c r="H810" s="503"/>
    </row>
    <row r="811" spans="4:8" ht="17.25">
      <c r="D811" s="61"/>
      <c r="E811" s="49"/>
      <c r="F811" s="503"/>
      <c r="G811" s="503"/>
      <c r="H811" s="503"/>
    </row>
    <row r="812" spans="4:8" ht="17.25">
      <c r="D812" s="503"/>
      <c r="E812" s="51"/>
      <c r="F812" s="503"/>
      <c r="G812" s="503"/>
      <c r="H812" s="503"/>
    </row>
    <row r="813" spans="4:8" ht="17.25">
      <c r="D813" s="503"/>
      <c r="E813" s="51"/>
      <c r="F813" s="503"/>
      <c r="G813" s="503"/>
      <c r="H813" s="503"/>
    </row>
    <row r="814" spans="4:8" ht="17.25">
      <c r="D814" s="61"/>
      <c r="E814" s="49"/>
      <c r="F814" s="503"/>
      <c r="G814" s="503"/>
      <c r="H814" s="503"/>
    </row>
    <row r="815" spans="4:8" ht="17.25">
      <c r="D815" s="61"/>
      <c r="E815" s="49"/>
      <c r="F815" s="503"/>
      <c r="G815" s="503"/>
      <c r="H815" s="503"/>
    </row>
    <row r="816" spans="6:8" ht="17.25">
      <c r="F816" s="495"/>
      <c r="H816" s="495"/>
    </row>
    <row r="817" spans="6:8" ht="17.25">
      <c r="F817" s="495"/>
      <c r="H817" s="495"/>
    </row>
    <row r="818" spans="6:8" ht="17.25">
      <c r="F818" s="495"/>
      <c r="H818" s="495"/>
    </row>
    <row r="819" spans="6:8" ht="17.25">
      <c r="F819" s="495"/>
      <c r="H819" s="495"/>
    </row>
    <row r="820" spans="6:8" ht="17.25">
      <c r="F820" s="495"/>
      <c r="H820" s="495"/>
    </row>
    <row r="821" spans="6:8" ht="17.25">
      <c r="F821" s="495"/>
      <c r="H821" s="495"/>
    </row>
    <row r="822" spans="6:8" ht="17.25">
      <c r="F822" s="495"/>
      <c r="H822" s="495"/>
    </row>
    <row r="823" spans="6:8" ht="17.25">
      <c r="F823" s="495"/>
      <c r="H823" s="495"/>
    </row>
    <row r="824" spans="6:8" ht="17.25">
      <c r="F824" s="495"/>
      <c r="H824" s="495"/>
    </row>
    <row r="825" spans="6:8" ht="17.25">
      <c r="F825" s="495"/>
      <c r="H825" s="495"/>
    </row>
    <row r="826" spans="6:8" ht="17.25">
      <c r="F826" s="495"/>
      <c r="H826" s="495"/>
    </row>
    <row r="827" spans="6:8" ht="17.25">
      <c r="F827" s="495"/>
      <c r="H827" s="495"/>
    </row>
    <row r="828" spans="6:8" ht="17.25">
      <c r="F828" s="495"/>
      <c r="H828" s="495"/>
    </row>
    <row r="829" spans="6:8" ht="17.25">
      <c r="F829" s="495"/>
      <c r="H829" s="495"/>
    </row>
    <row r="830" spans="6:8" ht="17.25">
      <c r="F830" s="495"/>
      <c r="H830" s="495"/>
    </row>
    <row r="831" spans="6:8" ht="17.25">
      <c r="F831" s="495"/>
      <c r="H831" s="495"/>
    </row>
    <row r="832" spans="6:8" ht="17.25">
      <c r="F832" s="495"/>
      <c r="H832" s="495"/>
    </row>
    <row r="833" spans="6:8" ht="17.25">
      <c r="F833" s="495"/>
      <c r="H833" s="495"/>
    </row>
    <row r="834" spans="6:8" ht="17.25">
      <c r="F834" s="495"/>
      <c r="H834" s="495"/>
    </row>
    <row r="835" spans="4:8" ht="17.25">
      <c r="D835" s="61"/>
      <c r="E835" s="49"/>
      <c r="F835" s="503"/>
      <c r="G835" s="503"/>
      <c r="H835" s="503"/>
    </row>
    <row r="836" spans="4:8" ht="17.25">
      <c r="D836" s="61"/>
      <c r="E836" s="49"/>
      <c r="F836" s="503"/>
      <c r="G836" s="503"/>
      <c r="H836" s="503"/>
    </row>
    <row r="837" spans="4:8" ht="17.25">
      <c r="D837" s="61"/>
      <c r="E837" s="49"/>
      <c r="F837" s="503"/>
      <c r="G837" s="503"/>
      <c r="H837" s="503"/>
    </row>
    <row r="838" spans="4:14" ht="17.25">
      <c r="D838" s="49"/>
      <c r="E838" s="49"/>
      <c r="F838" s="51"/>
      <c r="G838" s="51"/>
      <c r="H838" s="51"/>
      <c r="I838" s="49"/>
      <c r="J838" s="51"/>
      <c r="K838" s="51"/>
      <c r="L838" s="51"/>
      <c r="M838" s="51"/>
      <c r="N838" s="51"/>
    </row>
    <row r="839" spans="4:14" ht="17.25">
      <c r="D839" s="49"/>
      <c r="E839" s="49"/>
      <c r="F839" s="51"/>
      <c r="G839" s="51"/>
      <c r="H839" s="51"/>
      <c r="I839" s="49"/>
      <c r="J839" s="51"/>
      <c r="K839" s="51"/>
      <c r="L839" s="51"/>
      <c r="M839" s="51"/>
      <c r="N839" s="51"/>
    </row>
    <row r="840" spans="4:14" ht="17.25">
      <c r="D840" s="49"/>
      <c r="E840" s="49"/>
      <c r="F840" s="51"/>
      <c r="G840" s="51"/>
      <c r="H840" s="51"/>
      <c r="I840" s="49"/>
      <c r="J840" s="51"/>
      <c r="K840" s="51"/>
      <c r="L840" s="51"/>
      <c r="M840" s="51"/>
      <c r="N840" s="51"/>
    </row>
    <row r="841" spans="4:14" ht="17.25">
      <c r="D841" s="49"/>
      <c r="E841" s="49"/>
      <c r="F841" s="51"/>
      <c r="G841" s="51"/>
      <c r="H841" s="51"/>
      <c r="I841" s="49"/>
      <c r="J841" s="51"/>
      <c r="K841" s="51"/>
      <c r="L841" s="51"/>
      <c r="M841" s="51"/>
      <c r="N841" s="51"/>
    </row>
    <row r="842" spans="4:8" ht="17.25">
      <c r="D842" s="61"/>
      <c r="E842" s="49"/>
      <c r="F842" s="503"/>
      <c r="G842" s="503"/>
      <c r="H842" s="503"/>
    </row>
    <row r="843" spans="4:8" ht="17.25">
      <c r="D843" s="61"/>
      <c r="E843" s="49"/>
      <c r="F843" s="503"/>
      <c r="G843" s="503"/>
      <c r="H843" s="503"/>
    </row>
    <row r="844" spans="4:8" ht="17.25">
      <c r="D844" s="61"/>
      <c r="E844" s="49"/>
      <c r="F844" s="503"/>
      <c r="G844" s="503"/>
      <c r="H844" s="503"/>
    </row>
    <row r="845" spans="4:8" ht="17.25">
      <c r="D845" s="61"/>
      <c r="E845" s="49"/>
      <c r="F845" s="503"/>
      <c r="G845" s="503"/>
      <c r="H845" s="503"/>
    </row>
    <row r="846" spans="4:8" ht="17.25">
      <c r="D846" s="61"/>
      <c r="E846" s="49"/>
      <c r="F846" s="503"/>
      <c r="G846" s="503"/>
      <c r="H846" s="503"/>
    </row>
    <row r="847" spans="4:8" ht="17.25">
      <c r="D847" s="503"/>
      <c r="E847" s="51"/>
      <c r="F847" s="503"/>
      <c r="G847" s="503"/>
      <c r="H847" s="503"/>
    </row>
    <row r="848" spans="4:8" ht="17.25">
      <c r="D848" s="503"/>
      <c r="E848" s="51"/>
      <c r="F848" s="503"/>
      <c r="G848" s="503"/>
      <c r="H848" s="503"/>
    </row>
    <row r="849" spans="1:14" s="495" customFormat="1" ht="17.25">
      <c r="A849" s="908"/>
      <c r="B849" s="10"/>
      <c r="C849" s="10"/>
      <c r="E849" s="1500"/>
      <c r="I849" s="61"/>
      <c r="J849" s="503"/>
      <c r="K849" s="503"/>
      <c r="L849" s="503"/>
      <c r="M849" s="503"/>
      <c r="N849" s="503"/>
    </row>
    <row r="850" spans="1:14" s="495" customFormat="1" ht="17.25">
      <c r="A850" s="908"/>
      <c r="B850" s="10"/>
      <c r="C850" s="10"/>
      <c r="E850" s="1500"/>
      <c r="I850" s="61"/>
      <c r="J850" s="503"/>
      <c r="K850" s="503"/>
      <c r="L850" s="503"/>
      <c r="M850" s="503"/>
      <c r="N850" s="503"/>
    </row>
    <row r="851" spans="1:14" s="495" customFormat="1" ht="17.25">
      <c r="A851" s="908"/>
      <c r="B851" s="10"/>
      <c r="C851" s="10"/>
      <c r="D851" s="503"/>
      <c r="E851" s="51"/>
      <c r="F851" s="503"/>
      <c r="G851" s="503"/>
      <c r="H851" s="503"/>
      <c r="I851" s="61"/>
      <c r="J851" s="503"/>
      <c r="K851" s="503"/>
      <c r="L851" s="503"/>
      <c r="M851" s="503"/>
      <c r="N851" s="503"/>
    </row>
    <row r="852" spans="1:14" s="495" customFormat="1" ht="17.25">
      <c r="A852" s="908"/>
      <c r="B852" s="10"/>
      <c r="C852" s="10"/>
      <c r="D852" s="503"/>
      <c r="E852" s="51"/>
      <c r="F852" s="503"/>
      <c r="G852" s="503"/>
      <c r="H852" s="503"/>
      <c r="I852" s="61"/>
      <c r="J852" s="503"/>
      <c r="K852" s="503"/>
      <c r="L852" s="503"/>
      <c r="M852" s="503"/>
      <c r="N852" s="503"/>
    </row>
    <row r="853" spans="1:14" s="495" customFormat="1" ht="17.25">
      <c r="A853" s="908"/>
      <c r="B853" s="10"/>
      <c r="C853" s="10"/>
      <c r="D853" s="503"/>
      <c r="E853" s="51"/>
      <c r="F853" s="503"/>
      <c r="G853" s="503"/>
      <c r="H853" s="503"/>
      <c r="I853" s="61"/>
      <c r="J853" s="503"/>
      <c r="K853" s="503"/>
      <c r="L853" s="503"/>
      <c r="M853" s="503"/>
      <c r="N853" s="503"/>
    </row>
    <row r="854" spans="1:14" s="495" customFormat="1" ht="17.25">
      <c r="A854" s="908"/>
      <c r="B854" s="10"/>
      <c r="C854" s="10"/>
      <c r="D854" s="503"/>
      <c r="E854" s="51"/>
      <c r="F854" s="503"/>
      <c r="G854" s="503"/>
      <c r="H854" s="503"/>
      <c r="I854" s="61"/>
      <c r="J854" s="503"/>
      <c r="K854" s="503"/>
      <c r="L854" s="503"/>
      <c r="M854" s="503"/>
      <c r="N854" s="503"/>
    </row>
    <row r="855" spans="1:14" s="495" customFormat="1" ht="17.25">
      <c r="A855" s="908"/>
      <c r="B855" s="10"/>
      <c r="C855" s="10"/>
      <c r="D855" s="503"/>
      <c r="E855" s="51"/>
      <c r="F855" s="503"/>
      <c r="G855" s="503"/>
      <c r="H855" s="503"/>
      <c r="I855" s="61"/>
      <c r="J855" s="503"/>
      <c r="K855" s="503"/>
      <c r="L855" s="503"/>
      <c r="M855" s="503"/>
      <c r="N855" s="503"/>
    </row>
    <row r="856" spans="4:8" ht="17.25">
      <c r="D856" s="61"/>
      <c r="E856" s="49"/>
      <c r="F856" s="503"/>
      <c r="G856" s="503"/>
      <c r="H856" s="503"/>
    </row>
    <row r="857" spans="4:8" ht="17.25">
      <c r="D857" s="61"/>
      <c r="E857" s="49"/>
      <c r="F857" s="503"/>
      <c r="G857" s="503"/>
      <c r="H857" s="503"/>
    </row>
    <row r="858" spans="4:8" ht="17.25">
      <c r="D858" s="61"/>
      <c r="E858" s="49"/>
      <c r="F858" s="503"/>
      <c r="G858" s="503"/>
      <c r="H858" s="503"/>
    </row>
    <row r="859" spans="4:8" ht="17.25">
      <c r="D859" s="61"/>
      <c r="E859" s="49"/>
      <c r="F859" s="503"/>
      <c r="G859" s="503"/>
      <c r="H859" s="503"/>
    </row>
    <row r="860" spans="4:8" ht="17.25">
      <c r="D860" s="61"/>
      <c r="E860" s="49"/>
      <c r="F860" s="503"/>
      <c r="G860" s="503"/>
      <c r="H860" s="503"/>
    </row>
    <row r="861" spans="4:8" ht="17.25">
      <c r="D861" s="61"/>
      <c r="E861" s="49"/>
      <c r="F861" s="503"/>
      <c r="G861" s="503"/>
      <c r="H861" s="503"/>
    </row>
    <row r="862" spans="4:8" ht="17.25">
      <c r="D862" s="61"/>
      <c r="E862" s="49"/>
      <c r="F862" s="503"/>
      <c r="G862" s="503"/>
      <c r="H862" s="503"/>
    </row>
    <row r="863" spans="4:8" ht="17.25">
      <c r="D863" s="61"/>
      <c r="E863" s="49"/>
      <c r="F863" s="503"/>
      <c r="G863" s="503"/>
      <c r="H863" s="503"/>
    </row>
    <row r="864" spans="4:8" ht="17.25">
      <c r="D864" s="61"/>
      <c r="E864" s="49"/>
      <c r="F864" s="503"/>
      <c r="G864" s="503"/>
      <c r="H864" s="503"/>
    </row>
    <row r="865" spans="4:8" ht="17.25">
      <c r="D865" s="61"/>
      <c r="E865" s="49"/>
      <c r="F865" s="503"/>
      <c r="G865" s="503"/>
      <c r="H865" s="503"/>
    </row>
    <row r="866" spans="4:8" ht="17.25">
      <c r="D866" s="61"/>
      <c r="E866" s="49"/>
      <c r="F866" s="503"/>
      <c r="G866" s="503"/>
      <c r="H866" s="503"/>
    </row>
    <row r="867" spans="4:8" ht="17.25">
      <c r="D867" s="61"/>
      <c r="E867" s="49"/>
      <c r="F867" s="503"/>
      <c r="G867" s="503"/>
      <c r="H867" s="503"/>
    </row>
    <row r="868" spans="4:8" ht="17.25">
      <c r="D868" s="61"/>
      <c r="E868" s="49"/>
      <c r="F868" s="503"/>
      <c r="G868" s="503"/>
      <c r="H868" s="503"/>
    </row>
    <row r="869" spans="1:14" s="495" customFormat="1" ht="17.25">
      <c r="A869" s="908"/>
      <c r="B869" s="10"/>
      <c r="C869" s="10"/>
      <c r="D869" s="503"/>
      <c r="E869" s="51"/>
      <c r="F869" s="503"/>
      <c r="G869" s="503"/>
      <c r="H869" s="503"/>
      <c r="I869" s="61"/>
      <c r="J869" s="503"/>
      <c r="K869" s="503"/>
      <c r="L869" s="503"/>
      <c r="M869" s="503"/>
      <c r="N869" s="503"/>
    </row>
    <row r="870" spans="4:8" ht="17.25">
      <c r="D870" s="61"/>
      <c r="E870" s="49"/>
      <c r="F870" s="503"/>
      <c r="G870" s="503"/>
      <c r="H870" s="503"/>
    </row>
    <row r="871" spans="4:8" ht="17.25">
      <c r="D871" s="61"/>
      <c r="E871" s="49"/>
      <c r="F871" s="503"/>
      <c r="G871" s="503"/>
      <c r="H871" s="503"/>
    </row>
    <row r="872" spans="4:8" ht="17.25">
      <c r="D872" s="61"/>
      <c r="E872" s="49"/>
      <c r="F872" s="503"/>
      <c r="G872" s="503"/>
      <c r="H872" s="503"/>
    </row>
    <row r="873" spans="4:8" ht="17.25">
      <c r="D873" s="61"/>
      <c r="E873" s="49"/>
      <c r="F873" s="503"/>
      <c r="G873" s="503"/>
      <c r="H873" s="503"/>
    </row>
    <row r="874" spans="4:8" ht="17.25">
      <c r="D874" s="61"/>
      <c r="E874" s="49"/>
      <c r="F874" s="503"/>
      <c r="G874" s="503"/>
      <c r="H874" s="503"/>
    </row>
    <row r="875" spans="4:8" ht="17.25">
      <c r="D875" s="61"/>
      <c r="E875" s="49"/>
      <c r="F875" s="503"/>
      <c r="G875" s="503"/>
      <c r="H875" s="503"/>
    </row>
    <row r="876" spans="4:8" ht="17.25">
      <c r="D876" s="61"/>
      <c r="E876" s="49"/>
      <c r="F876" s="503"/>
      <c r="G876" s="503"/>
      <c r="H876" s="503"/>
    </row>
    <row r="877" spans="4:8" ht="17.25">
      <c r="D877" s="61"/>
      <c r="E877" s="49"/>
      <c r="F877" s="503"/>
      <c r="G877" s="503"/>
      <c r="H877" s="503"/>
    </row>
    <row r="878" spans="4:8" ht="17.25">
      <c r="D878" s="61"/>
      <c r="E878" s="49"/>
      <c r="F878" s="503"/>
      <c r="G878" s="503"/>
      <c r="H878" s="503"/>
    </row>
    <row r="879" spans="4:8" ht="17.25">
      <c r="D879" s="61"/>
      <c r="E879" s="49"/>
      <c r="F879" s="503"/>
      <c r="G879" s="503"/>
      <c r="H879" s="503"/>
    </row>
    <row r="880" spans="4:8" ht="17.25">
      <c r="D880" s="61"/>
      <c r="E880" s="49"/>
      <c r="F880" s="503"/>
      <c r="G880" s="503"/>
      <c r="H880" s="503"/>
    </row>
    <row r="881" spans="4:8" ht="17.25">
      <c r="D881" s="61"/>
      <c r="E881" s="49"/>
      <c r="F881" s="503"/>
      <c r="G881" s="503"/>
      <c r="H881" s="503"/>
    </row>
    <row r="882" spans="4:8" ht="17.25">
      <c r="D882" s="61"/>
      <c r="E882" s="49"/>
      <c r="F882" s="503"/>
      <c r="G882" s="503"/>
      <c r="H882" s="503"/>
    </row>
    <row r="883" spans="4:8" ht="17.25">
      <c r="D883" s="61"/>
      <c r="E883" s="49"/>
      <c r="F883" s="503"/>
      <c r="G883" s="503"/>
      <c r="H883" s="503"/>
    </row>
    <row r="884" spans="4:8" ht="17.25">
      <c r="D884" s="61"/>
      <c r="E884" s="49"/>
      <c r="F884" s="503"/>
      <c r="G884" s="503"/>
      <c r="H884" s="503"/>
    </row>
    <row r="885" spans="4:8" ht="17.25">
      <c r="D885" s="61"/>
      <c r="E885" s="49"/>
      <c r="F885" s="503"/>
      <c r="G885" s="503"/>
      <c r="H885" s="503"/>
    </row>
    <row r="886" spans="4:8" ht="17.25">
      <c r="D886" s="61"/>
      <c r="E886" s="49"/>
      <c r="F886" s="503"/>
      <c r="G886" s="503"/>
      <c r="H886" s="503"/>
    </row>
    <row r="887" spans="4:8" ht="17.25">
      <c r="D887" s="61"/>
      <c r="E887" s="49"/>
      <c r="F887" s="503"/>
      <c r="G887" s="503"/>
      <c r="H887" s="503"/>
    </row>
    <row r="888" spans="4:8" ht="17.25">
      <c r="D888" s="61"/>
      <c r="E888" s="49"/>
      <c r="F888" s="503"/>
      <c r="G888" s="503"/>
      <c r="H888" s="503"/>
    </row>
    <row r="889" spans="4:8" ht="17.25">
      <c r="D889" s="61"/>
      <c r="E889" s="49"/>
      <c r="F889" s="503"/>
      <c r="G889" s="503"/>
      <c r="H889" s="503"/>
    </row>
    <row r="890" spans="4:8" ht="17.25">
      <c r="D890" s="61"/>
      <c r="E890" s="49"/>
      <c r="F890" s="503"/>
      <c r="G890" s="503"/>
      <c r="H890" s="503"/>
    </row>
    <row r="891" spans="4:8" ht="17.25">
      <c r="D891" s="61"/>
      <c r="E891" s="49"/>
      <c r="F891" s="503"/>
      <c r="G891" s="503"/>
      <c r="H891" s="503"/>
    </row>
    <row r="892" spans="4:8" ht="17.25">
      <c r="D892" s="61"/>
      <c r="E892" s="49"/>
      <c r="F892" s="503"/>
      <c r="G892" s="503"/>
      <c r="H892" s="503"/>
    </row>
    <row r="893" spans="4:8" ht="17.25">
      <c r="D893" s="61"/>
      <c r="E893" s="49"/>
      <c r="F893" s="503"/>
      <c r="G893" s="503"/>
      <c r="H893" s="503"/>
    </row>
    <row r="894" spans="4:8" ht="17.25">
      <c r="D894" s="61"/>
      <c r="E894" s="49"/>
      <c r="F894" s="503"/>
      <c r="G894" s="503"/>
      <c r="H894" s="503"/>
    </row>
    <row r="895" spans="4:8" ht="17.25">
      <c r="D895" s="61"/>
      <c r="E895" s="49"/>
      <c r="F895" s="503"/>
      <c r="G895" s="503"/>
      <c r="H895" s="503"/>
    </row>
    <row r="896" spans="4:8" ht="17.25">
      <c r="D896" s="61"/>
      <c r="E896" s="49"/>
      <c r="F896" s="503"/>
      <c r="G896" s="503"/>
      <c r="H896" s="503"/>
    </row>
    <row r="897" spans="4:8" ht="17.25">
      <c r="D897" s="61"/>
      <c r="E897" s="49"/>
      <c r="F897" s="503"/>
      <c r="G897" s="503"/>
      <c r="H897" s="503"/>
    </row>
    <row r="898" spans="4:8" ht="17.25">
      <c r="D898" s="61"/>
      <c r="E898" s="49"/>
      <c r="F898" s="503"/>
      <c r="G898" s="503"/>
      <c r="H898" s="503"/>
    </row>
    <row r="899" spans="4:8" ht="17.25">
      <c r="D899" s="61"/>
      <c r="E899" s="49"/>
      <c r="F899" s="503"/>
      <c r="G899" s="503"/>
      <c r="H899" s="503"/>
    </row>
    <row r="900" spans="4:8" ht="17.25">
      <c r="D900" s="61"/>
      <c r="E900" s="49"/>
      <c r="F900" s="503"/>
      <c r="G900" s="503"/>
      <c r="H900" s="503"/>
    </row>
    <row r="901" spans="4:8" ht="17.25">
      <c r="D901" s="61"/>
      <c r="E901" s="49"/>
      <c r="F901" s="503"/>
      <c r="G901" s="503"/>
      <c r="H901" s="503"/>
    </row>
    <row r="902" spans="4:8" ht="17.25">
      <c r="D902" s="61"/>
      <c r="E902" s="49"/>
      <c r="F902" s="503"/>
      <c r="G902" s="503"/>
      <c r="H902" s="503"/>
    </row>
    <row r="903" spans="4:8" ht="17.25">
      <c r="D903" s="61"/>
      <c r="E903" s="49"/>
      <c r="F903" s="503"/>
      <c r="G903" s="503"/>
      <c r="H903" s="503"/>
    </row>
    <row r="904" spans="4:8" ht="17.25">
      <c r="D904" s="61"/>
      <c r="E904" s="49"/>
      <c r="F904" s="503"/>
      <c r="G904" s="503"/>
      <c r="H904" s="503"/>
    </row>
    <row r="905" spans="4:8" ht="17.25">
      <c r="D905" s="61"/>
      <c r="E905" s="49"/>
      <c r="F905" s="503"/>
      <c r="G905" s="503"/>
      <c r="H905" s="503"/>
    </row>
    <row r="906" spans="4:8" ht="17.25">
      <c r="D906" s="61"/>
      <c r="E906" s="49"/>
      <c r="F906" s="503"/>
      <c r="G906" s="503"/>
      <c r="H906" s="503"/>
    </row>
    <row r="907" spans="4:8" ht="17.25">
      <c r="D907" s="61"/>
      <c r="E907" s="49"/>
      <c r="F907" s="503"/>
      <c r="G907" s="503"/>
      <c r="H907" s="503"/>
    </row>
    <row r="908" spans="4:8" ht="17.25">
      <c r="D908" s="61"/>
      <c r="E908" s="49"/>
      <c r="F908" s="503"/>
      <c r="G908" s="503"/>
      <c r="H908" s="503"/>
    </row>
    <row r="909" spans="4:8" ht="17.25">
      <c r="D909" s="61"/>
      <c r="E909" s="49"/>
      <c r="F909" s="503"/>
      <c r="G909" s="503"/>
      <c r="H909" s="503"/>
    </row>
    <row r="910" spans="4:8" ht="17.25">
      <c r="D910" s="61"/>
      <c r="E910" s="49"/>
      <c r="F910" s="503"/>
      <c r="G910" s="503"/>
      <c r="H910" s="503"/>
    </row>
    <row r="911" spans="4:8" ht="17.25">
      <c r="D911" s="61"/>
      <c r="E911" s="49"/>
      <c r="F911" s="503"/>
      <c r="G911" s="503"/>
      <c r="H911" s="503"/>
    </row>
    <row r="912" spans="4:8" ht="17.25">
      <c r="D912" s="61"/>
      <c r="E912" s="49"/>
      <c r="F912" s="503"/>
      <c r="G912" s="503"/>
      <c r="H912" s="503"/>
    </row>
    <row r="913" spans="4:8" ht="17.25">
      <c r="D913" s="61"/>
      <c r="E913" s="49"/>
      <c r="F913" s="503"/>
      <c r="G913" s="503"/>
      <c r="H913" s="503"/>
    </row>
    <row r="914" spans="6:8" ht="17.25">
      <c r="F914" s="495"/>
      <c r="H914" s="495"/>
    </row>
    <row r="915" spans="6:8" ht="17.25">
      <c r="F915" s="495"/>
      <c r="H915" s="495"/>
    </row>
    <row r="916" spans="6:8" ht="17.25">
      <c r="F916" s="495"/>
      <c r="H916" s="495"/>
    </row>
    <row r="917" spans="6:8" ht="17.25">
      <c r="F917" s="495"/>
      <c r="H917" s="495"/>
    </row>
    <row r="918" spans="6:8" ht="17.25">
      <c r="F918" s="495"/>
      <c r="H918" s="495"/>
    </row>
    <row r="919" spans="6:8" ht="17.25">
      <c r="F919" s="495"/>
      <c r="H919" s="495"/>
    </row>
    <row r="920" spans="6:8" ht="17.25">
      <c r="F920" s="495"/>
      <c r="H920" s="495"/>
    </row>
    <row r="921" spans="6:8" ht="17.25">
      <c r="F921" s="495"/>
      <c r="H921" s="495"/>
    </row>
    <row r="922" spans="6:8" ht="17.25">
      <c r="F922" s="495"/>
      <c r="H922" s="495"/>
    </row>
    <row r="923" spans="6:8" ht="17.25">
      <c r="F923" s="495"/>
      <c r="H923" s="495"/>
    </row>
  </sheetData>
  <sheetProtection/>
  <mergeCells count="18">
    <mergeCell ref="B2:N2"/>
    <mergeCell ref="B791:E791"/>
    <mergeCell ref="B792:E792"/>
    <mergeCell ref="B1:D1"/>
    <mergeCell ref="B5:B6"/>
    <mergeCell ref="D5:D6"/>
    <mergeCell ref="H1:I1"/>
    <mergeCell ref="I5:I6"/>
    <mergeCell ref="C5:C6"/>
    <mergeCell ref="F5:F6"/>
    <mergeCell ref="B793:E793"/>
    <mergeCell ref="B794:E794"/>
    <mergeCell ref="M3:N3"/>
    <mergeCell ref="J5:N5"/>
    <mergeCell ref="G5:G6"/>
    <mergeCell ref="H5:H6"/>
    <mergeCell ref="E5:E6"/>
    <mergeCell ref="D647:G64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91"/>
  <sheetViews>
    <sheetView view="pageBreakPreview" zoomScale="90" zoomScaleSheetLayoutView="90" zoomScalePageLayoutView="0" workbookViewId="0" topLeftCell="A1227">
      <selection activeCell="D1466" sqref="D1466"/>
    </sheetView>
  </sheetViews>
  <sheetFormatPr defaultColWidth="9.125" defaultRowHeight="12.75"/>
  <cols>
    <col min="1" max="1" width="3.625" style="1461" customWidth="1"/>
    <col min="2" max="2" width="4.75390625" style="212" customWidth="1"/>
    <col min="3" max="3" width="4.75390625" style="211" customWidth="1"/>
    <col min="4" max="4" width="48.625" style="749" customWidth="1"/>
    <col min="5" max="5" width="5.75390625" style="213" customWidth="1"/>
    <col min="6" max="10" width="10.75390625" style="669" customWidth="1"/>
    <col min="11" max="11" width="12.375" style="669" customWidth="1"/>
    <col min="12" max="12" width="10.75390625" style="768" bestFit="1" customWidth="1"/>
    <col min="13" max="13" width="10.75390625" style="669" customWidth="1"/>
    <col min="14" max="14" width="14.00390625" style="725" hidden="1" customWidth="1"/>
    <col min="15" max="15" width="14.00390625" style="725" customWidth="1"/>
    <col min="16" max="17" width="9.125" style="725" customWidth="1"/>
    <col min="18" max="16384" width="9.125" style="725" customWidth="1"/>
  </cols>
  <sheetData>
    <row r="1" spans="1:13" ht="15">
      <c r="A1" s="1460"/>
      <c r="B1" s="1729" t="s">
        <v>782</v>
      </c>
      <c r="C1" s="1729"/>
      <c r="D1" s="1729"/>
      <c r="E1" s="211"/>
      <c r="L1" s="747"/>
      <c r="M1" s="748"/>
    </row>
    <row r="2" spans="2:13" ht="15">
      <c r="B2" s="1738" t="s">
        <v>460</v>
      </c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</row>
    <row r="3" spans="2:13" ht="15">
      <c r="B3" s="1738" t="s">
        <v>1064</v>
      </c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738"/>
    </row>
    <row r="4" spans="12:13" ht="15">
      <c r="L4" s="748"/>
      <c r="M4" s="750" t="s">
        <v>135</v>
      </c>
    </row>
    <row r="5" spans="1:13" s="211" customFormat="1" ht="15.75" thickBot="1">
      <c r="A5" s="1461"/>
      <c r="B5" s="809" t="s">
        <v>146</v>
      </c>
      <c r="C5" s="214" t="s">
        <v>147</v>
      </c>
      <c r="D5" s="214" t="s">
        <v>148</v>
      </c>
      <c r="E5" s="214"/>
      <c r="F5" s="214" t="s">
        <v>149</v>
      </c>
      <c r="G5" s="214" t="s">
        <v>150</v>
      </c>
      <c r="H5" s="214" t="s">
        <v>151</v>
      </c>
      <c r="I5" s="751" t="s">
        <v>152</v>
      </c>
      <c r="J5" s="214" t="s">
        <v>911</v>
      </c>
      <c r="K5" s="214" t="s">
        <v>912</v>
      </c>
      <c r="L5" s="214" t="s">
        <v>858</v>
      </c>
      <c r="M5" s="214" t="s">
        <v>859</v>
      </c>
    </row>
    <row r="6" spans="2:13" ht="30" customHeight="1">
      <c r="B6" s="1730" t="s">
        <v>790</v>
      </c>
      <c r="C6" s="1732" t="s">
        <v>418</v>
      </c>
      <c r="D6" s="1736" t="s">
        <v>136</v>
      </c>
      <c r="E6" s="1739" t="s">
        <v>800</v>
      </c>
      <c r="F6" s="1734" t="s">
        <v>293</v>
      </c>
      <c r="G6" s="1734" t="s">
        <v>210</v>
      </c>
      <c r="H6" s="1745" t="s">
        <v>38</v>
      </c>
      <c r="I6" s="1747" t="s">
        <v>891</v>
      </c>
      <c r="J6" s="1748"/>
      <c r="K6" s="1734" t="s">
        <v>809</v>
      </c>
      <c r="L6" s="1743" t="s">
        <v>153</v>
      </c>
      <c r="M6" s="1741" t="s">
        <v>294</v>
      </c>
    </row>
    <row r="7" spans="2:13" ht="45" customHeight="1" thickBot="1">
      <c r="B7" s="1731"/>
      <c r="C7" s="1733"/>
      <c r="D7" s="1737"/>
      <c r="E7" s="1740"/>
      <c r="F7" s="1735"/>
      <c r="G7" s="1735"/>
      <c r="H7" s="1746"/>
      <c r="I7" s="604" t="s">
        <v>119</v>
      </c>
      <c r="J7" s="143" t="s">
        <v>461</v>
      </c>
      <c r="K7" s="1735"/>
      <c r="L7" s="1744"/>
      <c r="M7" s="1742"/>
    </row>
    <row r="8" spans="1:13" ht="15">
      <c r="A8" s="1461">
        <v>1</v>
      </c>
      <c r="B8" s="810">
        <v>18</v>
      </c>
      <c r="C8" s="1462"/>
      <c r="D8" s="551" t="s">
        <v>877</v>
      </c>
      <c r="E8" s="781"/>
      <c r="F8" s="552"/>
      <c r="G8" s="552"/>
      <c r="H8" s="606"/>
      <c r="I8" s="605"/>
      <c r="J8" s="552"/>
      <c r="K8" s="552"/>
      <c r="L8" s="606"/>
      <c r="M8" s="585"/>
    </row>
    <row r="9" spans="1:13" ht="30">
      <c r="A9" s="1461">
        <v>2</v>
      </c>
      <c r="B9" s="566"/>
      <c r="C9" s="1463">
        <v>1</v>
      </c>
      <c r="D9" s="1374" t="s">
        <v>462</v>
      </c>
      <c r="E9" s="782" t="s">
        <v>799</v>
      </c>
      <c r="F9" s="557">
        <f>SUM(I13,H9)+M10</f>
        <v>494110</v>
      </c>
      <c r="G9" s="557">
        <v>0</v>
      </c>
      <c r="H9" s="791">
        <v>0</v>
      </c>
      <c r="I9" s="607"/>
      <c r="J9" s="538"/>
      <c r="K9" s="538"/>
      <c r="L9" s="608"/>
      <c r="M9" s="586"/>
    </row>
    <row r="10" spans="1:13" ht="15">
      <c r="A10" s="1461">
        <v>3</v>
      </c>
      <c r="B10" s="811"/>
      <c r="C10" s="545"/>
      <c r="D10" s="539" t="s">
        <v>403</v>
      </c>
      <c r="E10" s="782"/>
      <c r="F10" s="553"/>
      <c r="G10" s="553"/>
      <c r="H10" s="792"/>
      <c r="I10" s="607">
        <v>561500</v>
      </c>
      <c r="J10" s="538"/>
      <c r="K10" s="538"/>
      <c r="L10" s="609">
        <f>SUM(I10:K10)</f>
        <v>561500</v>
      </c>
      <c r="M10" s="586"/>
    </row>
    <row r="11" spans="1:13" ht="15">
      <c r="A11" s="1461">
        <v>4</v>
      </c>
      <c r="B11" s="811"/>
      <c r="C11" s="545"/>
      <c r="D11" s="539" t="s">
        <v>957</v>
      </c>
      <c r="E11" s="782"/>
      <c r="F11" s="553"/>
      <c r="G11" s="553"/>
      <c r="H11" s="792"/>
      <c r="I11" s="607">
        <v>561500</v>
      </c>
      <c r="J11" s="538"/>
      <c r="K11" s="538"/>
      <c r="L11" s="609">
        <f>SUM(I11:K11)</f>
        <v>561500</v>
      </c>
      <c r="M11" s="586"/>
    </row>
    <row r="12" spans="1:13" s="753" customFormat="1" ht="15">
      <c r="A12" s="1461">
        <v>5</v>
      </c>
      <c r="B12" s="812"/>
      <c r="C12" s="1464"/>
      <c r="D12" s="541" t="s">
        <v>1080</v>
      </c>
      <c r="E12" s="782"/>
      <c r="F12" s="554"/>
      <c r="G12" s="554"/>
      <c r="H12" s="793"/>
      <c r="I12" s="610">
        <v>-67390</v>
      </c>
      <c r="J12" s="555"/>
      <c r="K12" s="555"/>
      <c r="L12" s="611">
        <f>SUM(I12:K12)</f>
        <v>-67390</v>
      </c>
      <c r="M12" s="587"/>
    </row>
    <row r="13" spans="1:13" s="754" customFormat="1" ht="15">
      <c r="A13" s="1461">
        <v>6</v>
      </c>
      <c r="B13" s="577"/>
      <c r="C13" s="1465"/>
      <c r="D13" s="542" t="s">
        <v>1067</v>
      </c>
      <c r="E13" s="557"/>
      <c r="F13" s="556"/>
      <c r="G13" s="556"/>
      <c r="H13" s="697"/>
      <c r="I13" s="612">
        <f>SUM(I11:I12)</f>
        <v>494110</v>
      </c>
      <c r="J13" s="556">
        <f>SUM(J11:J12)</f>
        <v>0</v>
      </c>
      <c r="K13" s="556">
        <f>SUM(K11:K12)</f>
        <v>0</v>
      </c>
      <c r="L13" s="608">
        <f>SUM(I13:K13)</f>
        <v>494110</v>
      </c>
      <c r="M13" s="588">
        <f>SUM(M10:M12)</f>
        <v>0</v>
      </c>
    </row>
    <row r="14" spans="1:13" ht="45">
      <c r="A14" s="1461">
        <v>7</v>
      </c>
      <c r="B14" s="566"/>
      <c r="C14" s="1466">
        <v>2</v>
      </c>
      <c r="D14" s="557" t="s">
        <v>466</v>
      </c>
      <c r="E14" s="779" t="s">
        <v>799</v>
      </c>
      <c r="F14" s="557">
        <f>SUM(I18,H14)+M15</f>
        <v>752956</v>
      </c>
      <c r="G14" s="557">
        <v>0</v>
      </c>
      <c r="H14" s="791">
        <v>52196</v>
      </c>
      <c r="I14" s="607"/>
      <c r="J14" s="538"/>
      <c r="K14" s="538"/>
      <c r="L14" s="608"/>
      <c r="M14" s="586"/>
    </row>
    <row r="15" spans="1:13" ht="15">
      <c r="A15" s="1461">
        <v>8</v>
      </c>
      <c r="B15" s="811"/>
      <c r="C15" s="545"/>
      <c r="D15" s="539" t="s">
        <v>403</v>
      </c>
      <c r="E15" s="779"/>
      <c r="F15" s="558"/>
      <c r="G15" s="559"/>
      <c r="H15" s="794"/>
      <c r="I15" s="607">
        <v>515206</v>
      </c>
      <c r="J15" s="538"/>
      <c r="K15" s="538"/>
      <c r="L15" s="609">
        <f>SUM(I15:K15)</f>
        <v>515206</v>
      </c>
      <c r="M15" s="589">
        <v>164426</v>
      </c>
    </row>
    <row r="16" spans="1:13" ht="15">
      <c r="A16" s="1461">
        <v>9</v>
      </c>
      <c r="B16" s="811"/>
      <c r="C16" s="545"/>
      <c r="D16" s="539" t="s">
        <v>957</v>
      </c>
      <c r="E16" s="779"/>
      <c r="F16" s="558"/>
      <c r="G16" s="559"/>
      <c r="H16" s="794"/>
      <c r="I16" s="607">
        <v>536334</v>
      </c>
      <c r="J16" s="538"/>
      <c r="K16" s="538"/>
      <c r="L16" s="609">
        <f>SUM(I16:K16)</f>
        <v>536334</v>
      </c>
      <c r="M16" s="589"/>
    </row>
    <row r="17" spans="1:13" ht="15">
      <c r="A17" s="1461">
        <v>10</v>
      </c>
      <c r="B17" s="811"/>
      <c r="C17" s="545"/>
      <c r="D17" s="541" t="s">
        <v>405</v>
      </c>
      <c r="E17" s="779"/>
      <c r="F17" s="558"/>
      <c r="G17" s="559"/>
      <c r="H17" s="794"/>
      <c r="I17" s="610"/>
      <c r="J17" s="538"/>
      <c r="K17" s="538"/>
      <c r="L17" s="611">
        <f>SUM(I17:K17)</f>
        <v>0</v>
      </c>
      <c r="M17" s="589"/>
    </row>
    <row r="18" spans="1:13" ht="15">
      <c r="A18" s="1461">
        <v>11</v>
      </c>
      <c r="B18" s="811"/>
      <c r="C18" s="545"/>
      <c r="D18" s="542" t="s">
        <v>1067</v>
      </c>
      <c r="E18" s="557"/>
      <c r="F18" s="565"/>
      <c r="G18" s="565"/>
      <c r="H18" s="795"/>
      <c r="I18" s="613">
        <f>SUM(I16:I17)</f>
        <v>536334</v>
      </c>
      <c r="J18" s="565">
        <f>SUM(J16:J17)</f>
        <v>0</v>
      </c>
      <c r="K18" s="565">
        <f>SUM(K16:K17)</f>
        <v>0</v>
      </c>
      <c r="L18" s="608">
        <f>SUM(I18:K18)</f>
        <v>536334</v>
      </c>
      <c r="M18" s="590">
        <v>164426</v>
      </c>
    </row>
    <row r="19" spans="1:13" ht="45">
      <c r="A19" s="1461">
        <v>12</v>
      </c>
      <c r="B19" s="566"/>
      <c r="C19" s="1463">
        <v>3</v>
      </c>
      <c r="D19" s="1374" t="s">
        <v>467</v>
      </c>
      <c r="E19" s="782" t="s">
        <v>799</v>
      </c>
      <c r="F19" s="557">
        <f>SUM(I23,H19,G19)</f>
        <v>509940</v>
      </c>
      <c r="G19" s="557">
        <v>61553</v>
      </c>
      <c r="H19" s="791">
        <v>2423</v>
      </c>
      <c r="I19" s="607"/>
      <c r="J19" s="538"/>
      <c r="K19" s="538"/>
      <c r="L19" s="608"/>
      <c r="M19" s="586"/>
    </row>
    <row r="20" spans="1:13" ht="15">
      <c r="A20" s="1461">
        <v>13</v>
      </c>
      <c r="B20" s="811"/>
      <c r="C20" s="545"/>
      <c r="D20" s="539" t="s">
        <v>403</v>
      </c>
      <c r="E20" s="782"/>
      <c r="F20" s="553"/>
      <c r="G20" s="553"/>
      <c r="H20" s="792"/>
      <c r="I20" s="607">
        <v>262461</v>
      </c>
      <c r="J20" s="538"/>
      <c r="K20" s="538"/>
      <c r="L20" s="609">
        <f>SUM(I20:K20)</f>
        <v>262461</v>
      </c>
      <c r="M20" s="591"/>
    </row>
    <row r="21" spans="1:13" ht="15">
      <c r="A21" s="1461">
        <v>14</v>
      </c>
      <c r="B21" s="811"/>
      <c r="C21" s="545"/>
      <c r="D21" s="539" t="s">
        <v>957</v>
      </c>
      <c r="E21" s="782"/>
      <c r="F21" s="553"/>
      <c r="G21" s="553"/>
      <c r="H21" s="792"/>
      <c r="I21" s="607">
        <v>445964</v>
      </c>
      <c r="J21" s="538"/>
      <c r="K21" s="538"/>
      <c r="L21" s="609">
        <f>SUM(I21:K21)</f>
        <v>445964</v>
      </c>
      <c r="M21" s="591"/>
    </row>
    <row r="22" spans="1:13" ht="15">
      <c r="A22" s="1461">
        <v>15</v>
      </c>
      <c r="B22" s="811"/>
      <c r="C22" s="545"/>
      <c r="D22" s="541" t="s">
        <v>405</v>
      </c>
      <c r="E22" s="782"/>
      <c r="F22" s="553"/>
      <c r="G22" s="553"/>
      <c r="H22" s="792"/>
      <c r="I22" s="610"/>
      <c r="J22" s="538"/>
      <c r="K22" s="538"/>
      <c r="L22" s="611">
        <f>SUM(I22:K22)</f>
        <v>0</v>
      </c>
      <c r="M22" s="591"/>
    </row>
    <row r="23" spans="1:13" ht="15">
      <c r="A23" s="1461">
        <v>16</v>
      </c>
      <c r="B23" s="811"/>
      <c r="C23" s="545"/>
      <c r="D23" s="542" t="s">
        <v>1067</v>
      </c>
      <c r="E23" s="557"/>
      <c r="F23" s="556"/>
      <c r="G23" s="556"/>
      <c r="H23" s="697"/>
      <c r="I23" s="612">
        <f>SUM(I21:I22)</f>
        <v>445964</v>
      </c>
      <c r="J23" s="556">
        <f>SUM(J21:J22)</f>
        <v>0</v>
      </c>
      <c r="K23" s="556">
        <f>SUM(K21:K22)</f>
        <v>0</v>
      </c>
      <c r="L23" s="608">
        <f>SUM(I23:K23)</f>
        <v>445964</v>
      </c>
      <c r="M23" s="588">
        <f>SUM(M20:M22)</f>
        <v>0</v>
      </c>
    </row>
    <row r="24" spans="1:13" ht="30">
      <c r="A24" s="1461">
        <v>17</v>
      </c>
      <c r="B24" s="566"/>
      <c r="C24" s="1463">
        <v>4</v>
      </c>
      <c r="D24" s="1374" t="s">
        <v>468</v>
      </c>
      <c r="E24" s="782" t="s">
        <v>799</v>
      </c>
      <c r="F24" s="557">
        <f>SUM(I28,H24,G24)+M28</f>
        <v>22900</v>
      </c>
      <c r="G24" s="557">
        <v>14436</v>
      </c>
      <c r="H24" s="791">
        <v>8464</v>
      </c>
      <c r="I24" s="607"/>
      <c r="J24" s="538"/>
      <c r="K24" s="538"/>
      <c r="L24" s="608"/>
      <c r="M24" s="586"/>
    </row>
    <row r="25" spans="1:13" ht="15">
      <c r="A25" s="1461">
        <v>18</v>
      </c>
      <c r="B25" s="811"/>
      <c r="C25" s="545"/>
      <c r="D25" s="539" t="s">
        <v>403</v>
      </c>
      <c r="E25" s="782"/>
      <c r="F25" s="796"/>
      <c r="G25" s="796"/>
      <c r="H25" s="797"/>
      <c r="I25" s="607">
        <v>63149</v>
      </c>
      <c r="J25" s="538"/>
      <c r="K25" s="538"/>
      <c r="L25" s="609">
        <f>SUM(I25:K25)</f>
        <v>63149</v>
      </c>
      <c r="M25" s="591"/>
    </row>
    <row r="26" spans="1:13" ht="15">
      <c r="A26" s="1461">
        <v>19</v>
      </c>
      <c r="B26" s="811"/>
      <c r="C26" s="545"/>
      <c r="D26" s="539" t="s">
        <v>957</v>
      </c>
      <c r="E26" s="782"/>
      <c r="F26" s="796"/>
      <c r="G26" s="796"/>
      <c r="H26" s="797"/>
      <c r="I26" s="607">
        <v>0</v>
      </c>
      <c r="J26" s="538"/>
      <c r="K26" s="538"/>
      <c r="L26" s="609">
        <f>SUM(I26:K26)</f>
        <v>0</v>
      </c>
      <c r="M26" s="591"/>
    </row>
    <row r="27" spans="1:13" ht="15">
      <c r="A27" s="1461">
        <v>20</v>
      </c>
      <c r="B27" s="811"/>
      <c r="C27" s="545"/>
      <c r="D27" s="541" t="s">
        <v>1068</v>
      </c>
      <c r="E27" s="782"/>
      <c r="F27" s="553"/>
      <c r="G27" s="553"/>
      <c r="H27" s="792"/>
      <c r="I27" s="610"/>
      <c r="J27" s="538"/>
      <c r="K27" s="538"/>
      <c r="L27" s="611">
        <f>SUM(I27:K27)</f>
        <v>0</v>
      </c>
      <c r="M27" s="591"/>
    </row>
    <row r="28" spans="1:13" ht="15">
      <c r="A28" s="1461">
        <v>21</v>
      </c>
      <c r="B28" s="811"/>
      <c r="C28" s="545"/>
      <c r="D28" s="542" t="s">
        <v>1067</v>
      </c>
      <c r="E28" s="557"/>
      <c r="F28" s="556"/>
      <c r="G28" s="556"/>
      <c r="H28" s="697"/>
      <c r="I28" s="612">
        <f>SUM(I26:I27)</f>
        <v>0</v>
      </c>
      <c r="J28" s="556">
        <f>SUM(J26:J27)</f>
        <v>0</v>
      </c>
      <c r="K28" s="556">
        <f>SUM(K26:K27)</f>
        <v>0</v>
      </c>
      <c r="L28" s="608">
        <f>SUM(I28:K28)</f>
        <v>0</v>
      </c>
      <c r="M28" s="588">
        <f>SUM(M25:M27)</f>
        <v>0</v>
      </c>
    </row>
    <row r="29" spans="1:13" ht="30">
      <c r="A29" s="1461">
        <v>22</v>
      </c>
      <c r="B29" s="566"/>
      <c r="C29" s="1463">
        <v>5</v>
      </c>
      <c r="D29" s="1374" t="s">
        <v>469</v>
      </c>
      <c r="E29" s="782" t="s">
        <v>799</v>
      </c>
      <c r="F29" s="557">
        <f>SUM(I33,H29,G29)+M33</f>
        <v>997865</v>
      </c>
      <c r="G29" s="557">
        <v>0</v>
      </c>
      <c r="H29" s="791">
        <v>77182</v>
      </c>
      <c r="I29" s="607"/>
      <c r="J29" s="538"/>
      <c r="K29" s="538"/>
      <c r="L29" s="608"/>
      <c r="M29" s="586"/>
    </row>
    <row r="30" spans="1:13" ht="15">
      <c r="A30" s="1461">
        <v>23</v>
      </c>
      <c r="B30" s="811"/>
      <c r="C30" s="545"/>
      <c r="D30" s="539" t="s">
        <v>403</v>
      </c>
      <c r="E30" s="782"/>
      <c r="F30" s="561"/>
      <c r="G30" s="561"/>
      <c r="H30" s="798"/>
      <c r="I30" s="607">
        <v>609461</v>
      </c>
      <c r="J30" s="538"/>
      <c r="K30" s="538"/>
      <c r="L30" s="609">
        <f>SUM(I30:K30)</f>
        <v>609461</v>
      </c>
      <c r="M30" s="589">
        <v>232425</v>
      </c>
    </row>
    <row r="31" spans="1:13" ht="15">
      <c r="A31" s="1461">
        <v>24</v>
      </c>
      <c r="B31" s="811"/>
      <c r="C31" s="545"/>
      <c r="D31" s="539" t="s">
        <v>957</v>
      </c>
      <c r="E31" s="782"/>
      <c r="F31" s="561"/>
      <c r="G31" s="561"/>
      <c r="H31" s="798"/>
      <c r="I31" s="607">
        <v>688258</v>
      </c>
      <c r="J31" s="538"/>
      <c r="K31" s="538"/>
      <c r="L31" s="609">
        <f>SUM(I31:K31)</f>
        <v>688258</v>
      </c>
      <c r="M31" s="589"/>
    </row>
    <row r="32" spans="1:13" ht="15">
      <c r="A32" s="1461">
        <v>25</v>
      </c>
      <c r="B32" s="811"/>
      <c r="C32" s="545"/>
      <c r="D32" s="541" t="s">
        <v>405</v>
      </c>
      <c r="E32" s="782"/>
      <c r="F32" s="561"/>
      <c r="G32" s="561"/>
      <c r="H32" s="798"/>
      <c r="I32" s="610"/>
      <c r="J32" s="538"/>
      <c r="K32" s="538"/>
      <c r="L32" s="611">
        <f>SUM(I32:K32)</f>
        <v>0</v>
      </c>
      <c r="M32" s="589"/>
    </row>
    <row r="33" spans="1:13" ht="15">
      <c r="A33" s="1461">
        <v>26</v>
      </c>
      <c r="B33" s="811"/>
      <c r="C33" s="545"/>
      <c r="D33" s="542" t="s">
        <v>1067</v>
      </c>
      <c r="E33" s="557"/>
      <c r="F33" s="569"/>
      <c r="G33" s="569"/>
      <c r="H33" s="799"/>
      <c r="I33" s="614">
        <f>SUM(I31:I32)</f>
        <v>688258</v>
      </c>
      <c r="J33" s="569">
        <f>SUM(J31:J32)</f>
        <v>0</v>
      </c>
      <c r="K33" s="569">
        <f>SUM(K31:K32)</f>
        <v>0</v>
      </c>
      <c r="L33" s="608">
        <f>SUM(I33:K33)</f>
        <v>688258</v>
      </c>
      <c r="M33" s="592">
        <f>SUM(M30:M32)</f>
        <v>232425</v>
      </c>
    </row>
    <row r="34" spans="1:13" ht="45">
      <c r="A34" s="1461">
        <v>27</v>
      </c>
      <c r="B34" s="566"/>
      <c r="C34" s="1466">
        <v>6</v>
      </c>
      <c r="D34" s="557" t="s">
        <v>470</v>
      </c>
      <c r="E34" s="782" t="s">
        <v>799</v>
      </c>
      <c r="F34" s="562">
        <f>SUM(I38,H34,G34)+M38</f>
        <v>517229</v>
      </c>
      <c r="G34" s="562">
        <v>20345</v>
      </c>
      <c r="H34" s="794">
        <v>0</v>
      </c>
      <c r="I34" s="607"/>
      <c r="J34" s="538"/>
      <c r="K34" s="538"/>
      <c r="L34" s="608"/>
      <c r="M34" s="586"/>
    </row>
    <row r="35" spans="1:13" ht="15">
      <c r="A35" s="1461">
        <v>28</v>
      </c>
      <c r="B35" s="811"/>
      <c r="C35" s="545"/>
      <c r="D35" s="539" t="s">
        <v>403</v>
      </c>
      <c r="E35" s="782"/>
      <c r="F35" s="796"/>
      <c r="G35" s="796"/>
      <c r="H35" s="797"/>
      <c r="I35" s="607">
        <v>231875</v>
      </c>
      <c r="J35" s="538"/>
      <c r="K35" s="538"/>
      <c r="L35" s="609">
        <f>SUM(I35:K35)</f>
        <v>231875</v>
      </c>
      <c r="M35" s="589"/>
    </row>
    <row r="36" spans="1:13" ht="15">
      <c r="A36" s="1461">
        <v>29</v>
      </c>
      <c r="B36" s="811"/>
      <c r="C36" s="545"/>
      <c r="D36" s="539" t="s">
        <v>957</v>
      </c>
      <c r="E36" s="782"/>
      <c r="F36" s="796"/>
      <c r="G36" s="796"/>
      <c r="H36" s="797"/>
      <c r="I36" s="607">
        <v>496884</v>
      </c>
      <c r="J36" s="538"/>
      <c r="K36" s="538"/>
      <c r="L36" s="609">
        <f>SUM(I36:K36)</f>
        <v>496884</v>
      </c>
      <c r="M36" s="589"/>
    </row>
    <row r="37" spans="1:13" ht="15">
      <c r="A37" s="1461">
        <v>30</v>
      </c>
      <c r="B37" s="811"/>
      <c r="C37" s="545"/>
      <c r="D37" s="541" t="s">
        <v>405</v>
      </c>
      <c r="E37" s="782"/>
      <c r="F37" s="562"/>
      <c r="G37" s="562"/>
      <c r="H37" s="794"/>
      <c r="I37" s="610"/>
      <c r="J37" s="538"/>
      <c r="K37" s="538"/>
      <c r="L37" s="611">
        <f>SUM(I37:K37)</f>
        <v>0</v>
      </c>
      <c r="M37" s="589"/>
    </row>
    <row r="38" spans="1:13" ht="15">
      <c r="A38" s="1461">
        <v>31</v>
      </c>
      <c r="B38" s="811"/>
      <c r="C38" s="545"/>
      <c r="D38" s="542" t="s">
        <v>1067</v>
      </c>
      <c r="E38" s="557"/>
      <c r="F38" s="568"/>
      <c r="G38" s="568"/>
      <c r="H38" s="746"/>
      <c r="I38" s="615">
        <f>SUM(I36:I37)</f>
        <v>496884</v>
      </c>
      <c r="J38" s="568">
        <f>SUM(J36:J37)</f>
        <v>0</v>
      </c>
      <c r="K38" s="568">
        <f>SUM(K36:K37)</f>
        <v>0</v>
      </c>
      <c r="L38" s="608">
        <f>SUM(I38:K38)</f>
        <v>496884</v>
      </c>
      <c r="M38" s="593">
        <f>SUM(M35:M37)</f>
        <v>0</v>
      </c>
    </row>
    <row r="39" spans="1:13" ht="30">
      <c r="A39" s="1461">
        <v>32</v>
      </c>
      <c r="B39" s="566"/>
      <c r="C39" s="1463">
        <v>7</v>
      </c>
      <c r="D39" s="1374" t="s">
        <v>776</v>
      </c>
      <c r="E39" s="782" t="s">
        <v>799</v>
      </c>
      <c r="F39" s="557">
        <v>0</v>
      </c>
      <c r="G39" s="557">
        <v>0</v>
      </c>
      <c r="H39" s="791">
        <v>0</v>
      </c>
      <c r="I39" s="607"/>
      <c r="J39" s="538"/>
      <c r="K39" s="538"/>
      <c r="L39" s="608"/>
      <c r="M39" s="586"/>
    </row>
    <row r="40" spans="1:13" ht="15">
      <c r="A40" s="1461">
        <v>33</v>
      </c>
      <c r="B40" s="811"/>
      <c r="C40" s="545"/>
      <c r="D40" s="539" t="s">
        <v>403</v>
      </c>
      <c r="E40" s="782"/>
      <c r="F40" s="796"/>
      <c r="G40" s="796"/>
      <c r="H40" s="797"/>
      <c r="I40" s="607">
        <v>14738</v>
      </c>
      <c r="J40" s="538"/>
      <c r="K40" s="538"/>
      <c r="L40" s="609">
        <f>SUM(I40:K40)</f>
        <v>14738</v>
      </c>
      <c r="M40" s="591"/>
    </row>
    <row r="41" spans="1:13" ht="15">
      <c r="A41" s="1461">
        <v>34</v>
      </c>
      <c r="B41" s="811"/>
      <c r="C41" s="545"/>
      <c r="D41" s="539" t="s">
        <v>957</v>
      </c>
      <c r="E41" s="782"/>
      <c r="F41" s="796"/>
      <c r="G41" s="796"/>
      <c r="H41" s="797"/>
      <c r="I41" s="607">
        <v>0</v>
      </c>
      <c r="J41" s="538"/>
      <c r="K41" s="538"/>
      <c r="L41" s="609">
        <f>SUM(I41:K41)</f>
        <v>0</v>
      </c>
      <c r="M41" s="591"/>
    </row>
    <row r="42" spans="1:13" s="753" customFormat="1" ht="15">
      <c r="A42" s="1461">
        <v>35</v>
      </c>
      <c r="B42" s="812"/>
      <c r="C42" s="1464"/>
      <c r="D42" s="541" t="s">
        <v>405</v>
      </c>
      <c r="E42" s="576"/>
      <c r="F42" s="567"/>
      <c r="G42" s="567"/>
      <c r="H42" s="745"/>
      <c r="I42" s="610"/>
      <c r="J42" s="555"/>
      <c r="K42" s="555"/>
      <c r="L42" s="611">
        <f>SUM(I42:K42)</f>
        <v>0</v>
      </c>
      <c r="M42" s="594"/>
    </row>
    <row r="43" spans="1:13" s="754" customFormat="1" ht="15">
      <c r="A43" s="1461">
        <v>36</v>
      </c>
      <c r="B43" s="577"/>
      <c r="C43" s="1465"/>
      <c r="D43" s="542" t="s">
        <v>1067</v>
      </c>
      <c r="E43" s="557"/>
      <c r="F43" s="568"/>
      <c r="G43" s="568"/>
      <c r="H43" s="746"/>
      <c r="I43" s="615">
        <f>SUM(I41:I42)</f>
        <v>0</v>
      </c>
      <c r="J43" s="568">
        <f>SUM(J41:J42)</f>
        <v>0</v>
      </c>
      <c r="K43" s="568">
        <f>SUM(K41:K42)</f>
        <v>0</v>
      </c>
      <c r="L43" s="608">
        <f>SUM(I43:K43)</f>
        <v>0</v>
      </c>
      <c r="M43" s="593">
        <f>SUM(M40:M42)</f>
        <v>0</v>
      </c>
    </row>
    <row r="44" spans="1:13" ht="30">
      <c r="A44" s="1461">
        <v>37</v>
      </c>
      <c r="B44" s="566"/>
      <c r="C44" s="1463">
        <v>8</v>
      </c>
      <c r="D44" s="1374" t="s">
        <v>575</v>
      </c>
      <c r="E44" s="782" t="s">
        <v>799</v>
      </c>
      <c r="F44" s="557">
        <v>32633</v>
      </c>
      <c r="G44" s="557">
        <v>0</v>
      </c>
      <c r="H44" s="791">
        <v>137</v>
      </c>
      <c r="I44" s="607"/>
      <c r="J44" s="538"/>
      <c r="K44" s="538"/>
      <c r="L44" s="608"/>
      <c r="M44" s="586"/>
    </row>
    <row r="45" spans="1:13" ht="15">
      <c r="A45" s="1461">
        <v>38</v>
      </c>
      <c r="B45" s="811"/>
      <c r="C45" s="545"/>
      <c r="D45" s="539" t="s">
        <v>957</v>
      </c>
      <c r="E45" s="782"/>
      <c r="F45" s="796"/>
      <c r="G45" s="796"/>
      <c r="H45" s="797"/>
      <c r="I45" s="607">
        <v>32496</v>
      </c>
      <c r="J45" s="538"/>
      <c r="K45" s="538"/>
      <c r="L45" s="609">
        <f>SUM(I45:K45)</f>
        <v>32496</v>
      </c>
      <c r="M45" s="591"/>
    </row>
    <row r="46" spans="1:13" s="753" customFormat="1" ht="15">
      <c r="A46" s="1461">
        <v>39</v>
      </c>
      <c r="B46" s="812"/>
      <c r="C46" s="1464"/>
      <c r="D46" s="541" t="s">
        <v>405</v>
      </c>
      <c r="E46" s="576"/>
      <c r="F46" s="567"/>
      <c r="G46" s="567"/>
      <c r="H46" s="745"/>
      <c r="I46" s="610"/>
      <c r="J46" s="555"/>
      <c r="K46" s="555"/>
      <c r="L46" s="611">
        <f>SUM(I46:K46)</f>
        <v>0</v>
      </c>
      <c r="M46" s="594"/>
    </row>
    <row r="47" spans="1:13" s="754" customFormat="1" ht="15">
      <c r="A47" s="1461">
        <v>40</v>
      </c>
      <c r="B47" s="577"/>
      <c r="C47" s="1465"/>
      <c r="D47" s="542" t="s">
        <v>1067</v>
      </c>
      <c r="E47" s="557"/>
      <c r="F47" s="568"/>
      <c r="G47" s="568"/>
      <c r="H47" s="746"/>
      <c r="I47" s="615">
        <f>SUM(I45:I46)</f>
        <v>32496</v>
      </c>
      <c r="J47" s="568">
        <f>SUM(J45:J46)</f>
        <v>0</v>
      </c>
      <c r="K47" s="568">
        <f>SUM(K45:K46)</f>
        <v>0</v>
      </c>
      <c r="L47" s="608">
        <f>SUM(I47:K47)</f>
        <v>32496</v>
      </c>
      <c r="M47" s="593">
        <v>0</v>
      </c>
    </row>
    <row r="48" spans="1:13" ht="60">
      <c r="A48" s="1461">
        <v>41</v>
      </c>
      <c r="B48" s="811"/>
      <c r="C48" s="1466">
        <v>9</v>
      </c>
      <c r="D48" s="557" t="s">
        <v>472</v>
      </c>
      <c r="E48" s="782" t="s">
        <v>799</v>
      </c>
      <c r="F48" s="553">
        <v>538000</v>
      </c>
      <c r="G48" s="553">
        <v>55881</v>
      </c>
      <c r="H48" s="792">
        <v>5272</v>
      </c>
      <c r="I48" s="607"/>
      <c r="J48" s="538"/>
      <c r="K48" s="538"/>
      <c r="L48" s="608"/>
      <c r="M48" s="586"/>
    </row>
    <row r="49" spans="1:13" ht="15">
      <c r="A49" s="1461">
        <v>42</v>
      </c>
      <c r="B49" s="811"/>
      <c r="C49" s="545"/>
      <c r="D49" s="539" t="s">
        <v>403</v>
      </c>
      <c r="E49" s="782"/>
      <c r="F49" s="796"/>
      <c r="G49" s="796"/>
      <c r="H49" s="797"/>
      <c r="I49" s="607">
        <v>434500</v>
      </c>
      <c r="J49" s="538"/>
      <c r="K49" s="538"/>
      <c r="L49" s="609">
        <f>SUM(I49:K49)</f>
        <v>434500</v>
      </c>
      <c r="M49" s="591"/>
    </row>
    <row r="50" spans="1:13" ht="15">
      <c r="A50" s="1461">
        <v>43</v>
      </c>
      <c r="B50" s="811"/>
      <c r="C50" s="545"/>
      <c r="D50" s="539" t="s">
        <v>957</v>
      </c>
      <c r="E50" s="782"/>
      <c r="F50" s="796"/>
      <c r="G50" s="796"/>
      <c r="H50" s="797"/>
      <c r="I50" s="607">
        <v>476847</v>
      </c>
      <c r="J50" s="538"/>
      <c r="K50" s="538"/>
      <c r="L50" s="609">
        <f>SUM(I50:K50)</f>
        <v>476847</v>
      </c>
      <c r="M50" s="591"/>
    </row>
    <row r="51" spans="1:13" ht="15">
      <c r="A51" s="1461">
        <v>44</v>
      </c>
      <c r="B51" s="811"/>
      <c r="C51" s="545"/>
      <c r="D51" s="541" t="s">
        <v>405</v>
      </c>
      <c r="E51" s="782"/>
      <c r="F51" s="553"/>
      <c r="G51" s="553"/>
      <c r="H51" s="792"/>
      <c r="I51" s="610"/>
      <c r="J51" s="538"/>
      <c r="K51" s="538"/>
      <c r="L51" s="611">
        <f>SUM(I51:K51)</f>
        <v>0</v>
      </c>
      <c r="M51" s="591"/>
    </row>
    <row r="52" spans="1:13" ht="15">
      <c r="A52" s="1461">
        <v>45</v>
      </c>
      <c r="B52" s="811"/>
      <c r="C52" s="545"/>
      <c r="D52" s="542" t="s">
        <v>1067</v>
      </c>
      <c r="E52" s="782"/>
      <c r="F52" s="556"/>
      <c r="G52" s="556"/>
      <c r="H52" s="697"/>
      <c r="I52" s="612">
        <f>SUM(I50:I51)</f>
        <v>476847</v>
      </c>
      <c r="J52" s="556">
        <f>SUM(J50:J51)</f>
        <v>0</v>
      </c>
      <c r="K52" s="556">
        <f>SUM(K50:K51)</f>
        <v>0</v>
      </c>
      <c r="L52" s="608">
        <f>SUM(I52:K52)</f>
        <v>476847</v>
      </c>
      <c r="M52" s="588">
        <f>SUM(M49:M51)</f>
        <v>0</v>
      </c>
    </row>
    <row r="53" spans="1:13" ht="15">
      <c r="A53" s="1461">
        <v>46</v>
      </c>
      <c r="B53" s="811"/>
      <c r="C53" s="545"/>
      <c r="D53" s="563" t="s">
        <v>473</v>
      </c>
      <c r="E53" s="782" t="s">
        <v>799</v>
      </c>
      <c r="F53" s="553">
        <v>4100</v>
      </c>
      <c r="G53" s="553">
        <v>0</v>
      </c>
      <c r="H53" s="792">
        <v>0</v>
      </c>
      <c r="I53" s="607"/>
      <c r="J53" s="538"/>
      <c r="K53" s="538"/>
      <c r="L53" s="608"/>
      <c r="M53" s="591"/>
    </row>
    <row r="54" spans="1:13" ht="15">
      <c r="A54" s="1461">
        <v>47</v>
      </c>
      <c r="B54" s="811"/>
      <c r="C54" s="545"/>
      <c r="D54" s="539" t="s">
        <v>403</v>
      </c>
      <c r="E54" s="782"/>
      <c r="F54" s="796"/>
      <c r="G54" s="796"/>
      <c r="H54" s="797"/>
      <c r="I54" s="607">
        <v>3100</v>
      </c>
      <c r="J54" s="538"/>
      <c r="K54" s="538"/>
      <c r="L54" s="609">
        <f>SUM(I54:K54)</f>
        <v>3100</v>
      </c>
      <c r="M54" s="591"/>
    </row>
    <row r="55" spans="1:13" ht="15">
      <c r="A55" s="1461">
        <v>48</v>
      </c>
      <c r="B55" s="811"/>
      <c r="C55" s="545"/>
      <c r="D55" s="539" t="s">
        <v>957</v>
      </c>
      <c r="E55" s="782"/>
      <c r="F55" s="796"/>
      <c r="G55" s="796"/>
      <c r="H55" s="797"/>
      <c r="I55" s="607">
        <v>4100</v>
      </c>
      <c r="J55" s="538"/>
      <c r="K55" s="538"/>
      <c r="L55" s="609">
        <f>SUM(I55:K55)</f>
        <v>4100</v>
      </c>
      <c r="M55" s="591"/>
    </row>
    <row r="56" spans="1:13" ht="15">
      <c r="A56" s="1461">
        <v>49</v>
      </c>
      <c r="B56" s="811"/>
      <c r="C56" s="545"/>
      <c r="D56" s="541" t="s">
        <v>405</v>
      </c>
      <c r="E56" s="782"/>
      <c r="F56" s="553"/>
      <c r="G56" s="553"/>
      <c r="H56" s="792"/>
      <c r="I56" s="610"/>
      <c r="J56" s="538"/>
      <c r="K56" s="538"/>
      <c r="L56" s="611">
        <f>SUM(I56:K56)</f>
        <v>0</v>
      </c>
      <c r="M56" s="591"/>
    </row>
    <row r="57" spans="1:13" ht="15">
      <c r="A57" s="1461">
        <v>50</v>
      </c>
      <c r="B57" s="811"/>
      <c r="C57" s="545"/>
      <c r="D57" s="542" t="s">
        <v>1067</v>
      </c>
      <c r="E57" s="557"/>
      <c r="F57" s="556"/>
      <c r="G57" s="556"/>
      <c r="H57" s="697"/>
      <c r="I57" s="612">
        <f>SUM(I55:I56)</f>
        <v>4100</v>
      </c>
      <c r="J57" s="556">
        <f>SUM(J55:J56)</f>
        <v>0</v>
      </c>
      <c r="K57" s="556">
        <f>SUM(K55:K56)</f>
        <v>0</v>
      </c>
      <c r="L57" s="608">
        <f>SUM(I57:K57)</f>
        <v>4100</v>
      </c>
      <c r="M57" s="588">
        <f>SUM(M54:M56)</f>
        <v>0</v>
      </c>
    </row>
    <row r="58" spans="1:13" ht="45">
      <c r="A58" s="1461">
        <v>51</v>
      </c>
      <c r="B58" s="811"/>
      <c r="C58" s="1466">
        <v>10</v>
      </c>
      <c r="D58" s="557" t="s">
        <v>1099</v>
      </c>
      <c r="E58" s="782" t="s">
        <v>799</v>
      </c>
      <c r="F58" s="553">
        <v>50</v>
      </c>
      <c r="G58" s="553">
        <v>0</v>
      </c>
      <c r="H58" s="792">
        <v>0</v>
      </c>
      <c r="I58" s="607"/>
      <c r="J58" s="538"/>
      <c r="K58" s="538"/>
      <c r="L58" s="608"/>
      <c r="M58" s="586"/>
    </row>
    <row r="59" spans="1:13" ht="15">
      <c r="A59" s="1461">
        <v>52</v>
      </c>
      <c r="B59" s="811"/>
      <c r="C59" s="545"/>
      <c r="D59" s="541" t="s">
        <v>405</v>
      </c>
      <c r="E59" s="782"/>
      <c r="F59" s="553"/>
      <c r="G59" s="553"/>
      <c r="H59" s="792"/>
      <c r="I59" s="610">
        <v>50</v>
      </c>
      <c r="J59" s="538"/>
      <c r="K59" s="538"/>
      <c r="L59" s="611">
        <f>SUM(I59:K59)</f>
        <v>50</v>
      </c>
      <c r="M59" s="591"/>
    </row>
    <row r="60" spans="1:13" ht="15">
      <c r="A60" s="1461">
        <v>53</v>
      </c>
      <c r="B60" s="811"/>
      <c r="C60" s="545"/>
      <c r="D60" s="542" t="s">
        <v>1067</v>
      </c>
      <c r="E60" s="557"/>
      <c r="F60" s="556"/>
      <c r="G60" s="556"/>
      <c r="H60" s="697"/>
      <c r="I60" s="612">
        <f>SUM(I59)</f>
        <v>50</v>
      </c>
      <c r="J60" s="556">
        <f>SUM(J59)</f>
        <v>0</v>
      </c>
      <c r="K60" s="556">
        <f>SUM(K59)</f>
        <v>0</v>
      </c>
      <c r="L60" s="608">
        <f>SUM(L59)</f>
        <v>50</v>
      </c>
      <c r="M60" s="588">
        <v>0</v>
      </c>
    </row>
    <row r="61" spans="1:13" ht="45">
      <c r="A61" s="1461">
        <v>54</v>
      </c>
      <c r="B61" s="811"/>
      <c r="C61" s="1466">
        <v>11</v>
      </c>
      <c r="D61" s="557" t="s">
        <v>175</v>
      </c>
      <c r="E61" s="782" t="s">
        <v>799</v>
      </c>
      <c r="F61" s="557">
        <v>115099</v>
      </c>
      <c r="G61" s="557">
        <v>14466</v>
      </c>
      <c r="H61" s="791">
        <v>15</v>
      </c>
      <c r="I61" s="607"/>
      <c r="J61" s="538"/>
      <c r="K61" s="538"/>
      <c r="L61" s="608"/>
      <c r="M61" s="586"/>
    </row>
    <row r="62" spans="1:13" ht="15">
      <c r="A62" s="1461">
        <v>55</v>
      </c>
      <c r="B62" s="811"/>
      <c r="C62" s="545"/>
      <c r="D62" s="539" t="s">
        <v>957</v>
      </c>
      <c r="E62" s="782"/>
      <c r="F62" s="557"/>
      <c r="G62" s="557"/>
      <c r="H62" s="791"/>
      <c r="I62" s="607">
        <v>100618</v>
      </c>
      <c r="J62" s="538"/>
      <c r="K62" s="538"/>
      <c r="L62" s="609">
        <f>SUM(I62:K62)</f>
        <v>100618</v>
      </c>
      <c r="M62" s="586"/>
    </row>
    <row r="63" spans="1:13" s="753" customFormat="1" ht="15">
      <c r="A63" s="1461">
        <v>56</v>
      </c>
      <c r="B63" s="812"/>
      <c r="C63" s="1464"/>
      <c r="D63" s="541" t="s">
        <v>1080</v>
      </c>
      <c r="E63" s="782"/>
      <c r="F63" s="554"/>
      <c r="G63" s="554"/>
      <c r="H63" s="793"/>
      <c r="I63" s="610">
        <v>10000</v>
      </c>
      <c r="J63" s="555"/>
      <c r="K63" s="555"/>
      <c r="L63" s="611">
        <f>SUM(I63:K63)</f>
        <v>10000</v>
      </c>
      <c r="M63" s="594"/>
    </row>
    <row r="64" spans="1:13" ht="15">
      <c r="A64" s="1461">
        <v>57</v>
      </c>
      <c r="B64" s="811"/>
      <c r="C64" s="545"/>
      <c r="D64" s="542" t="s">
        <v>1067</v>
      </c>
      <c r="E64" s="557"/>
      <c r="F64" s="556"/>
      <c r="G64" s="556"/>
      <c r="H64" s="697"/>
      <c r="I64" s="612">
        <f>SUM(I62:I63)</f>
        <v>110618</v>
      </c>
      <c r="J64" s="556">
        <f>SUM(J62:J63)</f>
        <v>0</v>
      </c>
      <c r="K64" s="556">
        <f>SUM(K62:K63)</f>
        <v>0</v>
      </c>
      <c r="L64" s="697">
        <f>SUM(I64:K64)</f>
        <v>110618</v>
      </c>
      <c r="M64" s="588"/>
    </row>
    <row r="65" spans="1:13" ht="30">
      <c r="A65" s="1461">
        <v>58</v>
      </c>
      <c r="B65" s="566"/>
      <c r="C65" s="1463">
        <v>12</v>
      </c>
      <c r="D65" s="1374" t="s">
        <v>48</v>
      </c>
      <c r="E65" s="782" t="s">
        <v>799</v>
      </c>
      <c r="F65" s="557">
        <f>SUM(I68,H65,G65)</f>
        <v>172526</v>
      </c>
      <c r="G65" s="557">
        <v>6859</v>
      </c>
      <c r="H65" s="791">
        <v>47742</v>
      </c>
      <c r="I65" s="607"/>
      <c r="J65" s="538"/>
      <c r="K65" s="538"/>
      <c r="L65" s="608"/>
      <c r="M65" s="586"/>
    </row>
    <row r="66" spans="1:13" s="752" customFormat="1" ht="15">
      <c r="A66" s="1461">
        <v>59</v>
      </c>
      <c r="B66" s="811"/>
      <c r="C66" s="545"/>
      <c r="D66" s="539" t="s">
        <v>957</v>
      </c>
      <c r="E66" s="782"/>
      <c r="F66" s="557"/>
      <c r="G66" s="557"/>
      <c r="H66" s="791"/>
      <c r="I66" s="607">
        <v>117925</v>
      </c>
      <c r="J66" s="538"/>
      <c r="K66" s="538"/>
      <c r="L66" s="609">
        <f>SUM(I66:K66)</f>
        <v>117925</v>
      </c>
      <c r="M66" s="586"/>
    </row>
    <row r="67" spans="1:13" s="753" customFormat="1" ht="15">
      <c r="A67" s="1461">
        <v>60</v>
      </c>
      <c r="B67" s="812"/>
      <c r="C67" s="1464"/>
      <c r="D67" s="541" t="s">
        <v>405</v>
      </c>
      <c r="E67" s="782"/>
      <c r="F67" s="554"/>
      <c r="G67" s="554"/>
      <c r="H67" s="793"/>
      <c r="I67" s="610"/>
      <c r="J67" s="555"/>
      <c r="K67" s="555"/>
      <c r="L67" s="611">
        <f>SUM(I67:K67)</f>
        <v>0</v>
      </c>
      <c r="M67" s="594"/>
    </row>
    <row r="68" spans="1:13" ht="15">
      <c r="A68" s="1461">
        <v>61</v>
      </c>
      <c r="B68" s="811"/>
      <c r="C68" s="545"/>
      <c r="D68" s="542" t="s">
        <v>1067</v>
      </c>
      <c r="E68" s="557"/>
      <c r="F68" s="556"/>
      <c r="G68" s="556"/>
      <c r="H68" s="697"/>
      <c r="I68" s="612">
        <f>SUM(I66:I67)</f>
        <v>117925</v>
      </c>
      <c r="J68" s="556">
        <f>SUM(J66:J67)</f>
        <v>0</v>
      </c>
      <c r="K68" s="556">
        <f>SUM(K66:K67)</f>
        <v>0</v>
      </c>
      <c r="L68" s="608">
        <f>SUM(I68:K68)</f>
        <v>117925</v>
      </c>
      <c r="M68" s="588"/>
    </row>
    <row r="69" spans="1:13" ht="45">
      <c r="A69" s="1461">
        <v>62</v>
      </c>
      <c r="B69" s="811"/>
      <c r="C69" s="1466">
        <v>13</v>
      </c>
      <c r="D69" s="557" t="s">
        <v>49</v>
      </c>
      <c r="E69" s="782" t="s">
        <v>799</v>
      </c>
      <c r="F69" s="557">
        <f>SUM(I72,H69,G69)</f>
        <v>1858059</v>
      </c>
      <c r="G69" s="557">
        <v>163412</v>
      </c>
      <c r="H69" s="791">
        <v>1375396</v>
      </c>
      <c r="I69" s="607"/>
      <c r="J69" s="538"/>
      <c r="K69" s="538"/>
      <c r="L69" s="608"/>
      <c r="M69" s="586"/>
    </row>
    <row r="70" spans="1:13" ht="15">
      <c r="A70" s="1461">
        <v>63</v>
      </c>
      <c r="B70" s="811"/>
      <c r="C70" s="545"/>
      <c r="D70" s="539" t="s">
        <v>957</v>
      </c>
      <c r="E70" s="782"/>
      <c r="F70" s="557"/>
      <c r="G70" s="557"/>
      <c r="H70" s="791"/>
      <c r="I70" s="607">
        <v>319251</v>
      </c>
      <c r="J70" s="538"/>
      <c r="K70" s="538"/>
      <c r="L70" s="609">
        <f>SUM(I70:K70)</f>
        <v>319251</v>
      </c>
      <c r="M70" s="586"/>
    </row>
    <row r="71" spans="1:13" s="753" customFormat="1" ht="15">
      <c r="A71" s="1461">
        <v>64</v>
      </c>
      <c r="B71" s="812"/>
      <c r="C71" s="1464"/>
      <c r="D71" s="541" t="s">
        <v>405</v>
      </c>
      <c r="E71" s="782"/>
      <c r="F71" s="554"/>
      <c r="G71" s="554"/>
      <c r="H71" s="793"/>
      <c r="I71" s="610"/>
      <c r="J71" s="555"/>
      <c r="K71" s="555"/>
      <c r="L71" s="611">
        <f>SUM(I71:K71)</f>
        <v>0</v>
      </c>
      <c r="M71" s="594"/>
    </row>
    <row r="72" spans="1:13" ht="15">
      <c r="A72" s="1461">
        <v>65</v>
      </c>
      <c r="B72" s="811"/>
      <c r="C72" s="545"/>
      <c r="D72" s="542" t="s">
        <v>1067</v>
      </c>
      <c r="E72" s="557"/>
      <c r="F72" s="556"/>
      <c r="G72" s="556"/>
      <c r="H72" s="697"/>
      <c r="I72" s="612">
        <f>SUM(I70:I71)</f>
        <v>319251</v>
      </c>
      <c r="J72" s="556">
        <f>SUM(J70:J71)</f>
        <v>0</v>
      </c>
      <c r="K72" s="556">
        <f>SUM(K70:K71)</f>
        <v>0</v>
      </c>
      <c r="L72" s="608">
        <f>SUM(I72:K72)</f>
        <v>319251</v>
      </c>
      <c r="M72" s="588"/>
    </row>
    <row r="73" spans="1:13" ht="30">
      <c r="A73" s="1461">
        <v>66</v>
      </c>
      <c r="B73" s="566"/>
      <c r="C73" s="1463">
        <v>14</v>
      </c>
      <c r="D73" s="1374" t="s">
        <v>50</v>
      </c>
      <c r="E73" s="782" t="s">
        <v>799</v>
      </c>
      <c r="F73" s="557">
        <f>SUM(I76,H73,G73)</f>
        <v>234205</v>
      </c>
      <c r="G73" s="557">
        <v>8209</v>
      </c>
      <c r="H73" s="791">
        <v>139914</v>
      </c>
      <c r="I73" s="607"/>
      <c r="J73" s="538"/>
      <c r="K73" s="538"/>
      <c r="L73" s="608"/>
      <c r="M73" s="586"/>
    </row>
    <row r="74" spans="1:13" ht="15">
      <c r="A74" s="1461">
        <v>67</v>
      </c>
      <c r="B74" s="811"/>
      <c r="C74" s="545"/>
      <c r="D74" s="539" t="s">
        <v>957</v>
      </c>
      <c r="E74" s="782"/>
      <c r="F74" s="557"/>
      <c r="G74" s="557"/>
      <c r="H74" s="791"/>
      <c r="I74" s="607">
        <v>86082</v>
      </c>
      <c r="J74" s="538"/>
      <c r="K74" s="538"/>
      <c r="L74" s="609">
        <f>SUM(I74:K74)</f>
        <v>86082</v>
      </c>
      <c r="M74" s="586"/>
    </row>
    <row r="75" spans="1:13" s="753" customFormat="1" ht="15">
      <c r="A75" s="1461">
        <v>68</v>
      </c>
      <c r="B75" s="812"/>
      <c r="C75" s="1464"/>
      <c r="D75" s="541" t="s">
        <v>405</v>
      </c>
      <c r="E75" s="782"/>
      <c r="F75" s="554"/>
      <c r="G75" s="554"/>
      <c r="H75" s="793"/>
      <c r="I75" s="610"/>
      <c r="J75" s="555"/>
      <c r="K75" s="555"/>
      <c r="L75" s="611">
        <f>SUM(I75:K75)</f>
        <v>0</v>
      </c>
      <c r="M75" s="594"/>
    </row>
    <row r="76" spans="1:13" ht="15">
      <c r="A76" s="1461">
        <v>69</v>
      </c>
      <c r="B76" s="811"/>
      <c r="C76" s="545"/>
      <c r="D76" s="542" t="s">
        <v>1067</v>
      </c>
      <c r="E76" s="557"/>
      <c r="F76" s="556"/>
      <c r="G76" s="556"/>
      <c r="H76" s="697"/>
      <c r="I76" s="612">
        <f>SUM(I74:I75)</f>
        <v>86082</v>
      </c>
      <c r="J76" s="556">
        <f>SUM(J74:J75)</f>
        <v>0</v>
      </c>
      <c r="K76" s="556">
        <f>SUM(K74:K75)</f>
        <v>0</v>
      </c>
      <c r="L76" s="608">
        <f>SUM(I76:K76)</f>
        <v>86082</v>
      </c>
      <c r="M76" s="588"/>
    </row>
    <row r="77" spans="1:13" ht="30">
      <c r="A77" s="1461">
        <v>70</v>
      </c>
      <c r="B77" s="566"/>
      <c r="C77" s="1463">
        <v>15</v>
      </c>
      <c r="D77" s="1374" t="s">
        <v>59</v>
      </c>
      <c r="E77" s="782" t="s">
        <v>799</v>
      </c>
      <c r="F77" s="557">
        <f>SUM(I80,H77,G77)+K80</f>
        <v>72227</v>
      </c>
      <c r="G77" s="557">
        <v>26590</v>
      </c>
      <c r="H77" s="791">
        <v>35637</v>
      </c>
      <c r="I77" s="607"/>
      <c r="J77" s="538"/>
      <c r="K77" s="538"/>
      <c r="L77" s="608"/>
      <c r="M77" s="586"/>
    </row>
    <row r="78" spans="1:13" s="752" customFormat="1" ht="15">
      <c r="A78" s="1461">
        <v>71</v>
      </c>
      <c r="B78" s="811"/>
      <c r="C78" s="545"/>
      <c r="D78" s="539" t="s">
        <v>957</v>
      </c>
      <c r="E78" s="782"/>
      <c r="F78" s="557"/>
      <c r="G78" s="557"/>
      <c r="H78" s="791"/>
      <c r="I78" s="607">
        <v>7387</v>
      </c>
      <c r="J78" s="538"/>
      <c r="K78" s="538">
        <v>2613</v>
      </c>
      <c r="L78" s="609">
        <f>SUM(I78:K78)</f>
        <v>10000</v>
      </c>
      <c r="M78" s="586"/>
    </row>
    <row r="79" spans="1:13" s="753" customFormat="1" ht="15">
      <c r="A79" s="1461">
        <v>72</v>
      </c>
      <c r="B79" s="812"/>
      <c r="C79" s="1464"/>
      <c r="D79" s="541" t="s">
        <v>405</v>
      </c>
      <c r="E79" s="782"/>
      <c r="F79" s="554"/>
      <c r="G79" s="554"/>
      <c r="H79" s="793"/>
      <c r="I79" s="610"/>
      <c r="J79" s="555"/>
      <c r="K79" s="555"/>
      <c r="L79" s="611">
        <f>SUM(I79:K79)</f>
        <v>0</v>
      </c>
      <c r="M79" s="594"/>
    </row>
    <row r="80" spans="1:13" ht="15">
      <c r="A80" s="1461">
        <v>73</v>
      </c>
      <c r="B80" s="811"/>
      <c r="C80" s="545"/>
      <c r="D80" s="542" t="s">
        <v>1067</v>
      </c>
      <c r="E80" s="557"/>
      <c r="F80" s="556"/>
      <c r="G80" s="556"/>
      <c r="H80" s="697"/>
      <c r="I80" s="612">
        <f>SUM(I78:I79)</f>
        <v>7387</v>
      </c>
      <c r="J80" s="556">
        <f>SUM(J78:J79)</f>
        <v>0</v>
      </c>
      <c r="K80" s="556">
        <f>SUM(K78:K79)</f>
        <v>2613</v>
      </c>
      <c r="L80" s="608">
        <f>SUM(I80:K80)</f>
        <v>10000</v>
      </c>
      <c r="M80" s="588"/>
    </row>
    <row r="81" spans="1:13" s="752" customFormat="1" ht="30">
      <c r="A81" s="1461">
        <v>74</v>
      </c>
      <c r="B81" s="566"/>
      <c r="C81" s="1466">
        <v>16</v>
      </c>
      <c r="D81" s="557" t="s">
        <v>287</v>
      </c>
      <c r="E81" s="782" t="s">
        <v>799</v>
      </c>
      <c r="F81" s="557">
        <v>20871</v>
      </c>
      <c r="G81" s="557">
        <v>0</v>
      </c>
      <c r="H81" s="791">
        <v>14580</v>
      </c>
      <c r="I81" s="607"/>
      <c r="J81" s="538"/>
      <c r="K81" s="538"/>
      <c r="L81" s="608"/>
      <c r="M81" s="586"/>
    </row>
    <row r="82" spans="1:13" s="752" customFormat="1" ht="15">
      <c r="A82" s="1461">
        <v>75</v>
      </c>
      <c r="B82" s="811"/>
      <c r="C82" s="545"/>
      <c r="D82" s="539" t="s">
        <v>957</v>
      </c>
      <c r="E82" s="782"/>
      <c r="F82" s="557"/>
      <c r="G82" s="557"/>
      <c r="H82" s="791"/>
      <c r="I82" s="607"/>
      <c r="J82" s="538">
        <v>6291</v>
      </c>
      <c r="K82" s="538"/>
      <c r="L82" s="609">
        <f>SUM(I82:K82)</f>
        <v>6291</v>
      </c>
      <c r="M82" s="586"/>
    </row>
    <row r="83" spans="1:13" s="753" customFormat="1" ht="15">
      <c r="A83" s="1461">
        <v>76</v>
      </c>
      <c r="B83" s="812"/>
      <c r="C83" s="1464"/>
      <c r="D83" s="541" t="s">
        <v>405</v>
      </c>
      <c r="E83" s="782"/>
      <c r="F83" s="554"/>
      <c r="G83" s="554"/>
      <c r="H83" s="793"/>
      <c r="I83" s="610"/>
      <c r="J83" s="555"/>
      <c r="K83" s="555"/>
      <c r="L83" s="611">
        <f>SUM(I83:K83)</f>
        <v>0</v>
      </c>
      <c r="M83" s="594"/>
    </row>
    <row r="84" spans="1:13" ht="15">
      <c r="A84" s="1461">
        <v>77</v>
      </c>
      <c r="B84" s="811"/>
      <c r="C84" s="545"/>
      <c r="D84" s="542" t="s">
        <v>1067</v>
      </c>
      <c r="E84" s="557"/>
      <c r="F84" s="556"/>
      <c r="G84" s="556"/>
      <c r="H84" s="697"/>
      <c r="I84" s="612">
        <f>SUM(I82:I83)</f>
        <v>0</v>
      </c>
      <c r="J84" s="556">
        <f>SUM(J82:J83)</f>
        <v>6291</v>
      </c>
      <c r="K84" s="556">
        <f>SUM(K82:K83)</f>
        <v>0</v>
      </c>
      <c r="L84" s="608">
        <f>SUM(L82:L83)</f>
        <v>6291</v>
      </c>
      <c r="M84" s="588"/>
    </row>
    <row r="85" spans="1:13" ht="30">
      <c r="A85" s="1461">
        <v>78</v>
      </c>
      <c r="B85" s="811"/>
      <c r="C85" s="545">
        <v>17</v>
      </c>
      <c r="D85" s="557" t="s">
        <v>594</v>
      </c>
      <c r="E85" s="557" t="s">
        <v>799</v>
      </c>
      <c r="F85" s="553">
        <v>300</v>
      </c>
      <c r="G85" s="553">
        <v>0</v>
      </c>
      <c r="H85" s="792">
        <v>0</v>
      </c>
      <c r="I85" s="612"/>
      <c r="J85" s="556"/>
      <c r="K85" s="556"/>
      <c r="L85" s="608"/>
      <c r="M85" s="588"/>
    </row>
    <row r="86" spans="1:13" s="752" customFormat="1" ht="15">
      <c r="A86" s="1461">
        <v>79</v>
      </c>
      <c r="B86" s="811"/>
      <c r="C86" s="545"/>
      <c r="D86" s="539" t="s">
        <v>957</v>
      </c>
      <c r="E86" s="782"/>
      <c r="F86" s="557"/>
      <c r="G86" s="557"/>
      <c r="H86" s="791"/>
      <c r="I86" s="607">
        <v>300</v>
      </c>
      <c r="J86" s="538"/>
      <c r="K86" s="538"/>
      <c r="L86" s="609">
        <f>SUM(I86:K86)</f>
        <v>300</v>
      </c>
      <c r="M86" s="586"/>
    </row>
    <row r="87" spans="1:13" s="753" customFormat="1" ht="15">
      <c r="A87" s="1461">
        <v>80</v>
      </c>
      <c r="B87" s="812"/>
      <c r="C87" s="1464"/>
      <c r="D87" s="541" t="s">
        <v>405</v>
      </c>
      <c r="E87" s="782"/>
      <c r="F87" s="554"/>
      <c r="G87" s="554"/>
      <c r="H87" s="793"/>
      <c r="I87" s="610"/>
      <c r="J87" s="555"/>
      <c r="K87" s="555"/>
      <c r="L87" s="611">
        <f>SUM(I87:K87)</f>
        <v>0</v>
      </c>
      <c r="M87" s="594"/>
    </row>
    <row r="88" spans="1:13" ht="15">
      <c r="A88" s="1461">
        <v>81</v>
      </c>
      <c r="B88" s="811"/>
      <c r="C88" s="545"/>
      <c r="D88" s="542" t="s">
        <v>1067</v>
      </c>
      <c r="E88" s="557"/>
      <c r="F88" s="553"/>
      <c r="G88" s="553"/>
      <c r="H88" s="792"/>
      <c r="I88" s="556">
        <f>SUM(I86:I87)</f>
        <v>300</v>
      </c>
      <c r="J88" s="556">
        <f>SUM(J86:J87)</f>
        <v>0</v>
      </c>
      <c r="K88" s="556">
        <f>SUM(K86:K87)</f>
        <v>0</v>
      </c>
      <c r="L88" s="608">
        <f>SUM(I88:K88)</f>
        <v>300</v>
      </c>
      <c r="M88" s="588"/>
    </row>
    <row r="89" spans="1:13" ht="60">
      <c r="A89" s="1461">
        <v>82</v>
      </c>
      <c r="B89" s="811"/>
      <c r="C89" s="1466">
        <v>18</v>
      </c>
      <c r="D89" s="557" t="s">
        <v>595</v>
      </c>
      <c r="E89" s="557" t="s">
        <v>799</v>
      </c>
      <c r="F89" s="553">
        <v>4300</v>
      </c>
      <c r="G89" s="553">
        <v>0</v>
      </c>
      <c r="H89" s="792">
        <v>0</v>
      </c>
      <c r="I89" s="612"/>
      <c r="J89" s="556"/>
      <c r="K89" s="556"/>
      <c r="L89" s="608"/>
      <c r="M89" s="588"/>
    </row>
    <row r="90" spans="1:13" s="752" customFormat="1" ht="15">
      <c r="A90" s="1461">
        <v>83</v>
      </c>
      <c r="B90" s="811"/>
      <c r="C90" s="545"/>
      <c r="D90" s="539" t="s">
        <v>957</v>
      </c>
      <c r="E90" s="782"/>
      <c r="F90" s="557"/>
      <c r="G90" s="557"/>
      <c r="H90" s="791"/>
      <c r="I90" s="607">
        <v>4300</v>
      </c>
      <c r="J90" s="538"/>
      <c r="K90" s="538"/>
      <c r="L90" s="609">
        <f>SUM(I90:K90)</f>
        <v>4300</v>
      </c>
      <c r="M90" s="586"/>
    </row>
    <row r="91" spans="1:13" s="753" customFormat="1" ht="15">
      <c r="A91" s="1461">
        <v>84</v>
      </c>
      <c r="B91" s="812"/>
      <c r="C91" s="1464"/>
      <c r="D91" s="541" t="s">
        <v>405</v>
      </c>
      <c r="E91" s="782"/>
      <c r="F91" s="554"/>
      <c r="G91" s="554"/>
      <c r="H91" s="793"/>
      <c r="I91" s="610"/>
      <c r="J91" s="555"/>
      <c r="K91" s="555"/>
      <c r="L91" s="611">
        <f>SUM(I91:K91)</f>
        <v>0</v>
      </c>
      <c r="M91" s="594"/>
    </row>
    <row r="92" spans="1:13" ht="15">
      <c r="A92" s="1461">
        <v>85</v>
      </c>
      <c r="B92" s="811"/>
      <c r="C92" s="545"/>
      <c r="D92" s="542" t="s">
        <v>1067</v>
      </c>
      <c r="E92" s="557"/>
      <c r="F92" s="556"/>
      <c r="G92" s="556"/>
      <c r="H92" s="697"/>
      <c r="I92" s="556">
        <f>SUM(I90:I91)</f>
        <v>4300</v>
      </c>
      <c r="J92" s="556">
        <f>SUM(J90:J91)</f>
        <v>0</v>
      </c>
      <c r="K92" s="556">
        <f>SUM(K90:K91)</f>
        <v>0</v>
      </c>
      <c r="L92" s="608">
        <f>SUM(I92:K92)</f>
        <v>4300</v>
      </c>
      <c r="M92" s="588"/>
    </row>
    <row r="93" spans="1:13" s="752" customFormat="1" ht="30">
      <c r="A93" s="1461">
        <v>86</v>
      </c>
      <c r="B93" s="811"/>
      <c r="C93" s="1466">
        <v>19</v>
      </c>
      <c r="D93" s="557" t="s">
        <v>60</v>
      </c>
      <c r="E93" s="782" t="s">
        <v>799</v>
      </c>
      <c r="F93" s="557">
        <f>SUM(I96,H93,G93)</f>
        <v>200</v>
      </c>
      <c r="G93" s="557">
        <v>0</v>
      </c>
      <c r="H93" s="791">
        <v>147</v>
      </c>
      <c r="I93" s="607"/>
      <c r="J93" s="538"/>
      <c r="K93" s="538"/>
      <c r="L93" s="608"/>
      <c r="M93" s="586"/>
    </row>
    <row r="94" spans="1:13" s="752" customFormat="1" ht="15">
      <c r="A94" s="1461">
        <v>87</v>
      </c>
      <c r="B94" s="811"/>
      <c r="C94" s="545"/>
      <c r="D94" s="539" t="s">
        <v>957</v>
      </c>
      <c r="E94" s="782"/>
      <c r="F94" s="557"/>
      <c r="G94" s="557"/>
      <c r="H94" s="791"/>
      <c r="I94" s="607">
        <v>53</v>
      </c>
      <c r="J94" s="538"/>
      <c r="K94" s="538"/>
      <c r="L94" s="609">
        <f>SUM(I94:K94)</f>
        <v>53</v>
      </c>
      <c r="M94" s="586"/>
    </row>
    <row r="95" spans="1:13" s="753" customFormat="1" ht="15">
      <c r="A95" s="1461">
        <v>88</v>
      </c>
      <c r="B95" s="812"/>
      <c r="C95" s="1464"/>
      <c r="D95" s="541" t="s">
        <v>405</v>
      </c>
      <c r="E95" s="800"/>
      <c r="F95" s="554"/>
      <c r="G95" s="554"/>
      <c r="H95" s="793"/>
      <c r="I95" s="610"/>
      <c r="J95" s="555"/>
      <c r="K95" s="555"/>
      <c r="L95" s="611">
        <f>SUM(I95:K95)</f>
        <v>0</v>
      </c>
      <c r="M95" s="594"/>
    </row>
    <row r="96" spans="1:13" ht="15">
      <c r="A96" s="1461">
        <v>89</v>
      </c>
      <c r="B96" s="811"/>
      <c r="C96" s="545"/>
      <c r="D96" s="542" t="s">
        <v>1067</v>
      </c>
      <c r="E96" s="782"/>
      <c r="F96" s="556"/>
      <c r="G96" s="556"/>
      <c r="H96" s="697"/>
      <c r="I96" s="612">
        <f>SUM(I94:I95)</f>
        <v>53</v>
      </c>
      <c r="J96" s="556">
        <f>SUM(J94:J95)</f>
        <v>0</v>
      </c>
      <c r="K96" s="556">
        <f>SUM(K94:K95)</f>
        <v>0</v>
      </c>
      <c r="L96" s="608">
        <f>SUM(I96:K96)</f>
        <v>53</v>
      </c>
      <c r="M96" s="588"/>
    </row>
    <row r="97" spans="1:13" s="752" customFormat="1" ht="15">
      <c r="A97" s="1461">
        <v>90</v>
      </c>
      <c r="B97" s="535"/>
      <c r="C97" s="545">
        <v>20</v>
      </c>
      <c r="D97" s="557" t="s">
        <v>65</v>
      </c>
      <c r="E97" s="782" t="s">
        <v>799</v>
      </c>
      <c r="F97" s="557">
        <f>SUM(I100,H97,G97)</f>
        <v>490732</v>
      </c>
      <c r="G97" s="557">
        <v>213046</v>
      </c>
      <c r="H97" s="791">
        <v>265798</v>
      </c>
      <c r="I97" s="607"/>
      <c r="J97" s="538"/>
      <c r="K97" s="538"/>
      <c r="L97" s="608"/>
      <c r="M97" s="586"/>
    </row>
    <row r="98" spans="1:13" s="752" customFormat="1" ht="15">
      <c r="A98" s="1461">
        <v>91</v>
      </c>
      <c r="B98" s="535"/>
      <c r="C98" s="545"/>
      <c r="D98" s="539" t="s">
        <v>957</v>
      </c>
      <c r="E98" s="782"/>
      <c r="F98" s="557"/>
      <c r="G98" s="557"/>
      <c r="H98" s="791"/>
      <c r="I98" s="607">
        <v>11888</v>
      </c>
      <c r="J98" s="538"/>
      <c r="K98" s="538"/>
      <c r="L98" s="609">
        <f>SUM(I98:K98)</f>
        <v>11888</v>
      </c>
      <c r="M98" s="586"/>
    </row>
    <row r="99" spans="1:13" s="753" customFormat="1" ht="15">
      <c r="A99" s="1461">
        <v>92</v>
      </c>
      <c r="B99" s="812"/>
      <c r="C99" s="1464"/>
      <c r="D99" s="541" t="s">
        <v>405</v>
      </c>
      <c r="E99" s="800"/>
      <c r="F99" s="554"/>
      <c r="G99" s="554"/>
      <c r="H99" s="793"/>
      <c r="I99" s="610"/>
      <c r="J99" s="555"/>
      <c r="K99" s="555"/>
      <c r="L99" s="611">
        <f>SUM(I99:K99)</f>
        <v>0</v>
      </c>
      <c r="M99" s="594"/>
    </row>
    <row r="100" spans="1:13" ht="15">
      <c r="A100" s="1461">
        <v>93</v>
      </c>
      <c r="B100" s="811"/>
      <c r="C100" s="545"/>
      <c r="D100" s="542" t="s">
        <v>1067</v>
      </c>
      <c r="E100" s="782"/>
      <c r="F100" s="556"/>
      <c r="G100" s="556"/>
      <c r="H100" s="697"/>
      <c r="I100" s="612">
        <f>SUM(I98:I99)</f>
        <v>11888</v>
      </c>
      <c r="J100" s="556">
        <f>SUM(J98:J99)</f>
        <v>0</v>
      </c>
      <c r="K100" s="556">
        <f>SUM(K98:K99)</f>
        <v>0</v>
      </c>
      <c r="L100" s="608">
        <f>SUM(I100:K100)</f>
        <v>11888</v>
      </c>
      <c r="M100" s="588"/>
    </row>
    <row r="101" spans="1:13" ht="45">
      <c r="A101" s="1461">
        <v>94</v>
      </c>
      <c r="B101" s="566"/>
      <c r="C101" s="1466">
        <v>21</v>
      </c>
      <c r="D101" s="557" t="s">
        <v>158</v>
      </c>
      <c r="E101" s="782" t="s">
        <v>799</v>
      </c>
      <c r="F101" s="553">
        <v>28000</v>
      </c>
      <c r="G101" s="553">
        <v>0</v>
      </c>
      <c r="H101" s="801">
        <v>0</v>
      </c>
      <c r="I101" s="607"/>
      <c r="J101" s="538"/>
      <c r="K101" s="538"/>
      <c r="L101" s="608"/>
      <c r="M101" s="586"/>
    </row>
    <row r="102" spans="1:13" ht="15">
      <c r="A102" s="1461">
        <v>95</v>
      </c>
      <c r="B102" s="811"/>
      <c r="C102" s="545"/>
      <c r="D102" s="539" t="s">
        <v>403</v>
      </c>
      <c r="E102" s="788"/>
      <c r="F102" s="796"/>
      <c r="G102" s="796"/>
      <c r="H102" s="797"/>
      <c r="I102" s="607">
        <v>28000</v>
      </c>
      <c r="J102" s="538"/>
      <c r="K102" s="538"/>
      <c r="L102" s="609">
        <f>SUM(I102:K102)</f>
        <v>28000</v>
      </c>
      <c r="M102" s="591"/>
    </row>
    <row r="103" spans="1:13" ht="15">
      <c r="A103" s="1461">
        <v>96</v>
      </c>
      <c r="B103" s="811"/>
      <c r="C103" s="545"/>
      <c r="D103" s="539" t="s">
        <v>957</v>
      </c>
      <c r="E103" s="788"/>
      <c r="F103" s="796"/>
      <c r="G103" s="796"/>
      <c r="H103" s="797"/>
      <c r="I103" s="607">
        <v>28000</v>
      </c>
      <c r="J103" s="538"/>
      <c r="K103" s="538"/>
      <c r="L103" s="609">
        <f>SUM(I103:K103)</f>
        <v>28000</v>
      </c>
      <c r="M103" s="591"/>
    </row>
    <row r="104" spans="1:13" ht="15">
      <c r="A104" s="1461">
        <v>97</v>
      </c>
      <c r="B104" s="811"/>
      <c r="C104" s="545"/>
      <c r="D104" s="541" t="s">
        <v>405</v>
      </c>
      <c r="E104" s="782"/>
      <c r="F104" s="553"/>
      <c r="G104" s="553"/>
      <c r="H104" s="801"/>
      <c r="I104" s="607"/>
      <c r="J104" s="538"/>
      <c r="K104" s="538"/>
      <c r="L104" s="611">
        <f>SUM(I104:K104)</f>
        <v>0</v>
      </c>
      <c r="M104" s="591"/>
    </row>
    <row r="105" spans="1:13" ht="15">
      <c r="A105" s="1461">
        <v>98</v>
      </c>
      <c r="B105" s="811"/>
      <c r="C105" s="545"/>
      <c r="D105" s="542" t="s">
        <v>1067</v>
      </c>
      <c r="E105" s="782"/>
      <c r="F105" s="556"/>
      <c r="G105" s="556"/>
      <c r="H105" s="697"/>
      <c r="I105" s="612">
        <f>SUM(I103:I104)</f>
        <v>28000</v>
      </c>
      <c r="J105" s="556">
        <f>SUM(J103:J104)</f>
        <v>0</v>
      </c>
      <c r="K105" s="556">
        <f>SUM(K103:K104)</f>
        <v>0</v>
      </c>
      <c r="L105" s="608">
        <f>SUM(I105:K105)</f>
        <v>28000</v>
      </c>
      <c r="M105" s="588">
        <f>SUM(M102:M104)</f>
        <v>0</v>
      </c>
    </row>
    <row r="106" spans="1:13" s="752" customFormat="1" ht="30">
      <c r="A106" s="1461">
        <v>99</v>
      </c>
      <c r="B106" s="811"/>
      <c r="C106" s="1466">
        <v>22</v>
      </c>
      <c r="D106" s="557" t="s">
        <v>507</v>
      </c>
      <c r="E106" s="782" t="s">
        <v>799</v>
      </c>
      <c r="F106" s="562">
        <f>SUM(I110,H106)</f>
        <v>22300</v>
      </c>
      <c r="G106" s="562">
        <v>0</v>
      </c>
      <c r="H106" s="794">
        <v>18000</v>
      </c>
      <c r="I106" s="607"/>
      <c r="J106" s="538"/>
      <c r="K106" s="538"/>
      <c r="L106" s="608"/>
      <c r="M106" s="586"/>
    </row>
    <row r="107" spans="1:13" ht="15">
      <c r="A107" s="1461">
        <v>100</v>
      </c>
      <c r="B107" s="811"/>
      <c r="C107" s="545"/>
      <c r="D107" s="539" t="s">
        <v>403</v>
      </c>
      <c r="E107" s="788"/>
      <c r="F107" s="796"/>
      <c r="G107" s="796"/>
      <c r="H107" s="797"/>
      <c r="I107" s="607">
        <v>4300</v>
      </c>
      <c r="J107" s="538"/>
      <c r="K107" s="538"/>
      <c r="L107" s="609">
        <f>SUM(I107:K107)</f>
        <v>4300</v>
      </c>
      <c r="M107" s="591"/>
    </row>
    <row r="108" spans="1:13" ht="15">
      <c r="A108" s="1461">
        <v>101</v>
      </c>
      <c r="B108" s="811"/>
      <c r="C108" s="545"/>
      <c r="D108" s="539" t="s">
        <v>957</v>
      </c>
      <c r="E108" s="788"/>
      <c r="F108" s="796"/>
      <c r="G108" s="796"/>
      <c r="H108" s="797"/>
      <c r="I108" s="607">
        <v>4300</v>
      </c>
      <c r="J108" s="538"/>
      <c r="K108" s="538"/>
      <c r="L108" s="609">
        <f>SUM(I108:K108)</f>
        <v>4300</v>
      </c>
      <c r="M108" s="591"/>
    </row>
    <row r="109" spans="1:13" s="753" customFormat="1" ht="15">
      <c r="A109" s="1461">
        <v>102</v>
      </c>
      <c r="B109" s="812"/>
      <c r="C109" s="1464"/>
      <c r="D109" s="541" t="s">
        <v>405</v>
      </c>
      <c r="E109" s="782"/>
      <c r="F109" s="567"/>
      <c r="G109" s="567"/>
      <c r="H109" s="745"/>
      <c r="I109" s="610"/>
      <c r="J109" s="555"/>
      <c r="K109" s="555"/>
      <c r="L109" s="611">
        <f>SUM(I109:K109)</f>
        <v>0</v>
      </c>
      <c r="M109" s="594"/>
    </row>
    <row r="110" spans="1:13" s="754" customFormat="1" ht="15">
      <c r="A110" s="1461">
        <v>103</v>
      </c>
      <c r="B110" s="577"/>
      <c r="C110" s="1465"/>
      <c r="D110" s="542" t="s">
        <v>1067</v>
      </c>
      <c r="E110" s="576"/>
      <c r="F110" s="568"/>
      <c r="G110" s="568"/>
      <c r="H110" s="746"/>
      <c r="I110" s="615">
        <f>SUM(I108:I109)</f>
        <v>4300</v>
      </c>
      <c r="J110" s="568">
        <f>SUM(J108:J109)</f>
        <v>0</v>
      </c>
      <c r="K110" s="568">
        <f>SUM(K108:K109)</f>
        <v>0</v>
      </c>
      <c r="L110" s="608">
        <f>SUM(I110:K110)</f>
        <v>4300</v>
      </c>
      <c r="M110" s="593">
        <f>SUM(M107:M109)</f>
        <v>0</v>
      </c>
    </row>
    <row r="111" spans="1:13" ht="60">
      <c r="A111" s="1461">
        <v>104</v>
      </c>
      <c r="B111" s="811"/>
      <c r="C111" s="1466">
        <v>23</v>
      </c>
      <c r="D111" s="557" t="s">
        <v>508</v>
      </c>
      <c r="E111" s="782" t="s">
        <v>799</v>
      </c>
      <c r="F111" s="560">
        <f>SUM(I115,H111)</f>
        <v>9356</v>
      </c>
      <c r="G111" s="560">
        <v>0</v>
      </c>
      <c r="H111" s="794">
        <v>2356</v>
      </c>
      <c r="I111" s="607"/>
      <c r="J111" s="538"/>
      <c r="K111" s="538"/>
      <c r="L111" s="608"/>
      <c r="M111" s="586"/>
    </row>
    <row r="112" spans="1:13" ht="15">
      <c r="A112" s="1461">
        <v>105</v>
      </c>
      <c r="B112" s="811"/>
      <c r="C112" s="545"/>
      <c r="D112" s="539" t="s">
        <v>403</v>
      </c>
      <c r="E112" s="788"/>
      <c r="F112" s="796"/>
      <c r="G112" s="796"/>
      <c r="H112" s="797"/>
      <c r="I112" s="607">
        <v>7000</v>
      </c>
      <c r="J112" s="538"/>
      <c r="K112" s="538"/>
      <c r="L112" s="609">
        <f>SUM(I112:K112)</f>
        <v>7000</v>
      </c>
      <c r="M112" s="589"/>
    </row>
    <row r="113" spans="1:13" ht="15">
      <c r="A113" s="1461">
        <v>106</v>
      </c>
      <c r="B113" s="811"/>
      <c r="C113" s="545"/>
      <c r="D113" s="539" t="s">
        <v>957</v>
      </c>
      <c r="E113" s="788"/>
      <c r="F113" s="796"/>
      <c r="G113" s="796"/>
      <c r="H113" s="797"/>
      <c r="I113" s="607">
        <v>7000</v>
      </c>
      <c r="J113" s="538"/>
      <c r="K113" s="538"/>
      <c r="L113" s="609">
        <f>SUM(I113:K113)</f>
        <v>7000</v>
      </c>
      <c r="M113" s="589"/>
    </row>
    <row r="114" spans="1:13" ht="15">
      <c r="A114" s="1461">
        <v>107</v>
      </c>
      <c r="B114" s="811"/>
      <c r="C114" s="545"/>
      <c r="D114" s="541" t="s">
        <v>405</v>
      </c>
      <c r="E114" s="782"/>
      <c r="F114" s="560"/>
      <c r="G114" s="560"/>
      <c r="H114" s="794"/>
      <c r="I114" s="607"/>
      <c r="J114" s="538"/>
      <c r="K114" s="538"/>
      <c r="L114" s="611">
        <f>SUM(I114:K114)</f>
        <v>0</v>
      </c>
      <c r="M114" s="589"/>
    </row>
    <row r="115" spans="1:13" ht="15">
      <c r="A115" s="1461">
        <v>108</v>
      </c>
      <c r="B115" s="811"/>
      <c r="C115" s="545"/>
      <c r="D115" s="542" t="s">
        <v>1067</v>
      </c>
      <c r="E115" s="782"/>
      <c r="F115" s="544"/>
      <c r="G115" s="544"/>
      <c r="H115" s="802"/>
      <c r="I115" s="616">
        <f>SUM(I113:I114)</f>
        <v>7000</v>
      </c>
      <c r="J115" s="544">
        <f>SUM(J113:J114)</f>
        <v>0</v>
      </c>
      <c r="K115" s="544">
        <f>SUM(K113:K114)</f>
        <v>0</v>
      </c>
      <c r="L115" s="608">
        <f>SUM(I115:K115)</f>
        <v>7000</v>
      </c>
      <c r="M115" s="595">
        <f>SUM(M112:M114)</f>
        <v>0</v>
      </c>
    </row>
    <row r="116" spans="1:13" s="752" customFormat="1" ht="30">
      <c r="A116" s="1461">
        <v>109</v>
      </c>
      <c r="B116" s="811"/>
      <c r="C116" s="1466">
        <v>24</v>
      </c>
      <c r="D116" s="557" t="s">
        <v>509</v>
      </c>
      <c r="E116" s="782" t="s">
        <v>799</v>
      </c>
      <c r="F116" s="562">
        <f>SUM(M120,I120)</f>
        <v>63500</v>
      </c>
      <c r="G116" s="557">
        <v>0</v>
      </c>
      <c r="H116" s="791">
        <v>0</v>
      </c>
      <c r="I116" s="607"/>
      <c r="J116" s="538"/>
      <c r="K116" s="538"/>
      <c r="L116" s="608"/>
      <c r="M116" s="586"/>
    </row>
    <row r="117" spans="1:13" ht="15">
      <c r="A117" s="1461">
        <v>110</v>
      </c>
      <c r="B117" s="811"/>
      <c r="C117" s="545"/>
      <c r="D117" s="539" t="s">
        <v>403</v>
      </c>
      <c r="E117" s="788"/>
      <c r="F117" s="796"/>
      <c r="G117" s="562"/>
      <c r="H117" s="794"/>
      <c r="I117" s="607">
        <v>6000</v>
      </c>
      <c r="J117" s="538"/>
      <c r="K117" s="538"/>
      <c r="L117" s="609">
        <f>SUM(I117:K117)</f>
        <v>6000</v>
      </c>
      <c r="M117" s="591">
        <v>59000</v>
      </c>
    </row>
    <row r="118" spans="1:13" ht="15">
      <c r="A118" s="1461">
        <v>111</v>
      </c>
      <c r="B118" s="811"/>
      <c r="C118" s="545"/>
      <c r="D118" s="539" t="s">
        <v>957</v>
      </c>
      <c r="E118" s="788"/>
      <c r="F118" s="796"/>
      <c r="G118" s="562"/>
      <c r="H118" s="794"/>
      <c r="I118" s="607">
        <v>4500</v>
      </c>
      <c r="J118" s="538"/>
      <c r="K118" s="538"/>
      <c r="L118" s="609">
        <f>SUM(I118:K118)</f>
        <v>4500</v>
      </c>
      <c r="M118" s="591"/>
    </row>
    <row r="119" spans="1:13" s="753" customFormat="1" ht="15">
      <c r="A119" s="1461">
        <v>112</v>
      </c>
      <c r="B119" s="812"/>
      <c r="C119" s="1464"/>
      <c r="D119" s="541" t="s">
        <v>405</v>
      </c>
      <c r="E119" s="782"/>
      <c r="F119" s="567"/>
      <c r="G119" s="567"/>
      <c r="H119" s="745"/>
      <c r="I119" s="610"/>
      <c r="J119" s="555"/>
      <c r="K119" s="555"/>
      <c r="L119" s="611">
        <f>SUM(I119:K119)</f>
        <v>0</v>
      </c>
      <c r="M119" s="594"/>
    </row>
    <row r="120" spans="1:13" s="754" customFormat="1" ht="15">
      <c r="A120" s="1461">
        <v>113</v>
      </c>
      <c r="B120" s="577"/>
      <c r="C120" s="1465"/>
      <c r="D120" s="542" t="s">
        <v>1067</v>
      </c>
      <c r="E120" s="576"/>
      <c r="F120" s="568"/>
      <c r="G120" s="568"/>
      <c r="H120" s="746"/>
      <c r="I120" s="615">
        <f>SUM(I118:I119)</f>
        <v>4500</v>
      </c>
      <c r="J120" s="568">
        <f>SUM(J118:J119)</f>
        <v>0</v>
      </c>
      <c r="K120" s="568">
        <f>SUM(K118:K119)</f>
        <v>0</v>
      </c>
      <c r="L120" s="608">
        <f>SUM(I120:K120)</f>
        <v>4500</v>
      </c>
      <c r="M120" s="593">
        <f>SUM(M117:M119)</f>
        <v>59000</v>
      </c>
    </row>
    <row r="121" spans="1:13" s="752" customFormat="1" ht="30">
      <c r="A121" s="1461">
        <v>114</v>
      </c>
      <c r="B121" s="535"/>
      <c r="C121" s="545">
        <v>25</v>
      </c>
      <c r="D121" s="557" t="s">
        <v>510</v>
      </c>
      <c r="E121" s="782" t="s">
        <v>799</v>
      </c>
      <c r="F121" s="553">
        <v>4700</v>
      </c>
      <c r="G121" s="557">
        <v>0</v>
      </c>
      <c r="H121" s="791">
        <v>0</v>
      </c>
      <c r="I121" s="607"/>
      <c r="J121" s="538"/>
      <c r="K121" s="538"/>
      <c r="L121" s="608"/>
      <c r="M121" s="586"/>
    </row>
    <row r="122" spans="1:13" ht="15">
      <c r="A122" s="1461">
        <v>115</v>
      </c>
      <c r="B122" s="811"/>
      <c r="C122" s="545"/>
      <c r="D122" s="539" t="s">
        <v>403</v>
      </c>
      <c r="E122" s="788"/>
      <c r="F122" s="796"/>
      <c r="G122" s="562"/>
      <c r="H122" s="794"/>
      <c r="I122" s="607">
        <v>6000</v>
      </c>
      <c r="J122" s="538"/>
      <c r="K122" s="538"/>
      <c r="L122" s="609">
        <f>SUM(I122:K122)</f>
        <v>6000</v>
      </c>
      <c r="M122" s="591"/>
    </row>
    <row r="123" spans="1:13" ht="15">
      <c r="A123" s="1461">
        <v>116</v>
      </c>
      <c r="B123" s="811"/>
      <c r="C123" s="545"/>
      <c r="D123" s="539" t="s">
        <v>957</v>
      </c>
      <c r="E123" s="788"/>
      <c r="F123" s="796"/>
      <c r="G123" s="562"/>
      <c r="H123" s="794"/>
      <c r="I123" s="607">
        <v>4700</v>
      </c>
      <c r="J123" s="538"/>
      <c r="K123" s="538"/>
      <c r="L123" s="609">
        <f>SUM(I123:K123)</f>
        <v>4700</v>
      </c>
      <c r="M123" s="591"/>
    </row>
    <row r="124" spans="1:13" s="753" customFormat="1" ht="15">
      <c r="A124" s="1461">
        <v>117</v>
      </c>
      <c r="B124" s="812"/>
      <c r="C124" s="1464"/>
      <c r="D124" s="541" t="s">
        <v>405</v>
      </c>
      <c r="E124" s="782"/>
      <c r="F124" s="567"/>
      <c r="G124" s="567"/>
      <c r="H124" s="745"/>
      <c r="I124" s="610"/>
      <c r="J124" s="555"/>
      <c r="K124" s="555"/>
      <c r="L124" s="611">
        <f>SUM(I124:K124)</f>
        <v>0</v>
      </c>
      <c r="M124" s="594"/>
    </row>
    <row r="125" spans="1:13" s="754" customFormat="1" ht="15">
      <c r="A125" s="1461">
        <v>118</v>
      </c>
      <c r="B125" s="577"/>
      <c r="C125" s="1465"/>
      <c r="D125" s="542" t="s">
        <v>1067</v>
      </c>
      <c r="E125" s="576"/>
      <c r="F125" s="568"/>
      <c r="G125" s="568"/>
      <c r="H125" s="746"/>
      <c r="I125" s="615">
        <f>SUM(I123:I124)</f>
        <v>4700</v>
      </c>
      <c r="J125" s="568">
        <f>SUM(J123:J124)</f>
        <v>0</v>
      </c>
      <c r="K125" s="568">
        <f>SUM(K123:K124)</f>
        <v>0</v>
      </c>
      <c r="L125" s="608">
        <f>SUM(I125:K125)</f>
        <v>4700</v>
      </c>
      <c r="M125" s="593">
        <f>SUM(M122:M124)</f>
        <v>0</v>
      </c>
    </row>
    <row r="126" spans="1:13" s="752" customFormat="1" ht="15">
      <c r="A126" s="1461">
        <v>119</v>
      </c>
      <c r="B126" s="535"/>
      <c r="C126" s="545">
        <v>26</v>
      </c>
      <c r="D126" s="557" t="s">
        <v>157</v>
      </c>
      <c r="E126" s="782" t="s">
        <v>799</v>
      </c>
      <c r="F126" s="553">
        <v>1500</v>
      </c>
      <c r="G126" s="557">
        <v>0</v>
      </c>
      <c r="H126" s="791">
        <v>0</v>
      </c>
      <c r="I126" s="607"/>
      <c r="J126" s="538"/>
      <c r="K126" s="538"/>
      <c r="L126" s="608"/>
      <c r="M126" s="586"/>
    </row>
    <row r="127" spans="1:13" ht="15">
      <c r="A127" s="1461">
        <v>120</v>
      </c>
      <c r="B127" s="535"/>
      <c r="C127" s="545"/>
      <c r="D127" s="539" t="s">
        <v>403</v>
      </c>
      <c r="E127" s="788"/>
      <c r="F127" s="796"/>
      <c r="G127" s="562"/>
      <c r="H127" s="794"/>
      <c r="I127" s="607">
        <v>1500</v>
      </c>
      <c r="J127" s="538"/>
      <c r="K127" s="538"/>
      <c r="L127" s="609">
        <f>SUM(I127:K127)</f>
        <v>1500</v>
      </c>
      <c r="M127" s="591"/>
    </row>
    <row r="128" spans="1:13" ht="15">
      <c r="A128" s="1461">
        <v>121</v>
      </c>
      <c r="B128" s="811"/>
      <c r="C128" s="545"/>
      <c r="D128" s="539" t="s">
        <v>957</v>
      </c>
      <c r="E128" s="788"/>
      <c r="F128" s="796"/>
      <c r="G128" s="562"/>
      <c r="H128" s="794"/>
      <c r="I128" s="607">
        <v>1500</v>
      </c>
      <c r="J128" s="538"/>
      <c r="K128" s="538"/>
      <c r="L128" s="609">
        <f>SUM(I128:K128)</f>
        <v>1500</v>
      </c>
      <c r="M128" s="591"/>
    </row>
    <row r="129" spans="1:13" s="753" customFormat="1" ht="15">
      <c r="A129" s="1461">
        <v>122</v>
      </c>
      <c r="B129" s="812"/>
      <c r="C129" s="1464"/>
      <c r="D129" s="541" t="s">
        <v>405</v>
      </c>
      <c r="E129" s="782"/>
      <c r="F129" s="567"/>
      <c r="G129" s="567"/>
      <c r="H129" s="745"/>
      <c r="I129" s="610"/>
      <c r="J129" s="555"/>
      <c r="K129" s="555"/>
      <c r="L129" s="611">
        <f>SUM(I129:K129)</f>
        <v>0</v>
      </c>
      <c r="M129" s="594"/>
    </row>
    <row r="130" spans="1:13" s="754" customFormat="1" ht="15">
      <c r="A130" s="1461">
        <v>123</v>
      </c>
      <c r="B130" s="577"/>
      <c r="C130" s="1465"/>
      <c r="D130" s="542" t="s">
        <v>1067</v>
      </c>
      <c r="E130" s="576"/>
      <c r="F130" s="568"/>
      <c r="G130" s="568"/>
      <c r="H130" s="746"/>
      <c r="I130" s="615">
        <f>SUM(I128:I129)</f>
        <v>1500</v>
      </c>
      <c r="J130" s="568">
        <f>SUM(J128:J129)</f>
        <v>0</v>
      </c>
      <c r="K130" s="568">
        <f>SUM(K128:K129)</f>
        <v>0</v>
      </c>
      <c r="L130" s="608">
        <f>SUM(I130:K130)</f>
        <v>1500</v>
      </c>
      <c r="M130" s="593">
        <f>SUM(M127:M129)</f>
        <v>0</v>
      </c>
    </row>
    <row r="131" spans="1:13" s="752" customFormat="1" ht="15">
      <c r="A131" s="1461">
        <v>124</v>
      </c>
      <c r="B131" s="535"/>
      <c r="C131" s="545">
        <v>27</v>
      </c>
      <c r="D131" s="557" t="s">
        <v>512</v>
      </c>
      <c r="E131" s="782" t="s">
        <v>799</v>
      </c>
      <c r="F131" s="553">
        <f>SUM(I135,H131,G131)</f>
        <v>20917</v>
      </c>
      <c r="G131" s="553">
        <v>2682</v>
      </c>
      <c r="H131" s="794">
        <v>109</v>
      </c>
      <c r="I131" s="607"/>
      <c r="J131" s="538"/>
      <c r="K131" s="538"/>
      <c r="L131" s="608"/>
      <c r="M131" s="586"/>
    </row>
    <row r="132" spans="1:13" ht="15">
      <c r="A132" s="1461">
        <v>125</v>
      </c>
      <c r="B132" s="811"/>
      <c r="C132" s="545"/>
      <c r="D132" s="539" t="s">
        <v>403</v>
      </c>
      <c r="E132" s="788"/>
      <c r="F132" s="796"/>
      <c r="G132" s="796"/>
      <c r="H132" s="797"/>
      <c r="I132" s="607">
        <v>3456</v>
      </c>
      <c r="J132" s="538"/>
      <c r="K132" s="538"/>
      <c r="L132" s="609">
        <f>SUM(I132:K132)</f>
        <v>3456</v>
      </c>
      <c r="M132" s="591"/>
    </row>
    <row r="133" spans="1:13" ht="15">
      <c r="A133" s="1461">
        <v>126</v>
      </c>
      <c r="B133" s="811"/>
      <c r="C133" s="545"/>
      <c r="D133" s="539" t="s">
        <v>957</v>
      </c>
      <c r="E133" s="788"/>
      <c r="F133" s="796"/>
      <c r="G133" s="796"/>
      <c r="H133" s="797"/>
      <c r="I133" s="607">
        <v>18126</v>
      </c>
      <c r="J133" s="538"/>
      <c r="K133" s="538"/>
      <c r="L133" s="609">
        <f>SUM(I133:K133)</f>
        <v>18126</v>
      </c>
      <c r="M133" s="591"/>
    </row>
    <row r="134" spans="1:13" s="753" customFormat="1" ht="15">
      <c r="A134" s="1461">
        <v>127</v>
      </c>
      <c r="B134" s="812"/>
      <c r="C134" s="1464"/>
      <c r="D134" s="541" t="s">
        <v>405</v>
      </c>
      <c r="E134" s="782"/>
      <c r="F134" s="567"/>
      <c r="G134" s="567"/>
      <c r="H134" s="745"/>
      <c r="I134" s="610"/>
      <c r="J134" s="555"/>
      <c r="K134" s="555"/>
      <c r="L134" s="611">
        <f>SUM(I134:K134)</f>
        <v>0</v>
      </c>
      <c r="M134" s="594"/>
    </row>
    <row r="135" spans="1:13" s="754" customFormat="1" ht="15">
      <c r="A135" s="1461">
        <v>128</v>
      </c>
      <c r="B135" s="577"/>
      <c r="C135" s="1465"/>
      <c r="D135" s="542" t="s">
        <v>1067</v>
      </c>
      <c r="E135" s="576"/>
      <c r="F135" s="568"/>
      <c r="G135" s="568"/>
      <c r="H135" s="746"/>
      <c r="I135" s="615">
        <f>SUM(I133:I134)</f>
        <v>18126</v>
      </c>
      <c r="J135" s="568">
        <f>SUM(J133:J134)</f>
        <v>0</v>
      </c>
      <c r="K135" s="568">
        <f>SUM(K133:K134)</f>
        <v>0</v>
      </c>
      <c r="L135" s="608">
        <f>SUM(I135:K135)</f>
        <v>18126</v>
      </c>
      <c r="M135" s="593">
        <f>SUM(M132:M134)</f>
        <v>0</v>
      </c>
    </row>
    <row r="136" spans="1:13" s="752" customFormat="1" ht="30">
      <c r="A136" s="1461">
        <v>129</v>
      </c>
      <c r="B136" s="811"/>
      <c r="C136" s="1466">
        <v>28</v>
      </c>
      <c r="D136" s="557" t="s">
        <v>513</v>
      </c>
      <c r="E136" s="782" t="s">
        <v>799</v>
      </c>
      <c r="F136" s="562">
        <v>437280</v>
      </c>
      <c r="G136" s="562">
        <v>123732</v>
      </c>
      <c r="H136" s="794">
        <v>109329</v>
      </c>
      <c r="I136" s="607"/>
      <c r="J136" s="538"/>
      <c r="K136" s="538"/>
      <c r="L136" s="608"/>
      <c r="M136" s="586"/>
    </row>
    <row r="137" spans="1:13" ht="15">
      <c r="A137" s="1461">
        <v>130</v>
      </c>
      <c r="B137" s="811"/>
      <c r="C137" s="545"/>
      <c r="D137" s="539" t="s">
        <v>403</v>
      </c>
      <c r="E137" s="788"/>
      <c r="F137" s="796"/>
      <c r="G137" s="796"/>
      <c r="H137" s="797"/>
      <c r="I137" s="607">
        <v>88000</v>
      </c>
      <c r="J137" s="538"/>
      <c r="K137" s="538"/>
      <c r="L137" s="609">
        <f>SUM(I137:K137)</f>
        <v>88000</v>
      </c>
      <c r="M137" s="591">
        <v>116219</v>
      </c>
    </row>
    <row r="138" spans="1:13" ht="15">
      <c r="A138" s="1461">
        <v>131</v>
      </c>
      <c r="B138" s="811"/>
      <c r="C138" s="545"/>
      <c r="D138" s="539" t="s">
        <v>957</v>
      </c>
      <c r="E138" s="788"/>
      <c r="F138" s="796"/>
      <c r="G138" s="796"/>
      <c r="H138" s="797"/>
      <c r="I138" s="607">
        <v>88000</v>
      </c>
      <c r="J138" s="538"/>
      <c r="K138" s="538"/>
      <c r="L138" s="609">
        <f>SUM(I138:K138)</f>
        <v>88000</v>
      </c>
      <c r="M138" s="591"/>
    </row>
    <row r="139" spans="1:13" s="753" customFormat="1" ht="15">
      <c r="A139" s="1461">
        <v>132</v>
      </c>
      <c r="B139" s="812"/>
      <c r="C139" s="1464"/>
      <c r="D139" s="541" t="s">
        <v>405</v>
      </c>
      <c r="E139" s="782"/>
      <c r="F139" s="567"/>
      <c r="G139" s="567"/>
      <c r="H139" s="745"/>
      <c r="I139" s="610"/>
      <c r="J139" s="555"/>
      <c r="K139" s="555"/>
      <c r="L139" s="611">
        <f>SUM(I139:K139)</f>
        <v>0</v>
      </c>
      <c r="M139" s="594"/>
    </row>
    <row r="140" spans="1:13" s="754" customFormat="1" ht="15">
      <c r="A140" s="1461">
        <v>133</v>
      </c>
      <c r="B140" s="577"/>
      <c r="C140" s="1465"/>
      <c r="D140" s="542" t="s">
        <v>1067</v>
      </c>
      <c r="E140" s="576"/>
      <c r="F140" s="568"/>
      <c r="G140" s="568"/>
      <c r="H140" s="746"/>
      <c r="I140" s="615">
        <f>SUM(I138:I139)</f>
        <v>88000</v>
      </c>
      <c r="J140" s="568">
        <f>SUM(J138:J139)</f>
        <v>0</v>
      </c>
      <c r="K140" s="568">
        <f>SUM(K138:K139)</f>
        <v>0</v>
      </c>
      <c r="L140" s="608">
        <f>SUM(I140:K140)</f>
        <v>88000</v>
      </c>
      <c r="M140" s="593">
        <f>SUM(M137:M139)</f>
        <v>116219</v>
      </c>
    </row>
    <row r="141" spans="1:13" s="752" customFormat="1" ht="15">
      <c r="A141" s="1461">
        <v>134</v>
      </c>
      <c r="B141" s="535"/>
      <c r="C141" s="545">
        <v>29</v>
      </c>
      <c r="D141" s="557" t="s">
        <v>514</v>
      </c>
      <c r="E141" s="782" t="s">
        <v>799</v>
      </c>
      <c r="F141" s="553">
        <v>200025</v>
      </c>
      <c r="G141" s="553">
        <v>0</v>
      </c>
      <c r="H141" s="794">
        <v>72525</v>
      </c>
      <c r="I141" s="607"/>
      <c r="J141" s="538"/>
      <c r="K141" s="538"/>
      <c r="L141" s="608"/>
      <c r="M141" s="586"/>
    </row>
    <row r="142" spans="1:13" ht="15">
      <c r="A142" s="1461">
        <v>135</v>
      </c>
      <c r="B142" s="811"/>
      <c r="C142" s="545"/>
      <c r="D142" s="539" t="s">
        <v>403</v>
      </c>
      <c r="E142" s="788"/>
      <c r="F142" s="796"/>
      <c r="G142" s="796"/>
      <c r="H142" s="797"/>
      <c r="I142" s="607">
        <v>70000</v>
      </c>
      <c r="J142" s="538"/>
      <c r="K142" s="538"/>
      <c r="L142" s="609">
        <f aca="true" t="shared" si="0" ref="L142:L230">SUM(I142:K142)</f>
        <v>70000</v>
      </c>
      <c r="M142" s="591">
        <v>57500</v>
      </c>
    </row>
    <row r="143" spans="1:13" ht="15">
      <c r="A143" s="1461">
        <v>136</v>
      </c>
      <c r="B143" s="811"/>
      <c r="C143" s="545"/>
      <c r="D143" s="539" t="s">
        <v>957</v>
      </c>
      <c r="E143" s="788"/>
      <c r="F143" s="796"/>
      <c r="G143" s="796"/>
      <c r="H143" s="797"/>
      <c r="I143" s="607">
        <v>70000</v>
      </c>
      <c r="J143" s="538"/>
      <c r="K143" s="538"/>
      <c r="L143" s="609">
        <f t="shared" si="0"/>
        <v>70000</v>
      </c>
      <c r="M143" s="591"/>
    </row>
    <row r="144" spans="1:13" s="753" customFormat="1" ht="15">
      <c r="A144" s="1461">
        <v>137</v>
      </c>
      <c r="B144" s="812"/>
      <c r="C144" s="1464"/>
      <c r="D144" s="541" t="s">
        <v>405</v>
      </c>
      <c r="E144" s="782"/>
      <c r="F144" s="567"/>
      <c r="G144" s="567"/>
      <c r="H144" s="745"/>
      <c r="I144" s="610"/>
      <c r="J144" s="555"/>
      <c r="K144" s="555"/>
      <c r="L144" s="611">
        <f t="shared" si="0"/>
        <v>0</v>
      </c>
      <c r="M144" s="594"/>
    </row>
    <row r="145" spans="1:13" s="754" customFormat="1" ht="15">
      <c r="A145" s="1461">
        <v>138</v>
      </c>
      <c r="B145" s="577"/>
      <c r="C145" s="1465"/>
      <c r="D145" s="542" t="s">
        <v>1067</v>
      </c>
      <c r="E145" s="576"/>
      <c r="F145" s="568"/>
      <c r="G145" s="568"/>
      <c r="H145" s="746"/>
      <c r="I145" s="615">
        <f>SUM(I143:I144)</f>
        <v>70000</v>
      </c>
      <c r="J145" s="568">
        <f>SUM(J143:J144)</f>
        <v>0</v>
      </c>
      <c r="K145" s="568">
        <f>SUM(K143:K144)</f>
        <v>0</v>
      </c>
      <c r="L145" s="608">
        <f t="shared" si="0"/>
        <v>70000</v>
      </c>
      <c r="M145" s="593">
        <f>SUM(M142:M144)</f>
        <v>57500</v>
      </c>
    </row>
    <row r="146" spans="1:13" ht="45">
      <c r="A146" s="1461">
        <v>139</v>
      </c>
      <c r="B146" s="811"/>
      <c r="C146" s="1466">
        <v>30</v>
      </c>
      <c r="D146" s="557" t="s">
        <v>531</v>
      </c>
      <c r="E146" s="782" t="s">
        <v>799</v>
      </c>
      <c r="F146" s="543">
        <v>15290</v>
      </c>
      <c r="G146" s="557">
        <v>0</v>
      </c>
      <c r="H146" s="791">
        <v>0</v>
      </c>
      <c r="I146" s="607"/>
      <c r="J146" s="538"/>
      <c r="K146" s="538"/>
      <c r="L146" s="608"/>
      <c r="M146" s="586"/>
    </row>
    <row r="147" spans="1:13" ht="15">
      <c r="A147" s="1461">
        <v>140</v>
      </c>
      <c r="B147" s="811"/>
      <c r="C147" s="545"/>
      <c r="D147" s="539" t="s">
        <v>403</v>
      </c>
      <c r="E147" s="788"/>
      <c r="F147" s="796"/>
      <c r="G147" s="543"/>
      <c r="H147" s="803"/>
      <c r="I147" s="607">
        <v>15290</v>
      </c>
      <c r="J147" s="538"/>
      <c r="K147" s="538"/>
      <c r="L147" s="609">
        <f t="shared" si="0"/>
        <v>15290</v>
      </c>
      <c r="M147" s="589"/>
    </row>
    <row r="148" spans="1:13" ht="15">
      <c r="A148" s="1461">
        <v>141</v>
      </c>
      <c r="B148" s="811"/>
      <c r="C148" s="545"/>
      <c r="D148" s="539" t="s">
        <v>957</v>
      </c>
      <c r="E148" s="788"/>
      <c r="F148" s="796"/>
      <c r="G148" s="543"/>
      <c r="H148" s="803"/>
      <c r="I148" s="607">
        <v>15290</v>
      </c>
      <c r="J148" s="538"/>
      <c r="K148" s="538"/>
      <c r="L148" s="609">
        <f t="shared" si="0"/>
        <v>15290</v>
      </c>
      <c r="M148" s="589"/>
    </row>
    <row r="149" spans="1:13" ht="15">
      <c r="A149" s="1461">
        <v>142</v>
      </c>
      <c r="B149" s="811"/>
      <c r="C149" s="545"/>
      <c r="D149" s="541" t="s">
        <v>405</v>
      </c>
      <c r="E149" s="782"/>
      <c r="F149" s="543"/>
      <c r="G149" s="543"/>
      <c r="H149" s="803"/>
      <c r="I149" s="607"/>
      <c r="J149" s="538"/>
      <c r="K149" s="538"/>
      <c r="L149" s="611">
        <f t="shared" si="0"/>
        <v>0</v>
      </c>
      <c r="M149" s="589"/>
    </row>
    <row r="150" spans="1:13" ht="15">
      <c r="A150" s="1461">
        <v>143</v>
      </c>
      <c r="B150" s="811"/>
      <c r="C150" s="545"/>
      <c r="D150" s="542" t="s">
        <v>1067</v>
      </c>
      <c r="E150" s="782"/>
      <c r="F150" s="570"/>
      <c r="G150" s="570"/>
      <c r="H150" s="804"/>
      <c r="I150" s="617">
        <f>SUM(I148:I149)</f>
        <v>15290</v>
      </c>
      <c r="J150" s="570">
        <f>SUM(J148:J149)</f>
        <v>0</v>
      </c>
      <c r="K150" s="570">
        <f>SUM(K148:K149)</f>
        <v>0</v>
      </c>
      <c r="L150" s="608">
        <f t="shared" si="0"/>
        <v>15290</v>
      </c>
      <c r="M150" s="596">
        <f>SUM(M147:M149)</f>
        <v>0</v>
      </c>
    </row>
    <row r="151" spans="1:13" ht="60">
      <c r="A151" s="1461">
        <v>144</v>
      </c>
      <c r="B151" s="566"/>
      <c r="C151" s="1466">
        <v>31</v>
      </c>
      <c r="D151" s="557" t="s">
        <v>295</v>
      </c>
      <c r="E151" s="782" t="s">
        <v>799</v>
      </c>
      <c r="F151" s="543">
        <v>3100</v>
      </c>
      <c r="G151" s="557">
        <v>0</v>
      </c>
      <c r="H151" s="791">
        <v>0</v>
      </c>
      <c r="I151" s="607"/>
      <c r="J151" s="538"/>
      <c r="K151" s="538"/>
      <c r="L151" s="608"/>
      <c r="M151" s="586"/>
    </row>
    <row r="152" spans="1:13" ht="15">
      <c r="A152" s="1461">
        <v>145</v>
      </c>
      <c r="B152" s="811"/>
      <c r="C152" s="545"/>
      <c r="D152" s="539" t="s">
        <v>403</v>
      </c>
      <c r="E152" s="788"/>
      <c r="F152" s="796"/>
      <c r="G152" s="543"/>
      <c r="H152" s="803"/>
      <c r="I152" s="607">
        <v>3100</v>
      </c>
      <c r="J152" s="538"/>
      <c r="K152" s="538"/>
      <c r="L152" s="609">
        <f t="shared" si="0"/>
        <v>3100</v>
      </c>
      <c r="M152" s="589"/>
    </row>
    <row r="153" spans="1:13" ht="15">
      <c r="A153" s="1461">
        <v>146</v>
      </c>
      <c r="B153" s="811"/>
      <c r="C153" s="545"/>
      <c r="D153" s="539" t="s">
        <v>957</v>
      </c>
      <c r="E153" s="788"/>
      <c r="F153" s="796"/>
      <c r="G153" s="543"/>
      <c r="H153" s="803"/>
      <c r="I153" s="607">
        <v>3100</v>
      </c>
      <c r="J153" s="538"/>
      <c r="K153" s="538"/>
      <c r="L153" s="609">
        <f t="shared" si="0"/>
        <v>3100</v>
      </c>
      <c r="M153" s="589"/>
    </row>
    <row r="154" spans="1:13" ht="15">
      <c r="A154" s="1461">
        <v>147</v>
      </c>
      <c r="B154" s="811"/>
      <c r="C154" s="545"/>
      <c r="D154" s="541" t="s">
        <v>405</v>
      </c>
      <c r="E154" s="782"/>
      <c r="F154" s="543"/>
      <c r="G154" s="543"/>
      <c r="H154" s="803"/>
      <c r="I154" s="607"/>
      <c r="J154" s="538"/>
      <c r="K154" s="538"/>
      <c r="L154" s="611">
        <f t="shared" si="0"/>
        <v>0</v>
      </c>
      <c r="M154" s="589"/>
    </row>
    <row r="155" spans="1:13" ht="15">
      <c r="A155" s="1461">
        <v>148</v>
      </c>
      <c r="B155" s="811"/>
      <c r="C155" s="545"/>
      <c r="D155" s="542" t="s">
        <v>1067</v>
      </c>
      <c r="E155" s="782"/>
      <c r="F155" s="570"/>
      <c r="G155" s="570"/>
      <c r="H155" s="804"/>
      <c r="I155" s="617">
        <f>SUM(I153:I154)</f>
        <v>3100</v>
      </c>
      <c r="J155" s="570">
        <f>SUM(J153:J154)</f>
        <v>0</v>
      </c>
      <c r="K155" s="570">
        <f>SUM(K153:K154)</f>
        <v>0</v>
      </c>
      <c r="L155" s="608">
        <f t="shared" si="0"/>
        <v>3100</v>
      </c>
      <c r="M155" s="596">
        <f>SUM(M152:M154)</f>
        <v>0</v>
      </c>
    </row>
    <row r="156" spans="1:13" ht="60">
      <c r="A156" s="1461">
        <v>149</v>
      </c>
      <c r="B156" s="811"/>
      <c r="C156" s="1466">
        <v>32</v>
      </c>
      <c r="D156" s="557" t="s">
        <v>296</v>
      </c>
      <c r="E156" s="782" t="s">
        <v>799</v>
      </c>
      <c r="F156" s="543">
        <v>3600</v>
      </c>
      <c r="G156" s="557">
        <v>0</v>
      </c>
      <c r="H156" s="791">
        <v>0</v>
      </c>
      <c r="I156" s="607"/>
      <c r="J156" s="538"/>
      <c r="K156" s="538"/>
      <c r="L156" s="608"/>
      <c r="M156" s="586"/>
    </row>
    <row r="157" spans="1:13" ht="15">
      <c r="A157" s="1461">
        <v>150</v>
      </c>
      <c r="B157" s="811"/>
      <c r="C157" s="545"/>
      <c r="D157" s="539" t="s">
        <v>403</v>
      </c>
      <c r="E157" s="788"/>
      <c r="F157" s="796"/>
      <c r="G157" s="543"/>
      <c r="H157" s="803"/>
      <c r="I157" s="607">
        <v>3600</v>
      </c>
      <c r="J157" s="538"/>
      <c r="K157" s="538"/>
      <c r="L157" s="609">
        <f t="shared" si="0"/>
        <v>3600</v>
      </c>
      <c r="M157" s="589"/>
    </row>
    <row r="158" spans="1:13" ht="15">
      <c r="A158" s="1461">
        <v>151</v>
      </c>
      <c r="B158" s="811"/>
      <c r="C158" s="545"/>
      <c r="D158" s="539" t="s">
        <v>957</v>
      </c>
      <c r="E158" s="788"/>
      <c r="F158" s="796"/>
      <c r="G158" s="543"/>
      <c r="H158" s="803"/>
      <c r="I158" s="607">
        <v>3600</v>
      </c>
      <c r="J158" s="538"/>
      <c r="K158" s="538"/>
      <c r="L158" s="609">
        <f t="shared" si="0"/>
        <v>3600</v>
      </c>
      <c r="M158" s="589"/>
    </row>
    <row r="159" spans="1:13" ht="15">
      <c r="A159" s="1461">
        <v>152</v>
      </c>
      <c r="B159" s="811"/>
      <c r="C159" s="545"/>
      <c r="D159" s="541" t="s">
        <v>405</v>
      </c>
      <c r="E159" s="782"/>
      <c r="F159" s="543"/>
      <c r="G159" s="543"/>
      <c r="H159" s="803"/>
      <c r="I159" s="607"/>
      <c r="J159" s="538"/>
      <c r="K159" s="538"/>
      <c r="L159" s="611">
        <f t="shared" si="0"/>
        <v>0</v>
      </c>
      <c r="M159" s="589"/>
    </row>
    <row r="160" spans="1:13" ht="15">
      <c r="A160" s="1461">
        <v>153</v>
      </c>
      <c r="B160" s="811"/>
      <c r="C160" s="545"/>
      <c r="D160" s="542" t="s">
        <v>1067</v>
      </c>
      <c r="E160" s="782"/>
      <c r="F160" s="570"/>
      <c r="G160" s="570"/>
      <c r="H160" s="804"/>
      <c r="I160" s="617">
        <f>SUM(I158:I159)</f>
        <v>3600</v>
      </c>
      <c r="J160" s="570">
        <f>SUM(J158:J159)</f>
        <v>0</v>
      </c>
      <c r="K160" s="570">
        <f>SUM(K158:K159)</f>
        <v>0</v>
      </c>
      <c r="L160" s="608">
        <f>SUM(I160:K160)</f>
        <v>3600</v>
      </c>
      <c r="M160" s="596">
        <f>SUM(M157:M159)</f>
        <v>0</v>
      </c>
    </row>
    <row r="161" spans="1:13" s="752" customFormat="1" ht="15">
      <c r="A161" s="1461">
        <v>154</v>
      </c>
      <c r="B161" s="535"/>
      <c r="C161" s="545">
        <v>33</v>
      </c>
      <c r="D161" s="557" t="s">
        <v>533</v>
      </c>
      <c r="E161" s="782" t="s">
        <v>799</v>
      </c>
      <c r="F161" s="553">
        <f>SUM(I166,M166)</f>
        <v>7200</v>
      </c>
      <c r="G161" s="553">
        <v>0</v>
      </c>
      <c r="H161" s="794">
        <v>0</v>
      </c>
      <c r="I161" s="607"/>
      <c r="J161" s="538"/>
      <c r="K161" s="538"/>
      <c r="L161" s="608"/>
      <c r="M161" s="586"/>
    </row>
    <row r="162" spans="1:13" ht="15">
      <c r="A162" s="1461">
        <v>155</v>
      </c>
      <c r="B162" s="811"/>
      <c r="C162" s="545"/>
      <c r="D162" s="539" t="s">
        <v>403</v>
      </c>
      <c r="E162" s="788"/>
      <c r="F162" s="796"/>
      <c r="G162" s="796"/>
      <c r="H162" s="797"/>
      <c r="I162" s="607">
        <v>5000</v>
      </c>
      <c r="J162" s="538"/>
      <c r="K162" s="538"/>
      <c r="L162" s="609">
        <f t="shared" si="0"/>
        <v>5000</v>
      </c>
      <c r="M162" s="591"/>
    </row>
    <row r="163" spans="1:13" ht="15">
      <c r="A163" s="1461">
        <v>156</v>
      </c>
      <c r="B163" s="811"/>
      <c r="C163" s="545"/>
      <c r="D163" s="539" t="s">
        <v>957</v>
      </c>
      <c r="E163" s="788"/>
      <c r="F163" s="796"/>
      <c r="G163" s="796"/>
      <c r="H163" s="797"/>
      <c r="I163" s="607">
        <v>7200</v>
      </c>
      <c r="J163" s="538"/>
      <c r="K163" s="538"/>
      <c r="L163" s="609">
        <f t="shared" si="0"/>
        <v>7200</v>
      </c>
      <c r="M163" s="591"/>
    </row>
    <row r="164" spans="1:13" s="753" customFormat="1" ht="15">
      <c r="A164" s="1461">
        <v>157</v>
      </c>
      <c r="B164" s="812"/>
      <c r="C164" s="1464"/>
      <c r="D164" s="541" t="s">
        <v>1069</v>
      </c>
      <c r="E164" s="782"/>
      <c r="F164" s="567"/>
      <c r="G164" s="567"/>
      <c r="H164" s="745"/>
      <c r="I164" s="610"/>
      <c r="J164" s="555"/>
      <c r="K164" s="555"/>
      <c r="L164" s="611">
        <f>SUM(I164:K164)</f>
        <v>0</v>
      </c>
      <c r="M164" s="594"/>
    </row>
    <row r="165" spans="1:13" s="753" customFormat="1" ht="15">
      <c r="A165" s="1461">
        <v>158</v>
      </c>
      <c r="B165" s="812"/>
      <c r="C165" s="1464"/>
      <c r="D165" s="541" t="s">
        <v>1036</v>
      </c>
      <c r="E165" s="782"/>
      <c r="F165" s="567"/>
      <c r="G165" s="567"/>
      <c r="H165" s="745"/>
      <c r="I165" s="610"/>
      <c r="J165" s="555"/>
      <c r="K165" s="555"/>
      <c r="L165" s="611">
        <f>SUM(I165:K165)</f>
        <v>0</v>
      </c>
      <c r="M165" s="594"/>
    </row>
    <row r="166" spans="1:13" ht="15">
      <c r="A166" s="1461">
        <v>159</v>
      </c>
      <c r="B166" s="811"/>
      <c r="C166" s="545"/>
      <c r="D166" s="542" t="s">
        <v>1067</v>
      </c>
      <c r="E166" s="782"/>
      <c r="F166" s="570"/>
      <c r="G166" s="570"/>
      <c r="H166" s="804"/>
      <c r="I166" s="617">
        <f>SUM(I163:I165)</f>
        <v>7200</v>
      </c>
      <c r="J166" s="570">
        <f>SUM(J163:J165)</f>
        <v>0</v>
      </c>
      <c r="K166" s="570">
        <f>SUM(K163:K165)</f>
        <v>0</v>
      </c>
      <c r="L166" s="608">
        <f>SUM(L163:L165)</f>
        <v>7200</v>
      </c>
      <c r="M166" s="596">
        <f>SUM(M162:M164)</f>
        <v>0</v>
      </c>
    </row>
    <row r="167" spans="1:13" s="752" customFormat="1" ht="15">
      <c r="A167" s="1461">
        <v>160</v>
      </c>
      <c r="B167" s="535"/>
      <c r="C167" s="545">
        <v>34</v>
      </c>
      <c r="D167" s="557" t="s">
        <v>534</v>
      </c>
      <c r="E167" s="782" t="s">
        <v>799</v>
      </c>
      <c r="F167" s="553">
        <f>SUM(I171,M171)</f>
        <v>12000</v>
      </c>
      <c r="G167" s="553">
        <v>0</v>
      </c>
      <c r="H167" s="794">
        <v>0</v>
      </c>
      <c r="I167" s="607"/>
      <c r="J167" s="538"/>
      <c r="K167" s="538"/>
      <c r="L167" s="608"/>
      <c r="M167" s="586"/>
    </row>
    <row r="168" spans="1:13" ht="15">
      <c r="A168" s="1461">
        <v>161</v>
      </c>
      <c r="B168" s="811"/>
      <c r="C168" s="545"/>
      <c r="D168" s="539" t="s">
        <v>403</v>
      </c>
      <c r="E168" s="788"/>
      <c r="F168" s="796"/>
      <c r="G168" s="796"/>
      <c r="H168" s="797"/>
      <c r="I168" s="607">
        <v>2000</v>
      </c>
      <c r="J168" s="538"/>
      <c r="K168" s="538"/>
      <c r="L168" s="609">
        <f t="shared" si="0"/>
        <v>2000</v>
      </c>
      <c r="M168" s="591">
        <v>10000</v>
      </c>
    </row>
    <row r="169" spans="1:13" ht="15">
      <c r="A169" s="1461">
        <v>162</v>
      </c>
      <c r="B169" s="811"/>
      <c r="C169" s="545"/>
      <c r="D169" s="539" t="s">
        <v>957</v>
      </c>
      <c r="E169" s="788"/>
      <c r="F169" s="796"/>
      <c r="G169" s="796"/>
      <c r="H169" s="797"/>
      <c r="I169" s="607">
        <v>2000</v>
      </c>
      <c r="J169" s="538"/>
      <c r="K169" s="538"/>
      <c r="L169" s="609">
        <f t="shared" si="0"/>
        <v>2000</v>
      </c>
      <c r="M169" s="591"/>
    </row>
    <row r="170" spans="1:13" s="753" customFormat="1" ht="15">
      <c r="A170" s="1461">
        <v>163</v>
      </c>
      <c r="B170" s="812"/>
      <c r="C170" s="1464"/>
      <c r="D170" s="541" t="s">
        <v>405</v>
      </c>
      <c r="E170" s="782"/>
      <c r="F170" s="567"/>
      <c r="G170" s="567"/>
      <c r="H170" s="745"/>
      <c r="I170" s="610"/>
      <c r="J170" s="555"/>
      <c r="K170" s="555"/>
      <c r="L170" s="611">
        <f t="shared" si="0"/>
        <v>0</v>
      </c>
      <c r="M170" s="594"/>
    </row>
    <row r="171" spans="1:13" s="754" customFormat="1" ht="15">
      <c r="A171" s="1461">
        <v>164</v>
      </c>
      <c r="B171" s="577"/>
      <c r="C171" s="1465"/>
      <c r="D171" s="542" t="s">
        <v>1067</v>
      </c>
      <c r="E171" s="576"/>
      <c r="F171" s="568"/>
      <c r="G171" s="568"/>
      <c r="H171" s="746"/>
      <c r="I171" s="615">
        <f>SUM(I169:I170)</f>
        <v>2000</v>
      </c>
      <c r="J171" s="568">
        <f>SUM(J169:J170)</f>
        <v>0</v>
      </c>
      <c r="K171" s="568">
        <f>SUM(K169:K170)</f>
        <v>0</v>
      </c>
      <c r="L171" s="608">
        <f t="shared" si="0"/>
        <v>2000</v>
      </c>
      <c r="M171" s="593">
        <f>SUM(M168:M170)</f>
        <v>10000</v>
      </c>
    </row>
    <row r="172" spans="1:13" s="752" customFormat="1" ht="15">
      <c r="A172" s="1461">
        <v>165</v>
      </c>
      <c r="B172" s="535"/>
      <c r="C172" s="545">
        <v>35</v>
      </c>
      <c r="D172" s="557" t="s">
        <v>535</v>
      </c>
      <c r="E172" s="782" t="s">
        <v>799</v>
      </c>
      <c r="F172" s="553">
        <v>23258</v>
      </c>
      <c r="G172" s="553">
        <v>3258</v>
      </c>
      <c r="H172" s="794">
        <v>0</v>
      </c>
      <c r="I172" s="607"/>
      <c r="J172" s="538"/>
      <c r="K172" s="538"/>
      <c r="L172" s="609"/>
      <c r="M172" s="586"/>
    </row>
    <row r="173" spans="1:13" ht="15">
      <c r="A173" s="1461">
        <v>166</v>
      </c>
      <c r="B173" s="811"/>
      <c r="C173" s="545"/>
      <c r="D173" s="539" t="s">
        <v>403</v>
      </c>
      <c r="E173" s="788"/>
      <c r="F173" s="796"/>
      <c r="G173" s="796"/>
      <c r="H173" s="797"/>
      <c r="I173" s="607">
        <v>15000</v>
      </c>
      <c r="J173" s="538"/>
      <c r="K173" s="538"/>
      <c r="L173" s="609">
        <f t="shared" si="0"/>
        <v>15000</v>
      </c>
      <c r="M173" s="591"/>
    </row>
    <row r="174" spans="1:13" ht="15">
      <c r="A174" s="1461">
        <v>167</v>
      </c>
      <c r="B174" s="811"/>
      <c r="C174" s="545"/>
      <c r="D174" s="539" t="s">
        <v>957</v>
      </c>
      <c r="E174" s="788"/>
      <c r="F174" s="796"/>
      <c r="G174" s="796"/>
      <c r="H174" s="797"/>
      <c r="I174" s="607">
        <v>20000</v>
      </c>
      <c r="J174" s="538"/>
      <c r="K174" s="538"/>
      <c r="L174" s="609">
        <f t="shared" si="0"/>
        <v>20000</v>
      </c>
      <c r="M174" s="591"/>
    </row>
    <row r="175" spans="1:13" s="753" customFormat="1" ht="15">
      <c r="A175" s="1461">
        <v>168</v>
      </c>
      <c r="B175" s="812"/>
      <c r="C175" s="1464"/>
      <c r="D175" s="541" t="s">
        <v>405</v>
      </c>
      <c r="E175" s="782"/>
      <c r="F175" s="567"/>
      <c r="G175" s="567"/>
      <c r="H175" s="745"/>
      <c r="I175" s="610"/>
      <c r="J175" s="555"/>
      <c r="K175" s="555"/>
      <c r="L175" s="611">
        <f t="shared" si="0"/>
        <v>0</v>
      </c>
      <c r="M175" s="594"/>
    </row>
    <row r="176" spans="1:13" s="754" customFormat="1" ht="15">
      <c r="A176" s="1461">
        <v>169</v>
      </c>
      <c r="B176" s="577"/>
      <c r="C176" s="1465"/>
      <c r="D176" s="542" t="s">
        <v>1067</v>
      </c>
      <c r="E176" s="576"/>
      <c r="F176" s="568"/>
      <c r="G176" s="568"/>
      <c r="H176" s="746"/>
      <c r="I176" s="615">
        <f>SUM(I174:I175)</f>
        <v>20000</v>
      </c>
      <c r="J176" s="568">
        <f>SUM(J174:J175)</f>
        <v>0</v>
      </c>
      <c r="K176" s="568">
        <f>SUM(K174:K175)</f>
        <v>0</v>
      </c>
      <c r="L176" s="608">
        <f t="shared" si="0"/>
        <v>20000</v>
      </c>
      <c r="M176" s="593">
        <f>SUM(M173:M175)</f>
        <v>0</v>
      </c>
    </row>
    <row r="177" spans="1:13" s="752" customFormat="1" ht="15">
      <c r="A177" s="1461">
        <v>170</v>
      </c>
      <c r="B177" s="535"/>
      <c r="C177" s="545">
        <v>36</v>
      </c>
      <c r="D177" s="557" t="s">
        <v>537</v>
      </c>
      <c r="E177" s="782" t="s">
        <v>799</v>
      </c>
      <c r="F177" s="553">
        <f>SUM(H177,I181,M181)</f>
        <v>32000</v>
      </c>
      <c r="G177" s="553">
        <v>0</v>
      </c>
      <c r="H177" s="794">
        <v>790</v>
      </c>
      <c r="I177" s="607"/>
      <c r="J177" s="538"/>
      <c r="K177" s="538"/>
      <c r="L177" s="609"/>
      <c r="M177" s="586"/>
    </row>
    <row r="178" spans="1:13" ht="15">
      <c r="A178" s="1461">
        <v>171</v>
      </c>
      <c r="B178" s="811"/>
      <c r="C178" s="545"/>
      <c r="D178" s="539" t="s">
        <v>403</v>
      </c>
      <c r="E178" s="788"/>
      <c r="F178" s="796"/>
      <c r="G178" s="796"/>
      <c r="H178" s="797"/>
      <c r="I178" s="607">
        <v>10000</v>
      </c>
      <c r="J178" s="538"/>
      <c r="K178" s="538"/>
      <c r="L178" s="609">
        <f t="shared" si="0"/>
        <v>10000</v>
      </c>
      <c r="M178" s="591">
        <v>12000</v>
      </c>
    </row>
    <row r="179" spans="1:13" ht="15">
      <c r="A179" s="1461">
        <v>172</v>
      </c>
      <c r="B179" s="811"/>
      <c r="C179" s="545"/>
      <c r="D179" s="539" t="s">
        <v>957</v>
      </c>
      <c r="E179" s="788"/>
      <c r="F179" s="796"/>
      <c r="G179" s="796"/>
      <c r="H179" s="797"/>
      <c r="I179" s="607">
        <v>19210</v>
      </c>
      <c r="J179" s="538"/>
      <c r="K179" s="538"/>
      <c r="L179" s="609">
        <f t="shared" si="0"/>
        <v>19210</v>
      </c>
      <c r="M179" s="591"/>
    </row>
    <row r="180" spans="1:13" s="753" customFormat="1" ht="15">
      <c r="A180" s="1461">
        <v>173</v>
      </c>
      <c r="B180" s="812"/>
      <c r="C180" s="1464"/>
      <c r="D180" s="541" t="s">
        <v>405</v>
      </c>
      <c r="E180" s="782"/>
      <c r="F180" s="567"/>
      <c r="G180" s="567"/>
      <c r="H180" s="745"/>
      <c r="I180" s="610"/>
      <c r="J180" s="555"/>
      <c r="K180" s="555"/>
      <c r="L180" s="611">
        <f t="shared" si="0"/>
        <v>0</v>
      </c>
      <c r="M180" s="594"/>
    </row>
    <row r="181" spans="1:13" s="754" customFormat="1" ht="15">
      <c r="A181" s="1461">
        <v>174</v>
      </c>
      <c r="B181" s="577"/>
      <c r="C181" s="1465"/>
      <c r="D181" s="542" t="s">
        <v>1067</v>
      </c>
      <c r="E181" s="576"/>
      <c r="F181" s="568"/>
      <c r="G181" s="568"/>
      <c r="H181" s="746"/>
      <c r="I181" s="615">
        <f>SUM(I179:I180)</f>
        <v>19210</v>
      </c>
      <c r="J181" s="568">
        <f>SUM(J179:J180)</f>
        <v>0</v>
      </c>
      <c r="K181" s="568">
        <f>SUM(K179:K180)</f>
        <v>0</v>
      </c>
      <c r="L181" s="608">
        <f t="shared" si="0"/>
        <v>19210</v>
      </c>
      <c r="M181" s="593">
        <f>SUM(M178:M180)</f>
        <v>12000</v>
      </c>
    </row>
    <row r="182" spans="1:13" s="752" customFormat="1" ht="15">
      <c r="A182" s="1461">
        <v>175</v>
      </c>
      <c r="B182" s="535"/>
      <c r="C182" s="545">
        <v>37</v>
      </c>
      <c r="D182" s="557" t="s">
        <v>538</v>
      </c>
      <c r="E182" s="782" t="s">
        <v>799</v>
      </c>
      <c r="F182" s="553">
        <v>3000</v>
      </c>
      <c r="G182" s="553">
        <v>0</v>
      </c>
      <c r="H182" s="794">
        <v>0</v>
      </c>
      <c r="I182" s="607"/>
      <c r="J182" s="538"/>
      <c r="K182" s="538"/>
      <c r="L182" s="609"/>
      <c r="M182" s="586"/>
    </row>
    <row r="183" spans="1:13" ht="15">
      <c r="A183" s="1461">
        <v>176</v>
      </c>
      <c r="B183" s="811"/>
      <c r="C183" s="545"/>
      <c r="D183" s="539" t="s">
        <v>403</v>
      </c>
      <c r="E183" s="788"/>
      <c r="F183" s="796"/>
      <c r="G183" s="562"/>
      <c r="H183" s="794"/>
      <c r="I183" s="607">
        <v>3000</v>
      </c>
      <c r="J183" s="538"/>
      <c r="K183" s="538"/>
      <c r="L183" s="609">
        <f t="shared" si="0"/>
        <v>3000</v>
      </c>
      <c r="M183" s="591"/>
    </row>
    <row r="184" spans="1:13" ht="15">
      <c r="A184" s="1461">
        <v>177</v>
      </c>
      <c r="B184" s="811"/>
      <c r="C184" s="545"/>
      <c r="D184" s="539" t="s">
        <v>957</v>
      </c>
      <c r="E184" s="788"/>
      <c r="F184" s="796"/>
      <c r="G184" s="562"/>
      <c r="H184" s="794"/>
      <c r="I184" s="607">
        <v>3000</v>
      </c>
      <c r="J184" s="538"/>
      <c r="K184" s="538"/>
      <c r="L184" s="609">
        <f t="shared" si="0"/>
        <v>3000</v>
      </c>
      <c r="M184" s="591"/>
    </row>
    <row r="185" spans="1:13" s="753" customFormat="1" ht="15">
      <c r="A185" s="1461">
        <v>178</v>
      </c>
      <c r="B185" s="812"/>
      <c r="C185" s="1464"/>
      <c r="D185" s="541" t="s">
        <v>405</v>
      </c>
      <c r="E185" s="782"/>
      <c r="F185" s="567"/>
      <c r="G185" s="567"/>
      <c r="H185" s="745"/>
      <c r="I185" s="610"/>
      <c r="J185" s="555"/>
      <c r="K185" s="555"/>
      <c r="L185" s="611">
        <f t="shared" si="0"/>
        <v>0</v>
      </c>
      <c r="M185" s="594"/>
    </row>
    <row r="186" spans="1:13" s="754" customFormat="1" ht="15">
      <c r="A186" s="1461">
        <v>179</v>
      </c>
      <c r="B186" s="577"/>
      <c r="C186" s="1465"/>
      <c r="D186" s="542" t="s">
        <v>1067</v>
      </c>
      <c r="E186" s="576"/>
      <c r="F186" s="568"/>
      <c r="G186" s="568"/>
      <c r="H186" s="746"/>
      <c r="I186" s="615">
        <f>SUM(I184:I185)</f>
        <v>3000</v>
      </c>
      <c r="J186" s="568">
        <f>SUM(J184:J185)</f>
        <v>0</v>
      </c>
      <c r="K186" s="568">
        <f>SUM(K184:K185)</f>
        <v>0</v>
      </c>
      <c r="L186" s="608">
        <f t="shared" si="0"/>
        <v>3000</v>
      </c>
      <c r="M186" s="593">
        <f>SUM(M183:M185)</f>
        <v>0</v>
      </c>
    </row>
    <row r="187" spans="1:13" s="752" customFormat="1" ht="15">
      <c r="A187" s="1461">
        <v>180</v>
      </c>
      <c r="B187" s="535"/>
      <c r="C187" s="545">
        <v>38</v>
      </c>
      <c r="D187" s="557" t="s">
        <v>540</v>
      </c>
      <c r="E187" s="782" t="s">
        <v>799</v>
      </c>
      <c r="F187" s="553">
        <v>1500</v>
      </c>
      <c r="G187" s="553">
        <v>0</v>
      </c>
      <c r="H187" s="794">
        <v>0</v>
      </c>
      <c r="I187" s="607"/>
      <c r="J187" s="538"/>
      <c r="K187" s="538"/>
      <c r="L187" s="609"/>
      <c r="M187" s="586"/>
    </row>
    <row r="188" spans="1:13" ht="15">
      <c r="A188" s="1461">
        <v>181</v>
      </c>
      <c r="B188" s="811"/>
      <c r="C188" s="545"/>
      <c r="D188" s="539" t="s">
        <v>403</v>
      </c>
      <c r="E188" s="788"/>
      <c r="F188" s="796"/>
      <c r="G188" s="562"/>
      <c r="H188" s="794"/>
      <c r="I188" s="607">
        <v>1500</v>
      </c>
      <c r="J188" s="538"/>
      <c r="K188" s="538"/>
      <c r="L188" s="609">
        <f t="shared" si="0"/>
        <v>1500</v>
      </c>
      <c r="M188" s="591"/>
    </row>
    <row r="189" spans="1:13" ht="15">
      <c r="A189" s="1461">
        <v>182</v>
      </c>
      <c r="B189" s="811"/>
      <c r="C189" s="545"/>
      <c r="D189" s="539" t="s">
        <v>957</v>
      </c>
      <c r="E189" s="788"/>
      <c r="F189" s="796"/>
      <c r="G189" s="562"/>
      <c r="H189" s="794"/>
      <c r="I189" s="607">
        <v>1500</v>
      </c>
      <c r="J189" s="538"/>
      <c r="K189" s="538"/>
      <c r="L189" s="609">
        <f t="shared" si="0"/>
        <v>1500</v>
      </c>
      <c r="M189" s="591"/>
    </row>
    <row r="190" spans="1:13" s="753" customFormat="1" ht="15">
      <c r="A190" s="1461">
        <v>183</v>
      </c>
      <c r="B190" s="812"/>
      <c r="C190" s="1464"/>
      <c r="D190" s="541" t="s">
        <v>405</v>
      </c>
      <c r="E190" s="782"/>
      <c r="F190" s="567"/>
      <c r="G190" s="567"/>
      <c r="H190" s="745"/>
      <c r="I190" s="610"/>
      <c r="J190" s="555"/>
      <c r="K190" s="555"/>
      <c r="L190" s="611">
        <f t="shared" si="0"/>
        <v>0</v>
      </c>
      <c r="M190" s="594"/>
    </row>
    <row r="191" spans="1:13" s="754" customFormat="1" ht="15">
      <c r="A191" s="1461">
        <v>184</v>
      </c>
      <c r="B191" s="577"/>
      <c r="C191" s="1465"/>
      <c r="D191" s="542" t="s">
        <v>1067</v>
      </c>
      <c r="E191" s="576"/>
      <c r="F191" s="568"/>
      <c r="G191" s="568"/>
      <c r="H191" s="746"/>
      <c r="I191" s="615">
        <f>SUM(I189:I190)</f>
        <v>1500</v>
      </c>
      <c r="J191" s="568">
        <f>SUM(J189:J190)</f>
        <v>0</v>
      </c>
      <c r="K191" s="568">
        <f>SUM(K189:K190)</f>
        <v>0</v>
      </c>
      <c r="L191" s="608">
        <f t="shared" si="0"/>
        <v>1500</v>
      </c>
      <c r="M191" s="593">
        <f>SUM(M188:M190)</f>
        <v>0</v>
      </c>
    </row>
    <row r="192" spans="1:13" s="752" customFormat="1" ht="15">
      <c r="A192" s="1461">
        <v>185</v>
      </c>
      <c r="B192" s="535"/>
      <c r="C192" s="545">
        <v>39</v>
      </c>
      <c r="D192" s="557" t="s">
        <v>542</v>
      </c>
      <c r="E192" s="782" t="s">
        <v>799</v>
      </c>
      <c r="F192" s="553">
        <v>1000</v>
      </c>
      <c r="G192" s="553">
        <v>0</v>
      </c>
      <c r="H192" s="794">
        <v>0</v>
      </c>
      <c r="I192" s="607"/>
      <c r="J192" s="538"/>
      <c r="K192" s="538"/>
      <c r="L192" s="609"/>
      <c r="M192" s="586"/>
    </row>
    <row r="193" spans="1:13" ht="15">
      <c r="A193" s="1461">
        <v>186</v>
      </c>
      <c r="B193" s="811"/>
      <c r="C193" s="545"/>
      <c r="D193" s="539" t="s">
        <v>403</v>
      </c>
      <c r="E193" s="788"/>
      <c r="F193" s="796"/>
      <c r="G193" s="562"/>
      <c r="H193" s="794"/>
      <c r="I193" s="607">
        <v>1000</v>
      </c>
      <c r="J193" s="538"/>
      <c r="K193" s="538"/>
      <c r="L193" s="609">
        <f t="shared" si="0"/>
        <v>1000</v>
      </c>
      <c r="M193" s="591"/>
    </row>
    <row r="194" spans="1:13" ht="15">
      <c r="A194" s="1461">
        <v>187</v>
      </c>
      <c r="B194" s="811"/>
      <c r="C194" s="545"/>
      <c r="D194" s="539" t="s">
        <v>957</v>
      </c>
      <c r="E194" s="788"/>
      <c r="F194" s="796"/>
      <c r="G194" s="562"/>
      <c r="H194" s="794"/>
      <c r="I194" s="607">
        <v>1000</v>
      </c>
      <c r="J194" s="538"/>
      <c r="K194" s="538"/>
      <c r="L194" s="609">
        <f t="shared" si="0"/>
        <v>1000</v>
      </c>
      <c r="M194" s="591"/>
    </row>
    <row r="195" spans="1:13" s="753" customFormat="1" ht="15">
      <c r="A195" s="1461">
        <v>188</v>
      </c>
      <c r="B195" s="812"/>
      <c r="C195" s="1464"/>
      <c r="D195" s="541" t="s">
        <v>405</v>
      </c>
      <c r="E195" s="782"/>
      <c r="F195" s="567"/>
      <c r="G195" s="567"/>
      <c r="H195" s="745"/>
      <c r="I195" s="610"/>
      <c r="J195" s="555"/>
      <c r="K195" s="555"/>
      <c r="L195" s="611">
        <f t="shared" si="0"/>
        <v>0</v>
      </c>
      <c r="M195" s="594"/>
    </row>
    <row r="196" spans="1:13" s="754" customFormat="1" ht="15">
      <c r="A196" s="1461">
        <v>189</v>
      </c>
      <c r="B196" s="577"/>
      <c r="C196" s="1465"/>
      <c r="D196" s="542" t="s">
        <v>1067</v>
      </c>
      <c r="E196" s="576"/>
      <c r="F196" s="568"/>
      <c r="G196" s="568"/>
      <c r="H196" s="746"/>
      <c r="I196" s="615">
        <f>SUM(I194:I195)</f>
        <v>1000</v>
      </c>
      <c r="J196" s="568">
        <f>SUM(J194:J195)</f>
        <v>0</v>
      </c>
      <c r="K196" s="568">
        <f>SUM(K194:K195)</f>
        <v>0</v>
      </c>
      <c r="L196" s="608">
        <f t="shared" si="0"/>
        <v>1000</v>
      </c>
      <c r="M196" s="593">
        <f>SUM(M193:M195)</f>
        <v>0</v>
      </c>
    </row>
    <row r="197" spans="1:13" s="752" customFormat="1" ht="15">
      <c r="A197" s="1461">
        <v>190</v>
      </c>
      <c r="B197" s="535"/>
      <c r="C197" s="545">
        <v>40</v>
      </c>
      <c r="D197" s="557" t="s">
        <v>543</v>
      </c>
      <c r="E197" s="782" t="s">
        <v>799</v>
      </c>
      <c r="F197" s="553">
        <v>0</v>
      </c>
      <c r="G197" s="553">
        <v>0</v>
      </c>
      <c r="H197" s="794">
        <v>0</v>
      </c>
      <c r="I197" s="607"/>
      <c r="J197" s="538"/>
      <c r="K197" s="538"/>
      <c r="L197" s="609"/>
      <c r="M197" s="586"/>
    </row>
    <row r="198" spans="1:13" ht="15">
      <c r="A198" s="1461">
        <v>191</v>
      </c>
      <c r="B198" s="811"/>
      <c r="C198" s="545"/>
      <c r="D198" s="539" t="s">
        <v>403</v>
      </c>
      <c r="E198" s="788"/>
      <c r="F198" s="796"/>
      <c r="G198" s="796"/>
      <c r="H198" s="797"/>
      <c r="I198" s="607">
        <v>18050</v>
      </c>
      <c r="J198" s="538"/>
      <c r="K198" s="538"/>
      <c r="L198" s="609">
        <f t="shared" si="0"/>
        <v>18050</v>
      </c>
      <c r="M198" s="591"/>
    </row>
    <row r="199" spans="1:13" ht="15">
      <c r="A199" s="1461">
        <v>192</v>
      </c>
      <c r="B199" s="811"/>
      <c r="C199" s="545"/>
      <c r="D199" s="539" t="s">
        <v>957</v>
      </c>
      <c r="E199" s="788"/>
      <c r="F199" s="796"/>
      <c r="G199" s="796"/>
      <c r="H199" s="797"/>
      <c r="I199" s="607"/>
      <c r="J199" s="538"/>
      <c r="K199" s="538"/>
      <c r="L199" s="609">
        <f t="shared" si="0"/>
        <v>0</v>
      </c>
      <c r="M199" s="591"/>
    </row>
    <row r="200" spans="1:13" s="753" customFormat="1" ht="15">
      <c r="A200" s="1461">
        <v>193</v>
      </c>
      <c r="B200" s="812"/>
      <c r="C200" s="1464"/>
      <c r="D200" s="541" t="s">
        <v>405</v>
      </c>
      <c r="E200" s="782"/>
      <c r="F200" s="567"/>
      <c r="G200" s="567"/>
      <c r="H200" s="745"/>
      <c r="I200" s="610"/>
      <c r="J200" s="555"/>
      <c r="K200" s="555"/>
      <c r="L200" s="611">
        <f t="shared" si="0"/>
        <v>0</v>
      </c>
      <c r="M200" s="594"/>
    </row>
    <row r="201" spans="1:13" s="754" customFormat="1" ht="15">
      <c r="A201" s="1461">
        <v>194</v>
      </c>
      <c r="B201" s="577"/>
      <c r="C201" s="1465"/>
      <c r="D201" s="542" t="s">
        <v>1067</v>
      </c>
      <c r="E201" s="576"/>
      <c r="F201" s="568"/>
      <c r="G201" s="568"/>
      <c r="H201" s="746"/>
      <c r="I201" s="615">
        <f>SUM(I199:I200)</f>
        <v>0</v>
      </c>
      <c r="J201" s="568">
        <f>SUM(J199:J200)</f>
        <v>0</v>
      </c>
      <c r="K201" s="568">
        <f>SUM(K199:K200)</f>
        <v>0</v>
      </c>
      <c r="L201" s="608">
        <f t="shared" si="0"/>
        <v>0</v>
      </c>
      <c r="M201" s="593">
        <f>SUM(M198:M200)</f>
        <v>0</v>
      </c>
    </row>
    <row r="202" spans="1:13" s="752" customFormat="1" ht="30">
      <c r="A202" s="1461">
        <v>195</v>
      </c>
      <c r="B202" s="811"/>
      <c r="C202" s="1463">
        <v>41</v>
      </c>
      <c r="D202" s="557" t="s">
        <v>43</v>
      </c>
      <c r="E202" s="782" t="s">
        <v>799</v>
      </c>
      <c r="F202" s="562">
        <f>SUM(H202,L205)</f>
        <v>18300</v>
      </c>
      <c r="G202" s="557">
        <v>0</v>
      </c>
      <c r="H202" s="791">
        <v>250</v>
      </c>
      <c r="I202" s="607"/>
      <c r="J202" s="538"/>
      <c r="K202" s="538"/>
      <c r="L202" s="609"/>
      <c r="M202" s="586"/>
    </row>
    <row r="203" spans="1:13" s="752" customFormat="1" ht="15">
      <c r="A203" s="1461">
        <v>196</v>
      </c>
      <c r="B203" s="811"/>
      <c r="C203" s="545"/>
      <c r="D203" s="539" t="s">
        <v>957</v>
      </c>
      <c r="E203" s="782"/>
      <c r="F203" s="562"/>
      <c r="G203" s="557"/>
      <c r="H203" s="791"/>
      <c r="I203" s="607">
        <v>18050</v>
      </c>
      <c r="J203" s="538"/>
      <c r="K203" s="538">
        <v>0</v>
      </c>
      <c r="L203" s="609">
        <f t="shared" si="0"/>
        <v>18050</v>
      </c>
      <c r="M203" s="586"/>
    </row>
    <row r="204" spans="1:13" s="753" customFormat="1" ht="15">
      <c r="A204" s="1461">
        <v>197</v>
      </c>
      <c r="B204" s="812"/>
      <c r="C204" s="1464"/>
      <c r="D204" s="541" t="s">
        <v>405</v>
      </c>
      <c r="E204" s="805"/>
      <c r="F204" s="806"/>
      <c r="G204" s="567"/>
      <c r="H204" s="745"/>
      <c r="I204" s="610"/>
      <c r="J204" s="555"/>
      <c r="K204" s="555"/>
      <c r="L204" s="611">
        <f t="shared" si="0"/>
        <v>0</v>
      </c>
      <c r="M204" s="594"/>
    </row>
    <row r="205" spans="1:13" s="754" customFormat="1" ht="15">
      <c r="A205" s="1461">
        <v>198</v>
      </c>
      <c r="B205" s="577"/>
      <c r="C205" s="1465"/>
      <c r="D205" s="542" t="s">
        <v>1067</v>
      </c>
      <c r="E205" s="576"/>
      <c r="F205" s="568"/>
      <c r="G205" s="568"/>
      <c r="H205" s="746"/>
      <c r="I205" s="615">
        <f>SUM(I203:I204)</f>
        <v>18050</v>
      </c>
      <c r="J205" s="568">
        <f>SUM(J203:J204)</f>
        <v>0</v>
      </c>
      <c r="K205" s="568">
        <f>SUM(K203:K204)</f>
        <v>0</v>
      </c>
      <c r="L205" s="608">
        <f t="shared" si="0"/>
        <v>18050</v>
      </c>
      <c r="M205" s="593"/>
    </row>
    <row r="206" spans="1:13" s="752" customFormat="1" ht="30">
      <c r="A206" s="1461">
        <v>199</v>
      </c>
      <c r="B206" s="811"/>
      <c r="C206" s="1463">
        <v>42</v>
      </c>
      <c r="D206" s="557" t="s">
        <v>46</v>
      </c>
      <c r="E206" s="782" t="s">
        <v>799</v>
      </c>
      <c r="F206" s="562">
        <v>1100000</v>
      </c>
      <c r="G206" s="557">
        <v>0</v>
      </c>
      <c r="H206" s="791">
        <v>140000</v>
      </c>
      <c r="I206" s="607"/>
      <c r="J206" s="538"/>
      <c r="K206" s="538"/>
      <c r="L206" s="609"/>
      <c r="M206" s="586"/>
    </row>
    <row r="207" spans="1:13" ht="15">
      <c r="A207" s="1461">
        <v>200</v>
      </c>
      <c r="B207" s="811"/>
      <c r="C207" s="545"/>
      <c r="D207" s="539" t="s">
        <v>403</v>
      </c>
      <c r="E207" s="788"/>
      <c r="F207" s="796"/>
      <c r="G207" s="796"/>
      <c r="H207" s="797"/>
      <c r="I207" s="607">
        <v>0</v>
      </c>
      <c r="J207" s="538"/>
      <c r="K207" s="538">
        <v>120000</v>
      </c>
      <c r="L207" s="609">
        <f t="shared" si="0"/>
        <v>120000</v>
      </c>
      <c r="M207" s="591">
        <v>840000</v>
      </c>
    </row>
    <row r="208" spans="1:13" ht="15">
      <c r="A208" s="1461">
        <v>201</v>
      </c>
      <c r="B208" s="811"/>
      <c r="C208" s="545"/>
      <c r="D208" s="539" t="s">
        <v>957</v>
      </c>
      <c r="E208" s="788"/>
      <c r="F208" s="796"/>
      <c r="G208" s="796"/>
      <c r="H208" s="797"/>
      <c r="I208" s="607">
        <v>120000</v>
      </c>
      <c r="J208" s="538"/>
      <c r="K208" s="538">
        <v>0</v>
      </c>
      <c r="L208" s="609">
        <f t="shared" si="0"/>
        <v>120000</v>
      </c>
      <c r="M208" s="591"/>
    </row>
    <row r="209" spans="1:13" s="753" customFormat="1" ht="15">
      <c r="A209" s="1461">
        <v>202</v>
      </c>
      <c r="B209" s="812"/>
      <c r="C209" s="1464"/>
      <c r="D209" s="541" t="s">
        <v>405</v>
      </c>
      <c r="E209" s="782"/>
      <c r="F209" s="567"/>
      <c r="G209" s="567"/>
      <c r="H209" s="745"/>
      <c r="I209" s="610"/>
      <c r="J209" s="555"/>
      <c r="K209" s="555"/>
      <c r="L209" s="611">
        <f t="shared" si="0"/>
        <v>0</v>
      </c>
      <c r="M209" s="594"/>
    </row>
    <row r="210" spans="1:13" s="754" customFormat="1" ht="15">
      <c r="A210" s="1461">
        <v>203</v>
      </c>
      <c r="B210" s="577"/>
      <c r="C210" s="1465"/>
      <c r="D210" s="542" t="s">
        <v>1067</v>
      </c>
      <c r="E210" s="576"/>
      <c r="F210" s="568"/>
      <c r="G210" s="568"/>
      <c r="H210" s="746"/>
      <c r="I210" s="615">
        <f>SUM(I208:I209)</f>
        <v>120000</v>
      </c>
      <c r="J210" s="568">
        <f>SUM(J208:J209)</f>
        <v>0</v>
      </c>
      <c r="K210" s="568">
        <f>SUM(K208:K209)</f>
        <v>0</v>
      </c>
      <c r="L210" s="608">
        <f t="shared" si="0"/>
        <v>120000</v>
      </c>
      <c r="M210" s="593">
        <f>SUM(M207:M209)</f>
        <v>840000</v>
      </c>
    </row>
    <row r="211" spans="1:13" s="752" customFormat="1" ht="15">
      <c r="A211" s="1461">
        <v>204</v>
      </c>
      <c r="B211" s="535"/>
      <c r="C211" s="545">
        <v>43</v>
      </c>
      <c r="D211" s="557" t="s">
        <v>47</v>
      </c>
      <c r="E211" s="782" t="s">
        <v>799</v>
      </c>
      <c r="F211" s="553">
        <v>7986780</v>
      </c>
      <c r="G211" s="553">
        <v>1132500</v>
      </c>
      <c r="H211" s="794">
        <v>579830</v>
      </c>
      <c r="I211" s="607"/>
      <c r="J211" s="538"/>
      <c r="K211" s="538"/>
      <c r="L211" s="609"/>
      <c r="M211" s="586"/>
    </row>
    <row r="212" spans="1:13" ht="15">
      <c r="A212" s="1461">
        <v>205</v>
      </c>
      <c r="B212" s="811"/>
      <c r="C212" s="545"/>
      <c r="D212" s="539" t="s">
        <v>403</v>
      </c>
      <c r="E212" s="788"/>
      <c r="F212" s="796"/>
      <c r="G212" s="796"/>
      <c r="H212" s="797"/>
      <c r="I212" s="607">
        <v>0</v>
      </c>
      <c r="J212" s="538"/>
      <c r="K212" s="538">
        <v>580000</v>
      </c>
      <c r="L212" s="609">
        <f t="shared" si="0"/>
        <v>580000</v>
      </c>
      <c r="M212" s="591">
        <v>5194450</v>
      </c>
    </row>
    <row r="213" spans="1:13" ht="15">
      <c r="A213" s="1461">
        <v>206</v>
      </c>
      <c r="B213" s="811"/>
      <c r="C213" s="545"/>
      <c r="D213" s="539" t="s">
        <v>957</v>
      </c>
      <c r="E213" s="788"/>
      <c r="F213" s="796"/>
      <c r="G213" s="796"/>
      <c r="H213" s="797"/>
      <c r="I213" s="607">
        <v>1080000</v>
      </c>
      <c r="J213" s="538"/>
      <c r="K213" s="538">
        <v>0</v>
      </c>
      <c r="L213" s="609">
        <f t="shared" si="0"/>
        <v>1080000</v>
      </c>
      <c r="M213" s="591"/>
    </row>
    <row r="214" spans="1:13" s="753" customFormat="1" ht="15">
      <c r="A214" s="1461">
        <v>207</v>
      </c>
      <c r="B214" s="812"/>
      <c r="C214" s="1464"/>
      <c r="D214" s="541" t="s">
        <v>405</v>
      </c>
      <c r="E214" s="782"/>
      <c r="F214" s="567"/>
      <c r="G214" s="567"/>
      <c r="H214" s="745"/>
      <c r="I214" s="610"/>
      <c r="J214" s="555"/>
      <c r="K214" s="555"/>
      <c r="L214" s="611">
        <f t="shared" si="0"/>
        <v>0</v>
      </c>
      <c r="M214" s="594"/>
    </row>
    <row r="215" spans="1:13" s="754" customFormat="1" ht="15">
      <c r="A215" s="1461">
        <v>208</v>
      </c>
      <c r="B215" s="577"/>
      <c r="C215" s="1465"/>
      <c r="D215" s="542" t="s">
        <v>1067</v>
      </c>
      <c r="E215" s="576"/>
      <c r="F215" s="568"/>
      <c r="G215" s="568"/>
      <c r="H215" s="746"/>
      <c r="I215" s="615">
        <f>SUM(I213:I214)</f>
        <v>1080000</v>
      </c>
      <c r="J215" s="568">
        <f>SUM(J213:J214)</f>
        <v>0</v>
      </c>
      <c r="K215" s="568">
        <f>SUM(K213:K214)</f>
        <v>0</v>
      </c>
      <c r="L215" s="608">
        <f t="shared" si="0"/>
        <v>1080000</v>
      </c>
      <c r="M215" s="593">
        <f>SUM(M212:M214)</f>
        <v>5194450</v>
      </c>
    </row>
    <row r="216" spans="1:13" s="752" customFormat="1" ht="30">
      <c r="A216" s="1461">
        <v>209</v>
      </c>
      <c r="B216" s="811"/>
      <c r="C216" s="1463">
        <v>44</v>
      </c>
      <c r="D216" s="557" t="s">
        <v>41</v>
      </c>
      <c r="E216" s="782" t="s">
        <v>799</v>
      </c>
      <c r="F216" s="562">
        <v>0</v>
      </c>
      <c r="G216" s="557">
        <v>0</v>
      </c>
      <c r="H216" s="791">
        <v>0</v>
      </c>
      <c r="I216" s="607"/>
      <c r="J216" s="538"/>
      <c r="K216" s="538"/>
      <c r="L216" s="609"/>
      <c r="M216" s="586"/>
    </row>
    <row r="217" spans="1:13" ht="15">
      <c r="A217" s="1461">
        <v>210</v>
      </c>
      <c r="B217" s="811"/>
      <c r="C217" s="545"/>
      <c r="D217" s="539" t="s">
        <v>403</v>
      </c>
      <c r="E217" s="788"/>
      <c r="F217" s="796"/>
      <c r="G217" s="562"/>
      <c r="H217" s="794"/>
      <c r="I217" s="607"/>
      <c r="J217" s="538"/>
      <c r="K217" s="538">
        <v>718800</v>
      </c>
      <c r="L217" s="609">
        <f t="shared" si="0"/>
        <v>718800</v>
      </c>
      <c r="M217" s="591"/>
    </row>
    <row r="218" spans="1:13" ht="15">
      <c r="A218" s="1461">
        <v>211</v>
      </c>
      <c r="B218" s="811"/>
      <c r="C218" s="545"/>
      <c r="D218" s="539" t="s">
        <v>957</v>
      </c>
      <c r="E218" s="788"/>
      <c r="F218" s="796"/>
      <c r="G218" s="562"/>
      <c r="H218" s="794"/>
      <c r="I218" s="607"/>
      <c r="J218" s="538"/>
      <c r="K218" s="538"/>
      <c r="L218" s="609">
        <f t="shared" si="0"/>
        <v>0</v>
      </c>
      <c r="M218" s="591"/>
    </row>
    <row r="219" spans="1:13" s="753" customFormat="1" ht="15">
      <c r="A219" s="1461">
        <v>212</v>
      </c>
      <c r="B219" s="812"/>
      <c r="C219" s="1464"/>
      <c r="D219" s="541" t="s">
        <v>405</v>
      </c>
      <c r="E219" s="782"/>
      <c r="F219" s="567"/>
      <c r="G219" s="567"/>
      <c r="H219" s="745"/>
      <c r="I219" s="610"/>
      <c r="J219" s="555"/>
      <c r="K219" s="555"/>
      <c r="L219" s="611">
        <f t="shared" si="0"/>
        <v>0</v>
      </c>
      <c r="M219" s="594"/>
    </row>
    <row r="220" spans="1:13" s="754" customFormat="1" ht="15">
      <c r="A220" s="1461">
        <v>213</v>
      </c>
      <c r="B220" s="577"/>
      <c r="C220" s="1465"/>
      <c r="D220" s="542" t="s">
        <v>1067</v>
      </c>
      <c r="E220" s="576"/>
      <c r="F220" s="568"/>
      <c r="G220" s="568"/>
      <c r="H220" s="746"/>
      <c r="I220" s="615">
        <f>SUM(I218:I219)</f>
        <v>0</v>
      </c>
      <c r="J220" s="568">
        <f>SUM(J218:J219)</f>
        <v>0</v>
      </c>
      <c r="K220" s="568">
        <f>SUM(K218:K219)</f>
        <v>0</v>
      </c>
      <c r="L220" s="608">
        <f t="shared" si="0"/>
        <v>0</v>
      </c>
      <c r="M220" s="593">
        <f>SUM(M217:M219)</f>
        <v>0</v>
      </c>
    </row>
    <row r="221" spans="1:13" s="752" customFormat="1" ht="30">
      <c r="A221" s="1461">
        <v>214</v>
      </c>
      <c r="B221" s="811"/>
      <c r="C221" s="1463">
        <v>45</v>
      </c>
      <c r="D221" s="557" t="s">
        <v>641</v>
      </c>
      <c r="E221" s="782" t="s">
        <v>799</v>
      </c>
      <c r="F221" s="562">
        <v>718800</v>
      </c>
      <c r="G221" s="557">
        <v>0</v>
      </c>
      <c r="H221" s="791">
        <v>0</v>
      </c>
      <c r="I221" s="607"/>
      <c r="J221" s="538"/>
      <c r="K221" s="538"/>
      <c r="L221" s="609"/>
      <c r="M221" s="586"/>
    </row>
    <row r="222" spans="1:13" s="752" customFormat="1" ht="15">
      <c r="A222" s="1461">
        <v>215</v>
      </c>
      <c r="B222" s="811"/>
      <c r="C222" s="545"/>
      <c r="D222" s="539" t="s">
        <v>957</v>
      </c>
      <c r="E222" s="782"/>
      <c r="F222" s="562"/>
      <c r="G222" s="557"/>
      <c r="H222" s="791"/>
      <c r="I222" s="607">
        <v>718800</v>
      </c>
      <c r="J222" s="538"/>
      <c r="K222" s="538">
        <v>0</v>
      </c>
      <c r="L222" s="609">
        <f t="shared" si="0"/>
        <v>718800</v>
      </c>
      <c r="M222" s="586"/>
    </row>
    <row r="223" spans="1:13" s="753" customFormat="1" ht="15">
      <c r="A223" s="1461">
        <v>216</v>
      </c>
      <c r="B223" s="812"/>
      <c r="C223" s="1464"/>
      <c r="D223" s="541" t="s">
        <v>405</v>
      </c>
      <c r="E223" s="805"/>
      <c r="F223" s="806"/>
      <c r="G223" s="567"/>
      <c r="H223" s="745"/>
      <c r="I223" s="610"/>
      <c r="J223" s="555"/>
      <c r="K223" s="555"/>
      <c r="L223" s="611">
        <f t="shared" si="0"/>
        <v>0</v>
      </c>
      <c r="M223" s="594"/>
    </row>
    <row r="224" spans="1:13" s="754" customFormat="1" ht="15">
      <c r="A224" s="1461">
        <v>217</v>
      </c>
      <c r="B224" s="577"/>
      <c r="C224" s="1465"/>
      <c r="D224" s="542" t="s">
        <v>1067</v>
      </c>
      <c r="E224" s="576"/>
      <c r="F224" s="568"/>
      <c r="G224" s="568"/>
      <c r="H224" s="746"/>
      <c r="I224" s="615">
        <f>SUM(I222:I223)</f>
        <v>718800</v>
      </c>
      <c r="J224" s="568">
        <f>SUM(J222:J223)</f>
        <v>0</v>
      </c>
      <c r="K224" s="568">
        <f>SUM(K222:K223)</f>
        <v>0</v>
      </c>
      <c r="L224" s="608">
        <f t="shared" si="0"/>
        <v>718800</v>
      </c>
      <c r="M224" s="593">
        <f>SUM(M223)</f>
        <v>0</v>
      </c>
    </row>
    <row r="225" spans="1:13" s="752" customFormat="1" ht="30">
      <c r="A225" s="1461">
        <v>218</v>
      </c>
      <c r="B225" s="811"/>
      <c r="C225" s="1463">
        <v>46</v>
      </c>
      <c r="D225" s="557" t="s">
        <v>952</v>
      </c>
      <c r="E225" s="782" t="s">
        <v>799</v>
      </c>
      <c r="F225" s="562">
        <v>25000</v>
      </c>
      <c r="G225" s="557">
        <v>0</v>
      </c>
      <c r="H225" s="791">
        <v>0</v>
      </c>
      <c r="I225" s="607"/>
      <c r="J225" s="538"/>
      <c r="K225" s="538"/>
      <c r="L225" s="609"/>
      <c r="M225" s="586"/>
    </row>
    <row r="226" spans="1:13" s="752" customFormat="1" ht="15">
      <c r="A226" s="1461">
        <v>219</v>
      </c>
      <c r="B226" s="811"/>
      <c r="C226" s="545"/>
      <c r="D226" s="539" t="s">
        <v>957</v>
      </c>
      <c r="E226" s="782"/>
      <c r="F226" s="562"/>
      <c r="G226" s="557"/>
      <c r="H226" s="791"/>
      <c r="I226" s="607"/>
      <c r="J226" s="538"/>
      <c r="K226" s="538">
        <v>25000</v>
      </c>
      <c r="L226" s="609">
        <f>SUM(I226:K226)</f>
        <v>25000</v>
      </c>
      <c r="M226" s="586"/>
    </row>
    <row r="227" spans="1:13" s="753" customFormat="1" ht="15">
      <c r="A227" s="1461">
        <v>220</v>
      </c>
      <c r="B227" s="812"/>
      <c r="C227" s="1464"/>
      <c r="D227" s="541" t="s">
        <v>405</v>
      </c>
      <c r="E227" s="805"/>
      <c r="F227" s="806"/>
      <c r="G227" s="567"/>
      <c r="H227" s="745"/>
      <c r="I227" s="610"/>
      <c r="J227" s="555"/>
      <c r="K227" s="555"/>
      <c r="L227" s="611">
        <f>SUM(I227:K227)</f>
        <v>0</v>
      </c>
      <c r="M227" s="594"/>
    </row>
    <row r="228" spans="1:13" s="754" customFormat="1" ht="15">
      <c r="A228" s="1461">
        <v>221</v>
      </c>
      <c r="B228" s="577"/>
      <c r="C228" s="1465"/>
      <c r="D228" s="542" t="s">
        <v>1067</v>
      </c>
      <c r="E228" s="576"/>
      <c r="F228" s="568"/>
      <c r="G228" s="568"/>
      <c r="H228" s="746"/>
      <c r="I228" s="615">
        <f>SUM(I226:I227)</f>
        <v>0</v>
      </c>
      <c r="J228" s="568">
        <f>SUM(J226:J227)</f>
        <v>0</v>
      </c>
      <c r="K228" s="568">
        <f>SUM(K226:K227)</f>
        <v>25000</v>
      </c>
      <c r="L228" s="608">
        <f>SUM(I228:K228)</f>
        <v>25000</v>
      </c>
      <c r="M228" s="593"/>
    </row>
    <row r="229" spans="1:13" s="752" customFormat="1" ht="15">
      <c r="A229" s="1461">
        <v>222</v>
      </c>
      <c r="B229" s="535"/>
      <c r="C229" s="545">
        <v>47</v>
      </c>
      <c r="D229" s="557" t="s">
        <v>544</v>
      </c>
      <c r="E229" s="782" t="s">
        <v>799</v>
      </c>
      <c r="F229" s="553">
        <v>2912</v>
      </c>
      <c r="G229" s="553">
        <v>0</v>
      </c>
      <c r="H229" s="794">
        <v>0</v>
      </c>
      <c r="I229" s="607"/>
      <c r="J229" s="538"/>
      <c r="K229" s="538"/>
      <c r="L229" s="609"/>
      <c r="M229" s="586"/>
    </row>
    <row r="230" spans="1:13" ht="15">
      <c r="A230" s="1461">
        <v>223</v>
      </c>
      <c r="B230" s="811"/>
      <c r="C230" s="545"/>
      <c r="D230" s="539" t="s">
        <v>403</v>
      </c>
      <c r="E230" s="788"/>
      <c r="F230" s="796"/>
      <c r="G230" s="562"/>
      <c r="H230" s="794"/>
      <c r="I230" s="607">
        <v>3000</v>
      </c>
      <c r="J230" s="538"/>
      <c r="K230" s="538"/>
      <c r="L230" s="609">
        <f t="shared" si="0"/>
        <v>3000</v>
      </c>
      <c r="M230" s="591"/>
    </row>
    <row r="231" spans="1:13" ht="15">
      <c r="A231" s="1461">
        <v>224</v>
      </c>
      <c r="B231" s="811"/>
      <c r="C231" s="545"/>
      <c r="D231" s="539" t="s">
        <v>957</v>
      </c>
      <c r="E231" s="788"/>
      <c r="F231" s="796"/>
      <c r="G231" s="562"/>
      <c r="H231" s="794"/>
      <c r="I231" s="607">
        <v>2912</v>
      </c>
      <c r="J231" s="538"/>
      <c r="K231" s="538"/>
      <c r="L231" s="609">
        <f>SUM(I231:K231)</f>
        <v>2912</v>
      </c>
      <c r="M231" s="591"/>
    </row>
    <row r="232" spans="1:13" s="753" customFormat="1" ht="15">
      <c r="A232" s="1461">
        <v>225</v>
      </c>
      <c r="B232" s="812"/>
      <c r="C232" s="1464"/>
      <c r="D232" s="541" t="s">
        <v>405</v>
      </c>
      <c r="E232" s="782"/>
      <c r="F232" s="567"/>
      <c r="G232" s="567"/>
      <c r="H232" s="745"/>
      <c r="I232" s="610"/>
      <c r="J232" s="555"/>
      <c r="K232" s="555"/>
      <c r="L232" s="611">
        <f>SUM(I232:K232)</f>
        <v>0</v>
      </c>
      <c r="M232" s="594"/>
    </row>
    <row r="233" spans="1:13" s="754" customFormat="1" ht="15">
      <c r="A233" s="1461">
        <v>226</v>
      </c>
      <c r="B233" s="577"/>
      <c r="C233" s="1465"/>
      <c r="D233" s="542" t="s">
        <v>1067</v>
      </c>
      <c r="E233" s="576"/>
      <c r="F233" s="568"/>
      <c r="G233" s="568"/>
      <c r="H233" s="746"/>
      <c r="I233" s="615">
        <f>SUM(I231:I232)</f>
        <v>2912</v>
      </c>
      <c r="J233" s="568">
        <f>SUM(J231:J232)</f>
        <v>0</v>
      </c>
      <c r="K233" s="568">
        <f>SUM(K231:K232)</f>
        <v>0</v>
      </c>
      <c r="L233" s="608">
        <f>SUM(I233:K233)</f>
        <v>2912</v>
      </c>
      <c r="M233" s="593">
        <f>SUM(M230:M232)</f>
        <v>0</v>
      </c>
    </row>
    <row r="234" spans="1:13" s="752" customFormat="1" ht="15">
      <c r="A234" s="1461">
        <v>227</v>
      </c>
      <c r="B234" s="535"/>
      <c r="C234" s="545">
        <v>48</v>
      </c>
      <c r="D234" s="557" t="s">
        <v>546</v>
      </c>
      <c r="E234" s="782" t="s">
        <v>799</v>
      </c>
      <c r="F234" s="553">
        <v>3000</v>
      </c>
      <c r="G234" s="553">
        <v>0</v>
      </c>
      <c r="H234" s="794">
        <v>0</v>
      </c>
      <c r="I234" s="607"/>
      <c r="J234" s="538"/>
      <c r="K234" s="538"/>
      <c r="L234" s="609"/>
      <c r="M234" s="586"/>
    </row>
    <row r="235" spans="1:13" ht="15">
      <c r="A235" s="1461">
        <v>228</v>
      </c>
      <c r="B235" s="811"/>
      <c r="C235" s="545"/>
      <c r="D235" s="539" t="s">
        <v>403</v>
      </c>
      <c r="E235" s="788"/>
      <c r="F235" s="796"/>
      <c r="G235" s="562"/>
      <c r="H235" s="794"/>
      <c r="I235" s="607">
        <v>3000</v>
      </c>
      <c r="J235" s="538"/>
      <c r="K235" s="538"/>
      <c r="L235" s="609">
        <f>SUM(I235:K235)</f>
        <v>3000</v>
      </c>
      <c r="M235" s="591"/>
    </row>
    <row r="236" spans="1:13" ht="15">
      <c r="A236" s="1461">
        <v>229</v>
      </c>
      <c r="B236" s="811"/>
      <c r="C236" s="545"/>
      <c r="D236" s="539" t="s">
        <v>957</v>
      </c>
      <c r="E236" s="788"/>
      <c r="F236" s="796"/>
      <c r="G236" s="562"/>
      <c r="H236" s="794"/>
      <c r="I236" s="607">
        <v>3000</v>
      </c>
      <c r="J236" s="538"/>
      <c r="K236" s="538"/>
      <c r="L236" s="609">
        <f>SUM(I236:K236)</f>
        <v>3000</v>
      </c>
      <c r="M236" s="591"/>
    </row>
    <row r="237" spans="1:13" s="753" customFormat="1" ht="15">
      <c r="A237" s="1461">
        <v>230</v>
      </c>
      <c r="B237" s="812"/>
      <c r="C237" s="1464"/>
      <c r="D237" s="541" t="s">
        <v>405</v>
      </c>
      <c r="E237" s="782"/>
      <c r="F237" s="567"/>
      <c r="G237" s="567"/>
      <c r="H237" s="745"/>
      <c r="I237" s="610"/>
      <c r="J237" s="555"/>
      <c r="K237" s="555"/>
      <c r="L237" s="611">
        <f>SUM(I237:K237)</f>
        <v>0</v>
      </c>
      <c r="M237" s="594"/>
    </row>
    <row r="238" spans="1:13" s="754" customFormat="1" ht="15">
      <c r="A238" s="1461">
        <v>231</v>
      </c>
      <c r="B238" s="577"/>
      <c r="C238" s="1465"/>
      <c r="D238" s="542" t="s">
        <v>1067</v>
      </c>
      <c r="E238" s="576"/>
      <c r="F238" s="568"/>
      <c r="G238" s="568"/>
      <c r="H238" s="746"/>
      <c r="I238" s="615">
        <f>SUM(I236:I237)</f>
        <v>3000</v>
      </c>
      <c r="J238" s="568">
        <f>SUM(J236:J237)</f>
        <v>0</v>
      </c>
      <c r="K238" s="568">
        <f>SUM(K236:K237)</f>
        <v>0</v>
      </c>
      <c r="L238" s="608">
        <f>SUM(I238:K238)</f>
        <v>3000</v>
      </c>
      <c r="M238" s="593">
        <f>SUM(M235:M237)</f>
        <v>0</v>
      </c>
    </row>
    <row r="239" spans="1:13" s="752" customFormat="1" ht="30">
      <c r="A239" s="1461">
        <v>232</v>
      </c>
      <c r="B239" s="535"/>
      <c r="C239" s="545">
        <v>49</v>
      </c>
      <c r="D239" s="557" t="s">
        <v>547</v>
      </c>
      <c r="E239" s="782" t="s">
        <v>799</v>
      </c>
      <c r="F239" s="553">
        <v>2000</v>
      </c>
      <c r="G239" s="553">
        <v>0</v>
      </c>
      <c r="H239" s="794">
        <v>0</v>
      </c>
      <c r="I239" s="607"/>
      <c r="J239" s="538"/>
      <c r="K239" s="538"/>
      <c r="L239" s="609"/>
      <c r="M239" s="586"/>
    </row>
    <row r="240" spans="1:13" ht="15">
      <c r="A240" s="1461">
        <v>233</v>
      </c>
      <c r="B240" s="811"/>
      <c r="C240" s="545"/>
      <c r="D240" s="539" t="s">
        <v>403</v>
      </c>
      <c r="E240" s="788"/>
      <c r="F240" s="796"/>
      <c r="G240" s="562"/>
      <c r="H240" s="794"/>
      <c r="I240" s="607">
        <v>2000</v>
      </c>
      <c r="J240" s="538"/>
      <c r="K240" s="538"/>
      <c r="L240" s="609">
        <f>SUM(I240:K240)</f>
        <v>2000</v>
      </c>
      <c r="M240" s="591"/>
    </row>
    <row r="241" spans="1:13" ht="15">
      <c r="A241" s="1461">
        <v>234</v>
      </c>
      <c r="B241" s="811"/>
      <c r="C241" s="545"/>
      <c r="D241" s="539" t="s">
        <v>957</v>
      </c>
      <c r="E241" s="788"/>
      <c r="F241" s="796"/>
      <c r="G241" s="562"/>
      <c r="H241" s="794"/>
      <c r="I241" s="607">
        <v>2000</v>
      </c>
      <c r="J241" s="538"/>
      <c r="K241" s="538"/>
      <c r="L241" s="609">
        <f>SUM(I241:K241)</f>
        <v>2000</v>
      </c>
      <c r="M241" s="591"/>
    </row>
    <row r="242" spans="1:13" s="753" customFormat="1" ht="15">
      <c r="A242" s="1461">
        <v>235</v>
      </c>
      <c r="B242" s="812"/>
      <c r="C242" s="1464"/>
      <c r="D242" s="541" t="s">
        <v>405</v>
      </c>
      <c r="E242" s="782"/>
      <c r="F242" s="567"/>
      <c r="G242" s="567"/>
      <c r="H242" s="745"/>
      <c r="I242" s="610"/>
      <c r="J242" s="555"/>
      <c r="K242" s="555"/>
      <c r="L242" s="611">
        <f>SUM(I242:K242)</f>
        <v>0</v>
      </c>
      <c r="M242" s="594"/>
    </row>
    <row r="243" spans="1:13" s="754" customFormat="1" ht="15">
      <c r="A243" s="1461">
        <v>236</v>
      </c>
      <c r="B243" s="577"/>
      <c r="C243" s="1465"/>
      <c r="D243" s="542" t="s">
        <v>1067</v>
      </c>
      <c r="E243" s="576"/>
      <c r="F243" s="568"/>
      <c r="G243" s="568"/>
      <c r="H243" s="746"/>
      <c r="I243" s="615">
        <f>SUM(I241:I242)</f>
        <v>2000</v>
      </c>
      <c r="J243" s="568">
        <f>SUM(J241:J242)</f>
        <v>0</v>
      </c>
      <c r="K243" s="568">
        <f>SUM(K241:K242)</f>
        <v>0</v>
      </c>
      <c r="L243" s="608">
        <f>SUM(I243:K243)</f>
        <v>2000</v>
      </c>
      <c r="M243" s="593">
        <f>SUM(M240:M242)</f>
        <v>0</v>
      </c>
    </row>
    <row r="244" spans="1:13" s="752" customFormat="1" ht="15">
      <c r="A244" s="1461">
        <v>237</v>
      </c>
      <c r="B244" s="535"/>
      <c r="C244" s="545">
        <v>50</v>
      </c>
      <c r="D244" s="557" t="s">
        <v>548</v>
      </c>
      <c r="E244" s="782" t="s">
        <v>799</v>
      </c>
      <c r="F244" s="553">
        <f>SUM(H244,G244,I248)</f>
        <v>10639</v>
      </c>
      <c r="G244" s="553">
        <v>639</v>
      </c>
      <c r="H244" s="794">
        <v>3</v>
      </c>
      <c r="I244" s="607"/>
      <c r="J244" s="538"/>
      <c r="K244" s="538"/>
      <c r="L244" s="609"/>
      <c r="M244" s="586"/>
    </row>
    <row r="245" spans="1:13" ht="15">
      <c r="A245" s="1461">
        <v>238</v>
      </c>
      <c r="B245" s="811"/>
      <c r="C245" s="545"/>
      <c r="D245" s="539" t="s">
        <v>403</v>
      </c>
      <c r="E245" s="788"/>
      <c r="F245" s="796"/>
      <c r="G245" s="796"/>
      <c r="H245" s="797"/>
      <c r="I245" s="607">
        <v>9000</v>
      </c>
      <c r="J245" s="538"/>
      <c r="K245" s="538"/>
      <c r="L245" s="609">
        <f>SUM(I245:K245)</f>
        <v>9000</v>
      </c>
      <c r="M245" s="591"/>
    </row>
    <row r="246" spans="1:13" ht="15">
      <c r="A246" s="1461">
        <v>239</v>
      </c>
      <c r="B246" s="811"/>
      <c r="C246" s="545"/>
      <c r="D246" s="539" t="s">
        <v>957</v>
      </c>
      <c r="E246" s="788"/>
      <c r="F246" s="796"/>
      <c r="G246" s="796"/>
      <c r="H246" s="797"/>
      <c r="I246" s="607">
        <v>9997</v>
      </c>
      <c r="J246" s="538"/>
      <c r="K246" s="538"/>
      <c r="L246" s="609">
        <f>SUM(I246:K246)</f>
        <v>9997</v>
      </c>
      <c r="M246" s="591"/>
    </row>
    <row r="247" spans="1:13" s="753" customFormat="1" ht="15">
      <c r="A247" s="1461">
        <v>240</v>
      </c>
      <c r="B247" s="812"/>
      <c r="C247" s="1464"/>
      <c r="D247" s="541" t="s">
        <v>955</v>
      </c>
      <c r="E247" s="782"/>
      <c r="F247" s="567"/>
      <c r="G247" s="567"/>
      <c r="H247" s="745"/>
      <c r="I247" s="610"/>
      <c r="J247" s="555"/>
      <c r="K247" s="555"/>
      <c r="L247" s="611">
        <f>SUM(I247:K247)</f>
        <v>0</v>
      </c>
      <c r="M247" s="594"/>
    </row>
    <row r="248" spans="1:13" s="754" customFormat="1" ht="15">
      <c r="A248" s="1461">
        <v>241</v>
      </c>
      <c r="B248" s="577"/>
      <c r="C248" s="1465"/>
      <c r="D248" s="542" t="s">
        <v>1067</v>
      </c>
      <c r="E248" s="576"/>
      <c r="F248" s="568"/>
      <c r="G248" s="568"/>
      <c r="H248" s="746"/>
      <c r="I248" s="615">
        <f>SUM(I246:I247)</f>
        <v>9997</v>
      </c>
      <c r="J248" s="568">
        <f>SUM(J246:J247)</f>
        <v>0</v>
      </c>
      <c r="K248" s="568">
        <f>SUM(K246:K247)</f>
        <v>0</v>
      </c>
      <c r="L248" s="608">
        <f>SUM(I248:K248)</f>
        <v>9997</v>
      </c>
      <c r="M248" s="593">
        <f>SUM(M245:M247)</f>
        <v>0</v>
      </c>
    </row>
    <row r="249" spans="1:13" s="752" customFormat="1" ht="15">
      <c r="A249" s="1461">
        <v>242</v>
      </c>
      <c r="B249" s="535"/>
      <c r="C249" s="545">
        <v>51</v>
      </c>
      <c r="D249" s="557" t="s">
        <v>66</v>
      </c>
      <c r="E249" s="782" t="s">
        <v>799</v>
      </c>
      <c r="F249" s="553">
        <f>SUM(I252,H249)+G249</f>
        <v>0</v>
      </c>
      <c r="G249" s="553">
        <v>0</v>
      </c>
      <c r="H249" s="794">
        <v>0</v>
      </c>
      <c r="I249" s="607"/>
      <c r="J249" s="538"/>
      <c r="K249" s="538"/>
      <c r="L249" s="609"/>
      <c r="M249" s="586"/>
    </row>
    <row r="250" spans="1:13" s="752" customFormat="1" ht="15">
      <c r="A250" s="1461">
        <v>243</v>
      </c>
      <c r="B250" s="535"/>
      <c r="C250" s="545"/>
      <c r="D250" s="539" t="s">
        <v>957</v>
      </c>
      <c r="E250" s="782"/>
      <c r="F250" s="553"/>
      <c r="G250" s="553"/>
      <c r="H250" s="794"/>
      <c r="I250" s="607">
        <v>0</v>
      </c>
      <c r="J250" s="538"/>
      <c r="K250" s="538"/>
      <c r="L250" s="609">
        <f>SUM(I250:K250)</f>
        <v>0</v>
      </c>
      <c r="M250" s="586"/>
    </row>
    <row r="251" spans="1:13" s="753" customFormat="1" ht="15">
      <c r="A251" s="1461">
        <v>244</v>
      </c>
      <c r="B251" s="812"/>
      <c r="C251" s="1464"/>
      <c r="D251" s="541" t="s">
        <v>405</v>
      </c>
      <c r="E251" s="805"/>
      <c r="F251" s="567"/>
      <c r="G251" s="567"/>
      <c r="H251" s="745"/>
      <c r="I251" s="610"/>
      <c r="J251" s="555"/>
      <c r="K251" s="555"/>
      <c r="L251" s="611">
        <f>SUM(I251:K251)</f>
        <v>0</v>
      </c>
      <c r="M251" s="594"/>
    </row>
    <row r="252" spans="1:13" s="754" customFormat="1" ht="15">
      <c r="A252" s="1461">
        <v>245</v>
      </c>
      <c r="B252" s="577"/>
      <c r="C252" s="1465"/>
      <c r="D252" s="542" t="s">
        <v>1067</v>
      </c>
      <c r="E252" s="576"/>
      <c r="F252" s="568"/>
      <c r="G252" s="568"/>
      <c r="H252" s="746"/>
      <c r="I252" s="615">
        <f>SUM(I250:I251)</f>
        <v>0</v>
      </c>
      <c r="J252" s="568">
        <f>SUM(J250:J251)</f>
        <v>0</v>
      </c>
      <c r="K252" s="568">
        <f>SUM(K250:K251)</f>
        <v>0</v>
      </c>
      <c r="L252" s="608">
        <f>SUM(I252:K252)</f>
        <v>0</v>
      </c>
      <c r="M252" s="593">
        <v>0</v>
      </c>
    </row>
    <row r="253" spans="1:13" s="752" customFormat="1" ht="15">
      <c r="A253" s="1461">
        <v>246</v>
      </c>
      <c r="B253" s="535"/>
      <c r="C253" s="545">
        <v>52</v>
      </c>
      <c r="D253" s="557" t="s">
        <v>62</v>
      </c>
      <c r="E253" s="782" t="s">
        <v>799</v>
      </c>
      <c r="F253" s="553">
        <v>5000</v>
      </c>
      <c r="G253" s="553">
        <v>0</v>
      </c>
      <c r="H253" s="794">
        <v>0</v>
      </c>
      <c r="I253" s="607"/>
      <c r="J253" s="538"/>
      <c r="K253" s="538"/>
      <c r="L253" s="609"/>
      <c r="M253" s="586"/>
    </row>
    <row r="254" spans="1:13" s="752" customFormat="1" ht="15">
      <c r="A254" s="1461">
        <v>247</v>
      </c>
      <c r="B254" s="535"/>
      <c r="C254" s="545"/>
      <c r="D254" s="539" t="s">
        <v>957</v>
      </c>
      <c r="E254" s="782"/>
      <c r="F254" s="553"/>
      <c r="G254" s="553"/>
      <c r="H254" s="794"/>
      <c r="I254" s="607">
        <v>5000</v>
      </c>
      <c r="J254" s="538"/>
      <c r="K254" s="538"/>
      <c r="L254" s="609">
        <f>SUM(I254:K254)</f>
        <v>5000</v>
      </c>
      <c r="M254" s="586"/>
    </row>
    <row r="255" spans="1:13" s="753" customFormat="1" ht="15">
      <c r="A255" s="1461">
        <v>248</v>
      </c>
      <c r="B255" s="812"/>
      <c r="C255" s="1464"/>
      <c r="D255" s="541" t="s">
        <v>405</v>
      </c>
      <c r="E255" s="576"/>
      <c r="F255" s="567"/>
      <c r="G255" s="567"/>
      <c r="H255" s="745"/>
      <c r="I255" s="610"/>
      <c r="J255" s="555"/>
      <c r="K255" s="555"/>
      <c r="L255" s="611">
        <f>SUM(I255:K255)</f>
        <v>0</v>
      </c>
      <c r="M255" s="594"/>
    </row>
    <row r="256" spans="1:13" s="754" customFormat="1" ht="15">
      <c r="A256" s="1461">
        <v>249</v>
      </c>
      <c r="B256" s="577"/>
      <c r="C256" s="1465"/>
      <c r="D256" s="542" t="s">
        <v>1067</v>
      </c>
      <c r="E256" s="557"/>
      <c r="F256" s="568"/>
      <c r="G256" s="568"/>
      <c r="H256" s="746"/>
      <c r="I256" s="615">
        <f>SUM(I254:I255)</f>
        <v>5000</v>
      </c>
      <c r="J256" s="568">
        <f>SUM(J254:J255)</f>
        <v>0</v>
      </c>
      <c r="K256" s="568">
        <f>SUM(K254:K255)</f>
        <v>0</v>
      </c>
      <c r="L256" s="608">
        <f>SUM(I256:K256)</f>
        <v>5000</v>
      </c>
      <c r="M256" s="593">
        <v>0</v>
      </c>
    </row>
    <row r="257" spans="1:13" s="752" customFormat="1" ht="15">
      <c r="A257" s="1461">
        <v>250</v>
      </c>
      <c r="B257" s="535"/>
      <c r="C257" s="545">
        <v>53</v>
      </c>
      <c r="D257" s="557" t="s">
        <v>67</v>
      </c>
      <c r="E257" s="782" t="s">
        <v>799</v>
      </c>
      <c r="F257" s="553">
        <v>240</v>
      </c>
      <c r="G257" s="553">
        <v>0</v>
      </c>
      <c r="H257" s="794">
        <v>0</v>
      </c>
      <c r="I257" s="607"/>
      <c r="J257" s="538"/>
      <c r="K257" s="538"/>
      <c r="L257" s="609"/>
      <c r="M257" s="586"/>
    </row>
    <row r="258" spans="1:13" s="752" customFormat="1" ht="15">
      <c r="A258" s="1461">
        <v>251</v>
      </c>
      <c r="B258" s="535"/>
      <c r="C258" s="545"/>
      <c r="D258" s="539" t="s">
        <v>957</v>
      </c>
      <c r="E258" s="782"/>
      <c r="F258" s="553"/>
      <c r="G258" s="553"/>
      <c r="H258" s="794"/>
      <c r="I258" s="607">
        <v>240</v>
      </c>
      <c r="J258" s="538"/>
      <c r="K258" s="538"/>
      <c r="L258" s="609">
        <f>SUM(I258:K258)</f>
        <v>240</v>
      </c>
      <c r="M258" s="586"/>
    </row>
    <row r="259" spans="1:13" s="753" customFormat="1" ht="15">
      <c r="A259" s="1461">
        <v>252</v>
      </c>
      <c r="B259" s="812"/>
      <c r="C259" s="1464"/>
      <c r="D259" s="541" t="s">
        <v>405</v>
      </c>
      <c r="E259" s="576"/>
      <c r="F259" s="567"/>
      <c r="G259" s="567"/>
      <c r="H259" s="745"/>
      <c r="I259" s="610"/>
      <c r="J259" s="555"/>
      <c r="K259" s="555"/>
      <c r="L259" s="611">
        <f>SUM(I259:K259)</f>
        <v>0</v>
      </c>
      <c r="M259" s="594"/>
    </row>
    <row r="260" spans="1:13" s="754" customFormat="1" ht="15">
      <c r="A260" s="1461">
        <v>253</v>
      </c>
      <c r="B260" s="577"/>
      <c r="C260" s="1465"/>
      <c r="D260" s="542" t="s">
        <v>1067</v>
      </c>
      <c r="E260" s="557"/>
      <c r="F260" s="568"/>
      <c r="G260" s="568"/>
      <c r="H260" s="746"/>
      <c r="I260" s="615">
        <f>SUM(I258:I259)</f>
        <v>240</v>
      </c>
      <c r="J260" s="568">
        <f>SUM(J258:J259)</f>
        <v>0</v>
      </c>
      <c r="K260" s="568">
        <f>SUM(K258:K259)</f>
        <v>0</v>
      </c>
      <c r="L260" s="608">
        <f>SUM(I260:K260)</f>
        <v>240</v>
      </c>
      <c r="M260" s="593">
        <v>0</v>
      </c>
    </row>
    <row r="261" spans="1:13" s="752" customFormat="1" ht="15">
      <c r="A261" s="1461">
        <v>254</v>
      </c>
      <c r="B261" s="535"/>
      <c r="C261" s="545">
        <v>54</v>
      </c>
      <c r="D261" s="557" t="s">
        <v>451</v>
      </c>
      <c r="E261" s="782" t="s">
        <v>799</v>
      </c>
      <c r="F261" s="553">
        <v>74</v>
      </c>
      <c r="G261" s="553">
        <v>0</v>
      </c>
      <c r="H261" s="794">
        <v>0</v>
      </c>
      <c r="I261" s="607"/>
      <c r="J261" s="538"/>
      <c r="K261" s="538"/>
      <c r="L261" s="609"/>
      <c r="M261" s="586"/>
    </row>
    <row r="262" spans="1:13" s="752" customFormat="1" ht="15">
      <c r="A262" s="1461">
        <v>255</v>
      </c>
      <c r="B262" s="811"/>
      <c r="C262" s="545"/>
      <c r="D262" s="539" t="s">
        <v>957</v>
      </c>
      <c r="E262" s="782"/>
      <c r="F262" s="562"/>
      <c r="G262" s="557"/>
      <c r="H262" s="791"/>
      <c r="I262" s="607"/>
      <c r="J262" s="538">
        <v>74</v>
      </c>
      <c r="K262" s="538"/>
      <c r="L262" s="609">
        <f>SUM(I262:K262)</f>
        <v>74</v>
      </c>
      <c r="M262" s="586"/>
    </row>
    <row r="263" spans="1:13" s="753" customFormat="1" ht="15">
      <c r="A263" s="1461">
        <v>256</v>
      </c>
      <c r="B263" s="812"/>
      <c r="C263" s="1464"/>
      <c r="D263" s="541" t="s">
        <v>405</v>
      </c>
      <c r="E263" s="805"/>
      <c r="F263" s="806"/>
      <c r="G263" s="567"/>
      <c r="H263" s="745"/>
      <c r="I263" s="610"/>
      <c r="J263" s="555"/>
      <c r="K263" s="555"/>
      <c r="L263" s="611">
        <f>SUM(I263:K263)</f>
        <v>0</v>
      </c>
      <c r="M263" s="594"/>
    </row>
    <row r="264" spans="1:13" s="754" customFormat="1" ht="15">
      <c r="A264" s="1461">
        <v>257</v>
      </c>
      <c r="B264" s="577"/>
      <c r="C264" s="1465"/>
      <c r="D264" s="542" t="s">
        <v>1067</v>
      </c>
      <c r="E264" s="576"/>
      <c r="F264" s="568"/>
      <c r="G264" s="568"/>
      <c r="H264" s="746"/>
      <c r="I264" s="615">
        <f>SUM(I262:I263)</f>
        <v>0</v>
      </c>
      <c r="J264" s="568">
        <f>SUM(J262:J263)</f>
        <v>74</v>
      </c>
      <c r="K264" s="568">
        <f>SUM(K262:K263)</f>
        <v>0</v>
      </c>
      <c r="L264" s="608">
        <f>SUM(I264:K264)</f>
        <v>74</v>
      </c>
      <c r="M264" s="593">
        <v>0</v>
      </c>
    </row>
    <row r="265" spans="1:13" s="752" customFormat="1" ht="15">
      <c r="A265" s="1461">
        <v>258</v>
      </c>
      <c r="B265" s="535"/>
      <c r="C265" s="545">
        <v>55</v>
      </c>
      <c r="D265" s="557" t="s">
        <v>1095</v>
      </c>
      <c r="E265" s="782" t="s">
        <v>799</v>
      </c>
      <c r="F265" s="553">
        <v>35</v>
      </c>
      <c r="G265" s="553">
        <v>0</v>
      </c>
      <c r="H265" s="794">
        <v>0</v>
      </c>
      <c r="I265" s="607"/>
      <c r="J265" s="538"/>
      <c r="K265" s="538"/>
      <c r="L265" s="609"/>
      <c r="M265" s="586"/>
    </row>
    <row r="266" spans="1:13" s="753" customFormat="1" ht="15">
      <c r="A266" s="1461">
        <v>259</v>
      </c>
      <c r="B266" s="812"/>
      <c r="C266" s="1464"/>
      <c r="D266" s="541" t="s">
        <v>405</v>
      </c>
      <c r="E266" s="805"/>
      <c r="F266" s="806"/>
      <c r="G266" s="567"/>
      <c r="H266" s="745"/>
      <c r="I266" s="610"/>
      <c r="J266" s="555">
        <v>35</v>
      </c>
      <c r="K266" s="555"/>
      <c r="L266" s="611">
        <f>SUM(I266:K266)</f>
        <v>35</v>
      </c>
      <c r="M266" s="594"/>
    </row>
    <row r="267" spans="1:13" s="754" customFormat="1" ht="15">
      <c r="A267" s="1461">
        <v>260</v>
      </c>
      <c r="B267" s="577"/>
      <c r="C267" s="1465"/>
      <c r="D267" s="542" t="s">
        <v>1067</v>
      </c>
      <c r="E267" s="576"/>
      <c r="F267" s="568"/>
      <c r="G267" s="568"/>
      <c r="H267" s="746"/>
      <c r="I267" s="615"/>
      <c r="J267" s="568">
        <f>SUM(J266)</f>
        <v>35</v>
      </c>
      <c r="K267" s="568">
        <f>SUM(K266)</f>
        <v>0</v>
      </c>
      <c r="L267" s="608">
        <f>SUM(L266)</f>
        <v>35</v>
      </c>
      <c r="M267" s="593">
        <v>0</v>
      </c>
    </row>
    <row r="268" spans="1:13" s="752" customFormat="1" ht="15">
      <c r="A268" s="1461">
        <v>261</v>
      </c>
      <c r="B268" s="535"/>
      <c r="C268" s="545">
        <v>56</v>
      </c>
      <c r="D268" s="557" t="s">
        <v>452</v>
      </c>
      <c r="E268" s="782" t="s">
        <v>799</v>
      </c>
      <c r="F268" s="553">
        <v>48</v>
      </c>
      <c r="G268" s="553">
        <v>0</v>
      </c>
      <c r="H268" s="794">
        <v>0</v>
      </c>
      <c r="I268" s="607"/>
      <c r="J268" s="538"/>
      <c r="K268" s="538"/>
      <c r="L268" s="609"/>
      <c r="M268" s="586"/>
    </row>
    <row r="269" spans="1:13" s="752" customFormat="1" ht="15">
      <c r="A269" s="1461">
        <v>262</v>
      </c>
      <c r="B269" s="811"/>
      <c r="C269" s="545"/>
      <c r="D269" s="539" t="s">
        <v>957</v>
      </c>
      <c r="E269" s="782"/>
      <c r="F269" s="562"/>
      <c r="G269" s="557"/>
      <c r="H269" s="791"/>
      <c r="I269" s="607"/>
      <c r="J269" s="538">
        <v>48</v>
      </c>
      <c r="K269" s="538"/>
      <c r="L269" s="609">
        <f>SUM(I269:K269)</f>
        <v>48</v>
      </c>
      <c r="M269" s="586"/>
    </row>
    <row r="270" spans="1:13" s="753" customFormat="1" ht="15">
      <c r="A270" s="1461">
        <v>263</v>
      </c>
      <c r="B270" s="812"/>
      <c r="C270" s="1464"/>
      <c r="D270" s="541" t="s">
        <v>405</v>
      </c>
      <c r="E270" s="805"/>
      <c r="F270" s="806"/>
      <c r="G270" s="567"/>
      <c r="H270" s="745"/>
      <c r="I270" s="610"/>
      <c r="J270" s="555"/>
      <c r="K270" s="555"/>
      <c r="L270" s="611">
        <f>SUM(I270:K270)</f>
        <v>0</v>
      </c>
      <c r="M270" s="594"/>
    </row>
    <row r="271" spans="1:13" s="754" customFormat="1" ht="15">
      <c r="A271" s="1461">
        <v>264</v>
      </c>
      <c r="B271" s="577"/>
      <c r="C271" s="1465"/>
      <c r="D271" s="542" t="s">
        <v>1067</v>
      </c>
      <c r="E271" s="576"/>
      <c r="F271" s="568"/>
      <c r="G271" s="568"/>
      <c r="H271" s="746"/>
      <c r="I271" s="615">
        <f>SUM(I269:I270)</f>
        <v>0</v>
      </c>
      <c r="J271" s="568">
        <f>SUM(J269:J270)</f>
        <v>48</v>
      </c>
      <c r="K271" s="568">
        <f>SUM(K269:K270)</f>
        <v>0</v>
      </c>
      <c r="L271" s="608">
        <f>SUM(I271:K271)</f>
        <v>48</v>
      </c>
      <c r="M271" s="593">
        <v>0</v>
      </c>
    </row>
    <row r="272" spans="1:13" s="752" customFormat="1" ht="15">
      <c r="A272" s="1461">
        <v>265</v>
      </c>
      <c r="B272" s="535"/>
      <c r="C272" s="545">
        <v>57</v>
      </c>
      <c r="D272" s="557" t="s">
        <v>903</v>
      </c>
      <c r="E272" s="782" t="s">
        <v>799</v>
      </c>
      <c r="F272" s="553">
        <v>1000</v>
      </c>
      <c r="G272" s="553">
        <v>0</v>
      </c>
      <c r="H272" s="794">
        <v>0</v>
      </c>
      <c r="I272" s="607"/>
      <c r="J272" s="538"/>
      <c r="K272" s="538"/>
      <c r="L272" s="609"/>
      <c r="M272" s="586"/>
    </row>
    <row r="273" spans="1:13" s="752" customFormat="1" ht="15">
      <c r="A273" s="1461">
        <v>266</v>
      </c>
      <c r="B273" s="535"/>
      <c r="C273" s="545"/>
      <c r="D273" s="539" t="s">
        <v>957</v>
      </c>
      <c r="E273" s="782"/>
      <c r="F273" s="553"/>
      <c r="G273" s="553"/>
      <c r="H273" s="794"/>
      <c r="I273" s="607">
        <v>1000</v>
      </c>
      <c r="J273" s="538"/>
      <c r="K273" s="538"/>
      <c r="L273" s="609">
        <f>SUM(I273:K273)</f>
        <v>1000</v>
      </c>
      <c r="M273" s="586"/>
    </row>
    <row r="274" spans="1:13" s="753" customFormat="1" ht="15">
      <c r="A274" s="1461">
        <v>267</v>
      </c>
      <c r="B274" s="812"/>
      <c r="C274" s="1464"/>
      <c r="D274" s="541" t="s">
        <v>405</v>
      </c>
      <c r="E274" s="576"/>
      <c r="F274" s="567"/>
      <c r="G274" s="567"/>
      <c r="H274" s="745"/>
      <c r="I274" s="610"/>
      <c r="J274" s="555"/>
      <c r="K274" s="555"/>
      <c r="L274" s="611">
        <f>SUM(I274:K274)</f>
        <v>0</v>
      </c>
      <c r="M274" s="594"/>
    </row>
    <row r="275" spans="1:13" s="754" customFormat="1" ht="15">
      <c r="A275" s="1461">
        <v>268</v>
      </c>
      <c r="B275" s="577"/>
      <c r="C275" s="1465"/>
      <c r="D275" s="542" t="s">
        <v>1067</v>
      </c>
      <c r="E275" s="557"/>
      <c r="F275" s="568"/>
      <c r="G275" s="568"/>
      <c r="H275" s="746"/>
      <c r="I275" s="615">
        <f>SUM(I273:I274)</f>
        <v>1000</v>
      </c>
      <c r="J275" s="568">
        <f>SUM(J273:J274)</f>
        <v>0</v>
      </c>
      <c r="K275" s="568">
        <f>SUM(K273:K274)</f>
        <v>0</v>
      </c>
      <c r="L275" s="608">
        <f>SUM(I275:K275)</f>
        <v>1000</v>
      </c>
      <c r="M275" s="593">
        <v>0</v>
      </c>
    </row>
    <row r="276" spans="1:13" s="752" customFormat="1" ht="15">
      <c r="A276" s="1461">
        <v>269</v>
      </c>
      <c r="B276" s="535"/>
      <c r="C276" s="545">
        <v>58</v>
      </c>
      <c r="D276" s="557" t="s">
        <v>45</v>
      </c>
      <c r="E276" s="782" t="s">
        <v>799</v>
      </c>
      <c r="F276" s="553">
        <v>1778</v>
      </c>
      <c r="G276" s="553">
        <v>0</v>
      </c>
      <c r="H276" s="794">
        <v>0</v>
      </c>
      <c r="I276" s="607"/>
      <c r="J276" s="538"/>
      <c r="K276" s="538"/>
      <c r="L276" s="609"/>
      <c r="M276" s="586"/>
    </row>
    <row r="277" spans="1:13" s="752" customFormat="1" ht="15">
      <c r="A277" s="1461">
        <v>270</v>
      </c>
      <c r="B277" s="535"/>
      <c r="C277" s="545"/>
      <c r="D277" s="539" t="s">
        <v>957</v>
      </c>
      <c r="E277" s="782"/>
      <c r="F277" s="553"/>
      <c r="G277" s="553"/>
      <c r="H277" s="794"/>
      <c r="I277" s="607">
        <v>1778</v>
      </c>
      <c r="J277" s="538"/>
      <c r="K277" s="538"/>
      <c r="L277" s="609">
        <f>SUM(I277:K277)</f>
        <v>1778</v>
      </c>
      <c r="M277" s="586"/>
    </row>
    <row r="278" spans="1:13" s="753" customFormat="1" ht="15">
      <c r="A278" s="1461">
        <v>271</v>
      </c>
      <c r="B278" s="812"/>
      <c r="C278" s="1464"/>
      <c r="D278" s="541" t="s">
        <v>405</v>
      </c>
      <c r="E278" s="576"/>
      <c r="F278" s="567"/>
      <c r="G278" s="567"/>
      <c r="H278" s="745"/>
      <c r="I278" s="610"/>
      <c r="J278" s="555"/>
      <c r="K278" s="555"/>
      <c r="L278" s="611">
        <f>SUM(I278:K278)</f>
        <v>0</v>
      </c>
      <c r="M278" s="594"/>
    </row>
    <row r="279" spans="1:13" s="754" customFormat="1" ht="15">
      <c r="A279" s="1461">
        <v>272</v>
      </c>
      <c r="B279" s="577"/>
      <c r="C279" s="1465"/>
      <c r="D279" s="542" t="s">
        <v>1067</v>
      </c>
      <c r="E279" s="557"/>
      <c r="F279" s="568"/>
      <c r="G279" s="568"/>
      <c r="H279" s="746"/>
      <c r="I279" s="615">
        <f>SUM(I277:I278)</f>
        <v>1778</v>
      </c>
      <c r="J279" s="568">
        <f>SUM(J277:J278)</f>
        <v>0</v>
      </c>
      <c r="K279" s="568">
        <f>SUM(K277:K278)</f>
        <v>0</v>
      </c>
      <c r="L279" s="608">
        <f>SUM(I279:K279)</f>
        <v>1778</v>
      </c>
      <c r="M279" s="593">
        <v>0</v>
      </c>
    </row>
    <row r="280" spans="1:13" s="752" customFormat="1" ht="15">
      <c r="A280" s="1461">
        <v>273</v>
      </c>
      <c r="B280" s="535"/>
      <c r="C280" s="545">
        <v>59</v>
      </c>
      <c r="D280" s="557" t="s">
        <v>590</v>
      </c>
      <c r="E280" s="782" t="s">
        <v>799</v>
      </c>
      <c r="F280" s="553">
        <v>3940</v>
      </c>
      <c r="G280" s="553">
        <v>0</v>
      </c>
      <c r="H280" s="794">
        <v>0</v>
      </c>
      <c r="I280" s="607"/>
      <c r="J280" s="538"/>
      <c r="K280" s="538"/>
      <c r="L280" s="609"/>
      <c r="M280" s="586"/>
    </row>
    <row r="281" spans="1:13" s="752" customFormat="1" ht="15">
      <c r="A281" s="1461">
        <v>274</v>
      </c>
      <c r="B281" s="811"/>
      <c r="C281" s="545"/>
      <c r="D281" s="539" t="s">
        <v>957</v>
      </c>
      <c r="E281" s="782"/>
      <c r="F281" s="562"/>
      <c r="G281" s="557"/>
      <c r="H281" s="791"/>
      <c r="I281" s="607">
        <v>3940</v>
      </c>
      <c r="J281" s="538"/>
      <c r="K281" s="538"/>
      <c r="L281" s="609">
        <f>SUM(I281:K281)</f>
        <v>3940</v>
      </c>
      <c r="M281" s="586"/>
    </row>
    <row r="282" spans="1:13" s="753" customFormat="1" ht="15">
      <c r="A282" s="1461">
        <v>275</v>
      </c>
      <c r="B282" s="812"/>
      <c r="C282" s="1464"/>
      <c r="D282" s="541" t="s">
        <v>405</v>
      </c>
      <c r="E282" s="805"/>
      <c r="F282" s="806"/>
      <c r="G282" s="567"/>
      <c r="H282" s="745"/>
      <c r="I282" s="610"/>
      <c r="J282" s="555"/>
      <c r="K282" s="555"/>
      <c r="L282" s="611">
        <f>SUM(I282:K282)</f>
        <v>0</v>
      </c>
      <c r="M282" s="594"/>
    </row>
    <row r="283" spans="1:13" s="754" customFormat="1" ht="15">
      <c r="A283" s="1461">
        <v>276</v>
      </c>
      <c r="B283" s="577"/>
      <c r="C283" s="1465"/>
      <c r="D283" s="542" t="s">
        <v>1067</v>
      </c>
      <c r="E283" s="576"/>
      <c r="F283" s="568"/>
      <c r="G283" s="568"/>
      <c r="H283" s="746"/>
      <c r="I283" s="615">
        <f>SUM(I281:I282)</f>
        <v>3940</v>
      </c>
      <c r="J283" s="568">
        <f>SUM(J281:J282)</f>
        <v>0</v>
      </c>
      <c r="K283" s="568">
        <f>SUM(K281:K282)</f>
        <v>0</v>
      </c>
      <c r="L283" s="608">
        <f>SUM(I283:K283)</f>
        <v>3940</v>
      </c>
      <c r="M283" s="593">
        <v>0</v>
      </c>
    </row>
    <row r="284" spans="1:13" s="752" customFormat="1" ht="15">
      <c r="A284" s="1461">
        <v>277</v>
      </c>
      <c r="B284" s="535"/>
      <c r="C284" s="545">
        <v>60</v>
      </c>
      <c r="D284" s="557" t="s">
        <v>591</v>
      </c>
      <c r="E284" s="782" t="s">
        <v>799</v>
      </c>
      <c r="F284" s="553">
        <v>203</v>
      </c>
      <c r="G284" s="553">
        <v>0</v>
      </c>
      <c r="H284" s="794">
        <v>0</v>
      </c>
      <c r="I284" s="607"/>
      <c r="J284" s="538"/>
      <c r="K284" s="538"/>
      <c r="L284" s="609"/>
      <c r="M284" s="586"/>
    </row>
    <row r="285" spans="1:13" s="752" customFormat="1" ht="15">
      <c r="A285" s="1461">
        <v>278</v>
      </c>
      <c r="B285" s="811"/>
      <c r="C285" s="545"/>
      <c r="D285" s="539" t="s">
        <v>957</v>
      </c>
      <c r="E285" s="782"/>
      <c r="F285" s="562"/>
      <c r="G285" s="557"/>
      <c r="H285" s="791"/>
      <c r="I285" s="607"/>
      <c r="J285" s="538">
        <v>203</v>
      </c>
      <c r="K285" s="538"/>
      <c r="L285" s="609">
        <f>SUM(I285:K285)</f>
        <v>203</v>
      </c>
      <c r="M285" s="586"/>
    </row>
    <row r="286" spans="1:13" s="753" customFormat="1" ht="15">
      <c r="A286" s="1461">
        <v>279</v>
      </c>
      <c r="B286" s="812"/>
      <c r="C286" s="1464"/>
      <c r="D286" s="541" t="s">
        <v>405</v>
      </c>
      <c r="E286" s="805"/>
      <c r="F286" s="806"/>
      <c r="G286" s="567"/>
      <c r="H286" s="745"/>
      <c r="I286" s="610"/>
      <c r="J286" s="555"/>
      <c r="K286" s="555"/>
      <c r="L286" s="611">
        <f>SUM(I286:K286)</f>
        <v>0</v>
      </c>
      <c r="M286" s="594"/>
    </row>
    <row r="287" spans="1:13" s="754" customFormat="1" ht="15">
      <c r="A287" s="1461">
        <v>280</v>
      </c>
      <c r="B287" s="577"/>
      <c r="C287" s="1465"/>
      <c r="D287" s="542" t="s">
        <v>1067</v>
      </c>
      <c r="E287" s="576"/>
      <c r="F287" s="568"/>
      <c r="G287" s="568"/>
      <c r="H287" s="746"/>
      <c r="I287" s="615">
        <f>SUM(I285:I286)</f>
        <v>0</v>
      </c>
      <c r="J287" s="568">
        <f>SUM(J285:J286)</f>
        <v>203</v>
      </c>
      <c r="K287" s="568">
        <f>SUM(K285:K286)</f>
        <v>0</v>
      </c>
      <c r="L287" s="608">
        <f>SUM(I287:K287)</f>
        <v>203</v>
      </c>
      <c r="M287" s="593">
        <v>0</v>
      </c>
    </row>
    <row r="288" spans="1:13" s="752" customFormat="1" ht="15">
      <c r="A288" s="1461">
        <v>281</v>
      </c>
      <c r="B288" s="535"/>
      <c r="C288" s="545">
        <v>61</v>
      </c>
      <c r="D288" s="557" t="s">
        <v>450</v>
      </c>
      <c r="E288" s="782" t="s">
        <v>799</v>
      </c>
      <c r="F288" s="553">
        <v>700</v>
      </c>
      <c r="G288" s="553">
        <v>0</v>
      </c>
      <c r="H288" s="794">
        <v>0</v>
      </c>
      <c r="I288" s="607"/>
      <c r="J288" s="538"/>
      <c r="K288" s="538"/>
      <c r="L288" s="609"/>
      <c r="M288" s="586"/>
    </row>
    <row r="289" spans="1:13" s="752" customFormat="1" ht="15">
      <c r="A289" s="1461">
        <v>282</v>
      </c>
      <c r="B289" s="811"/>
      <c r="C289" s="545"/>
      <c r="D289" s="539" t="s">
        <v>957</v>
      </c>
      <c r="E289" s="782"/>
      <c r="F289" s="562"/>
      <c r="G289" s="557"/>
      <c r="H289" s="791"/>
      <c r="I289" s="607">
        <v>700</v>
      </c>
      <c r="J289" s="538"/>
      <c r="K289" s="538"/>
      <c r="L289" s="609">
        <f>SUM(I289:K289)</f>
        <v>700</v>
      </c>
      <c r="M289" s="586"/>
    </row>
    <row r="290" spans="1:13" s="753" customFormat="1" ht="15">
      <c r="A290" s="1461">
        <v>283</v>
      </c>
      <c r="B290" s="812"/>
      <c r="C290" s="1464"/>
      <c r="D290" s="541" t="s">
        <v>405</v>
      </c>
      <c r="E290" s="805"/>
      <c r="F290" s="806"/>
      <c r="G290" s="567"/>
      <c r="H290" s="745"/>
      <c r="I290" s="610"/>
      <c r="J290" s="555"/>
      <c r="K290" s="555"/>
      <c r="L290" s="611">
        <f>SUM(I290:K290)</f>
        <v>0</v>
      </c>
      <c r="M290" s="594"/>
    </row>
    <row r="291" spans="1:13" s="754" customFormat="1" ht="15">
      <c r="A291" s="1461">
        <v>284</v>
      </c>
      <c r="B291" s="577"/>
      <c r="C291" s="1465"/>
      <c r="D291" s="542" t="s">
        <v>1067</v>
      </c>
      <c r="E291" s="576"/>
      <c r="F291" s="568"/>
      <c r="G291" s="568"/>
      <c r="H291" s="746"/>
      <c r="I291" s="615">
        <f>SUM(I289:I290)</f>
        <v>700</v>
      </c>
      <c r="J291" s="568">
        <f>SUM(J289:J290)</f>
        <v>0</v>
      </c>
      <c r="K291" s="568">
        <f>SUM(K289:K290)</f>
        <v>0</v>
      </c>
      <c r="L291" s="608">
        <f>SUM(I291:K291)</f>
        <v>700</v>
      </c>
      <c r="M291" s="593">
        <v>0</v>
      </c>
    </row>
    <row r="292" spans="1:13" s="752" customFormat="1" ht="15">
      <c r="A292" s="1461">
        <v>285</v>
      </c>
      <c r="B292" s="535"/>
      <c r="C292" s="545">
        <v>62</v>
      </c>
      <c r="D292" s="557" t="s">
        <v>596</v>
      </c>
      <c r="E292" s="782" t="s">
        <v>799</v>
      </c>
      <c r="F292" s="553">
        <v>350</v>
      </c>
      <c r="G292" s="553">
        <v>0</v>
      </c>
      <c r="H292" s="794">
        <v>0</v>
      </c>
      <c r="I292" s="607"/>
      <c r="J292" s="538"/>
      <c r="K292" s="538"/>
      <c r="L292" s="609"/>
      <c r="M292" s="586"/>
    </row>
    <row r="293" spans="1:13" s="752" customFormat="1" ht="15">
      <c r="A293" s="1461">
        <v>286</v>
      </c>
      <c r="B293" s="811"/>
      <c r="C293" s="545"/>
      <c r="D293" s="539" t="s">
        <v>957</v>
      </c>
      <c r="E293" s="782"/>
      <c r="F293" s="562"/>
      <c r="G293" s="557"/>
      <c r="H293" s="791"/>
      <c r="I293" s="607"/>
      <c r="J293" s="538">
        <v>350</v>
      </c>
      <c r="K293" s="538"/>
      <c r="L293" s="609">
        <f>SUM(I293:K293)</f>
        <v>350</v>
      </c>
      <c r="M293" s="586"/>
    </row>
    <row r="294" spans="1:13" s="753" customFormat="1" ht="15">
      <c r="A294" s="1461">
        <v>287</v>
      </c>
      <c r="B294" s="812"/>
      <c r="C294" s="1464"/>
      <c r="D294" s="541" t="s">
        <v>405</v>
      </c>
      <c r="E294" s="805"/>
      <c r="F294" s="806"/>
      <c r="G294" s="567"/>
      <c r="H294" s="745"/>
      <c r="I294" s="610"/>
      <c r="J294" s="555"/>
      <c r="K294" s="555"/>
      <c r="L294" s="611">
        <f>SUM(I294:K294)</f>
        <v>0</v>
      </c>
      <c r="M294" s="594"/>
    </row>
    <row r="295" spans="1:13" s="754" customFormat="1" ht="15">
      <c r="A295" s="1461">
        <v>288</v>
      </c>
      <c r="B295" s="577"/>
      <c r="C295" s="1465"/>
      <c r="D295" s="542" t="s">
        <v>1067</v>
      </c>
      <c r="E295" s="576"/>
      <c r="F295" s="568"/>
      <c r="G295" s="568"/>
      <c r="H295" s="746"/>
      <c r="I295" s="615">
        <f>SUM(I293:I294)</f>
        <v>0</v>
      </c>
      <c r="J295" s="568">
        <f>SUM(J293:J294)</f>
        <v>350</v>
      </c>
      <c r="K295" s="568">
        <f>SUM(K293:K294)</f>
        <v>0</v>
      </c>
      <c r="L295" s="608">
        <f>SUM(I295:K295)</f>
        <v>350</v>
      </c>
      <c r="M295" s="593">
        <v>0</v>
      </c>
    </row>
    <row r="296" spans="1:13" s="752" customFormat="1" ht="15">
      <c r="A296" s="1461">
        <v>289</v>
      </c>
      <c r="B296" s="535"/>
      <c r="C296" s="545">
        <v>63</v>
      </c>
      <c r="D296" s="557" t="s">
        <v>597</v>
      </c>
      <c r="E296" s="782" t="s">
        <v>799</v>
      </c>
      <c r="F296" s="553">
        <v>900</v>
      </c>
      <c r="G296" s="553">
        <v>0</v>
      </c>
      <c r="H296" s="794">
        <v>0</v>
      </c>
      <c r="I296" s="607"/>
      <c r="J296" s="538"/>
      <c r="K296" s="538"/>
      <c r="L296" s="609"/>
      <c r="M296" s="586"/>
    </row>
    <row r="297" spans="1:13" s="752" customFormat="1" ht="15">
      <c r="A297" s="1461">
        <v>290</v>
      </c>
      <c r="B297" s="811"/>
      <c r="C297" s="545"/>
      <c r="D297" s="539" t="s">
        <v>957</v>
      </c>
      <c r="E297" s="782"/>
      <c r="F297" s="562"/>
      <c r="G297" s="557"/>
      <c r="H297" s="791"/>
      <c r="I297" s="607">
        <v>900</v>
      </c>
      <c r="J297" s="538"/>
      <c r="K297" s="538"/>
      <c r="L297" s="609">
        <f>SUM(I297:K297)</f>
        <v>900</v>
      </c>
      <c r="M297" s="586"/>
    </row>
    <row r="298" spans="1:13" s="753" customFormat="1" ht="15">
      <c r="A298" s="1461">
        <v>291</v>
      </c>
      <c r="B298" s="812"/>
      <c r="C298" s="1464"/>
      <c r="D298" s="541" t="s">
        <v>405</v>
      </c>
      <c r="E298" s="805"/>
      <c r="F298" s="806"/>
      <c r="G298" s="567"/>
      <c r="H298" s="745"/>
      <c r="I298" s="610"/>
      <c r="J298" s="555"/>
      <c r="K298" s="555"/>
      <c r="L298" s="611">
        <f>SUM(I298:K298)</f>
        <v>0</v>
      </c>
      <c r="M298" s="594"/>
    </row>
    <row r="299" spans="1:13" s="754" customFormat="1" ht="15">
      <c r="A299" s="1461">
        <v>292</v>
      </c>
      <c r="B299" s="577"/>
      <c r="C299" s="1465"/>
      <c r="D299" s="542" t="s">
        <v>1067</v>
      </c>
      <c r="E299" s="576"/>
      <c r="F299" s="568"/>
      <c r="G299" s="568"/>
      <c r="H299" s="746"/>
      <c r="I299" s="615">
        <f>SUM(I297:I298)</f>
        <v>900</v>
      </c>
      <c r="J299" s="568">
        <f>SUM(J297:J298)</f>
        <v>0</v>
      </c>
      <c r="K299" s="568">
        <f>SUM(K297:K298)</f>
        <v>0</v>
      </c>
      <c r="L299" s="608">
        <f>SUM(I299:K299)</f>
        <v>900</v>
      </c>
      <c r="M299" s="593">
        <v>0</v>
      </c>
    </row>
    <row r="300" spans="1:13" s="752" customFormat="1" ht="30">
      <c r="A300" s="1461">
        <v>293</v>
      </c>
      <c r="B300" s="535"/>
      <c r="C300" s="1463">
        <v>64</v>
      </c>
      <c r="D300" s="557" t="s">
        <v>131</v>
      </c>
      <c r="E300" s="782" t="s">
        <v>799</v>
      </c>
      <c r="F300" s="553">
        <v>1300</v>
      </c>
      <c r="G300" s="553">
        <v>0</v>
      </c>
      <c r="H300" s="794">
        <v>0</v>
      </c>
      <c r="I300" s="607"/>
      <c r="J300" s="538"/>
      <c r="K300" s="538"/>
      <c r="L300" s="609"/>
      <c r="M300" s="586"/>
    </row>
    <row r="301" spans="1:13" s="752" customFormat="1" ht="15">
      <c r="A301" s="1461">
        <v>294</v>
      </c>
      <c r="B301" s="811"/>
      <c r="C301" s="545"/>
      <c r="D301" s="539" t="s">
        <v>957</v>
      </c>
      <c r="E301" s="782"/>
      <c r="F301" s="562"/>
      <c r="G301" s="557"/>
      <c r="H301" s="791"/>
      <c r="I301" s="607">
        <v>1300</v>
      </c>
      <c r="J301" s="538"/>
      <c r="K301" s="538"/>
      <c r="L301" s="609">
        <f>SUM(I301:K301)</f>
        <v>1300</v>
      </c>
      <c r="M301" s="586"/>
    </row>
    <row r="302" spans="1:13" s="753" customFormat="1" ht="15">
      <c r="A302" s="1461">
        <v>295</v>
      </c>
      <c r="B302" s="812"/>
      <c r="C302" s="1464"/>
      <c r="D302" s="541" t="s">
        <v>405</v>
      </c>
      <c r="E302" s="805"/>
      <c r="F302" s="806"/>
      <c r="G302" s="567"/>
      <c r="H302" s="745"/>
      <c r="I302" s="610"/>
      <c r="J302" s="555"/>
      <c r="K302" s="555"/>
      <c r="L302" s="611">
        <f>SUM(I302:K302)</f>
        <v>0</v>
      </c>
      <c r="M302" s="594"/>
    </row>
    <row r="303" spans="1:13" s="754" customFormat="1" ht="15">
      <c r="A303" s="1461">
        <v>296</v>
      </c>
      <c r="B303" s="577"/>
      <c r="C303" s="1465"/>
      <c r="D303" s="542" t="s">
        <v>1067</v>
      </c>
      <c r="E303" s="576"/>
      <c r="F303" s="568"/>
      <c r="G303" s="568"/>
      <c r="H303" s="746"/>
      <c r="I303" s="615">
        <f>SUM(I301:I302)</f>
        <v>1300</v>
      </c>
      <c r="J303" s="568">
        <f>SUM(J301:J302)</f>
        <v>0</v>
      </c>
      <c r="K303" s="568">
        <f>SUM(K301:K302)</f>
        <v>0</v>
      </c>
      <c r="L303" s="608">
        <f>SUM(I303:K303)</f>
        <v>1300</v>
      </c>
      <c r="M303" s="593">
        <v>0</v>
      </c>
    </row>
    <row r="304" spans="1:13" s="752" customFormat="1" ht="30">
      <c r="A304" s="1461">
        <v>297</v>
      </c>
      <c r="B304" s="535"/>
      <c r="C304" s="1463">
        <v>65</v>
      </c>
      <c r="D304" s="557" t="s">
        <v>455</v>
      </c>
      <c r="E304" s="782" t="s">
        <v>799</v>
      </c>
      <c r="F304" s="553">
        <v>27</v>
      </c>
      <c r="G304" s="553">
        <v>0</v>
      </c>
      <c r="H304" s="794">
        <v>0</v>
      </c>
      <c r="I304" s="607"/>
      <c r="J304" s="538"/>
      <c r="K304" s="538"/>
      <c r="L304" s="609"/>
      <c r="M304" s="586"/>
    </row>
    <row r="305" spans="1:13" s="752" customFormat="1" ht="15">
      <c r="A305" s="1461">
        <v>298</v>
      </c>
      <c r="B305" s="811"/>
      <c r="C305" s="545"/>
      <c r="D305" s="539" t="s">
        <v>957</v>
      </c>
      <c r="E305" s="782"/>
      <c r="F305" s="562"/>
      <c r="G305" s="557"/>
      <c r="H305" s="791"/>
      <c r="I305" s="607">
        <v>27</v>
      </c>
      <c r="J305" s="538"/>
      <c r="K305" s="538"/>
      <c r="L305" s="609">
        <f>SUM(I305:K305)</f>
        <v>27</v>
      </c>
      <c r="M305" s="586"/>
    </row>
    <row r="306" spans="1:13" s="753" customFormat="1" ht="15">
      <c r="A306" s="1461">
        <v>299</v>
      </c>
      <c r="B306" s="812"/>
      <c r="C306" s="1464"/>
      <c r="D306" s="541" t="s">
        <v>1080</v>
      </c>
      <c r="E306" s="805"/>
      <c r="F306" s="806"/>
      <c r="G306" s="567"/>
      <c r="H306" s="745"/>
      <c r="I306" s="610">
        <v>27</v>
      </c>
      <c r="J306" s="555"/>
      <c r="K306" s="555"/>
      <c r="L306" s="611">
        <f>SUM(I306:K306)</f>
        <v>27</v>
      </c>
      <c r="M306" s="594"/>
    </row>
    <row r="307" spans="1:13" s="754" customFormat="1" ht="15">
      <c r="A307" s="1461">
        <v>300</v>
      </c>
      <c r="B307" s="577"/>
      <c r="C307" s="1465"/>
      <c r="D307" s="542" t="s">
        <v>1067</v>
      </c>
      <c r="E307" s="576"/>
      <c r="F307" s="568"/>
      <c r="G307" s="568"/>
      <c r="H307" s="746"/>
      <c r="I307" s="615">
        <f>SUM(I305:I306)</f>
        <v>54</v>
      </c>
      <c r="J307" s="568">
        <f>SUM(J305:J306)</f>
        <v>0</v>
      </c>
      <c r="K307" s="568">
        <f>SUM(K305:K306)</f>
        <v>0</v>
      </c>
      <c r="L307" s="608">
        <f>SUM(I307:K307)</f>
        <v>54</v>
      </c>
      <c r="M307" s="593">
        <v>0</v>
      </c>
    </row>
    <row r="308" spans="1:13" s="752" customFormat="1" ht="30">
      <c r="A308" s="1461">
        <v>301</v>
      </c>
      <c r="B308" s="535"/>
      <c r="C308" s="545">
        <v>66</v>
      </c>
      <c r="D308" s="557" t="s">
        <v>68</v>
      </c>
      <c r="E308" s="782" t="s">
        <v>799</v>
      </c>
      <c r="F308" s="553">
        <f>SUM(H308,I311)</f>
        <v>576</v>
      </c>
      <c r="G308" s="553">
        <v>0</v>
      </c>
      <c r="H308" s="794">
        <v>80</v>
      </c>
      <c r="I308" s="607"/>
      <c r="J308" s="538"/>
      <c r="K308" s="538"/>
      <c r="L308" s="609"/>
      <c r="M308" s="586"/>
    </row>
    <row r="309" spans="1:13" s="752" customFormat="1" ht="15">
      <c r="A309" s="1461">
        <v>302</v>
      </c>
      <c r="B309" s="811"/>
      <c r="C309" s="545"/>
      <c r="D309" s="539" t="s">
        <v>957</v>
      </c>
      <c r="E309" s="782"/>
      <c r="F309" s="557"/>
      <c r="G309" s="557"/>
      <c r="H309" s="791"/>
      <c r="I309" s="607">
        <v>496</v>
      </c>
      <c r="J309" s="538"/>
      <c r="K309" s="538"/>
      <c r="L309" s="609">
        <f>SUM(I309:K309)</f>
        <v>496</v>
      </c>
      <c r="M309" s="586"/>
    </row>
    <row r="310" spans="1:13" s="753" customFormat="1" ht="15">
      <c r="A310" s="1461">
        <v>303</v>
      </c>
      <c r="B310" s="812"/>
      <c r="C310" s="1464"/>
      <c r="D310" s="541" t="s">
        <v>405</v>
      </c>
      <c r="E310" s="576"/>
      <c r="F310" s="567"/>
      <c r="G310" s="567"/>
      <c r="H310" s="745"/>
      <c r="I310" s="610"/>
      <c r="J310" s="555"/>
      <c r="K310" s="555"/>
      <c r="L310" s="611">
        <f>SUM(I310:K310)</f>
        <v>0</v>
      </c>
      <c r="M310" s="594"/>
    </row>
    <row r="311" spans="1:13" s="754" customFormat="1" ht="15">
      <c r="A311" s="1461">
        <v>304</v>
      </c>
      <c r="B311" s="577"/>
      <c r="C311" s="1465"/>
      <c r="D311" s="542" t="s">
        <v>1067</v>
      </c>
      <c r="E311" s="557"/>
      <c r="F311" s="568"/>
      <c r="G311" s="568"/>
      <c r="H311" s="746"/>
      <c r="I311" s="615">
        <f>SUM(I309:I310)</f>
        <v>496</v>
      </c>
      <c r="J311" s="568">
        <f>SUM(J309:J310)</f>
        <v>0</v>
      </c>
      <c r="K311" s="568">
        <f>SUM(K309:K310)</f>
        <v>0</v>
      </c>
      <c r="L311" s="608">
        <f>SUM(I311:K311)</f>
        <v>496</v>
      </c>
      <c r="M311" s="593">
        <v>0</v>
      </c>
    </row>
    <row r="312" spans="1:13" s="752" customFormat="1" ht="15">
      <c r="A312" s="1461">
        <v>305</v>
      </c>
      <c r="B312" s="535"/>
      <c r="C312" s="545">
        <v>67</v>
      </c>
      <c r="D312" s="557" t="s">
        <v>63</v>
      </c>
      <c r="E312" s="782" t="s">
        <v>799</v>
      </c>
      <c r="F312" s="553">
        <v>12589</v>
      </c>
      <c r="G312" s="553">
        <v>0</v>
      </c>
      <c r="H312" s="794">
        <v>0</v>
      </c>
      <c r="I312" s="607"/>
      <c r="J312" s="538"/>
      <c r="K312" s="538"/>
      <c r="L312" s="609"/>
      <c r="M312" s="586"/>
    </row>
    <row r="313" spans="1:13" s="752" customFormat="1" ht="15">
      <c r="A313" s="1461">
        <v>306</v>
      </c>
      <c r="B313" s="535"/>
      <c r="C313" s="545"/>
      <c r="D313" s="539" t="s">
        <v>957</v>
      </c>
      <c r="E313" s="782"/>
      <c r="F313" s="553"/>
      <c r="G313" s="553"/>
      <c r="H313" s="794"/>
      <c r="I313" s="607">
        <v>12589</v>
      </c>
      <c r="J313" s="538"/>
      <c r="K313" s="538"/>
      <c r="L313" s="609">
        <f>SUM(I313:K313)</f>
        <v>12589</v>
      </c>
      <c r="M313" s="586"/>
    </row>
    <row r="314" spans="1:13" s="753" customFormat="1" ht="15">
      <c r="A314" s="1461">
        <v>307</v>
      </c>
      <c r="B314" s="812"/>
      <c r="C314" s="1464"/>
      <c r="D314" s="541" t="s">
        <v>405</v>
      </c>
      <c r="E314" s="805"/>
      <c r="F314" s="567"/>
      <c r="G314" s="567"/>
      <c r="H314" s="745"/>
      <c r="I314" s="610"/>
      <c r="J314" s="555"/>
      <c r="K314" s="555"/>
      <c r="L314" s="611">
        <f>SUM(I314:K314)</f>
        <v>0</v>
      </c>
      <c r="M314" s="594"/>
    </row>
    <row r="315" spans="1:13" s="754" customFormat="1" ht="15">
      <c r="A315" s="1461">
        <v>308</v>
      </c>
      <c r="B315" s="577"/>
      <c r="C315" s="1465"/>
      <c r="D315" s="542" t="s">
        <v>1067</v>
      </c>
      <c r="E315" s="576"/>
      <c r="F315" s="568"/>
      <c r="G315" s="568"/>
      <c r="H315" s="746"/>
      <c r="I315" s="615">
        <f>SUM(I313:I314)</f>
        <v>12589</v>
      </c>
      <c r="J315" s="568">
        <f>SUM(J313:J314)</f>
        <v>0</v>
      </c>
      <c r="K315" s="568">
        <f>SUM(K313:K314)</f>
        <v>0</v>
      </c>
      <c r="L315" s="608">
        <f>SUM(I315:K315)</f>
        <v>12589</v>
      </c>
      <c r="M315" s="593">
        <v>0</v>
      </c>
    </row>
    <row r="316" spans="1:13" s="752" customFormat="1" ht="30">
      <c r="A316" s="1461">
        <v>309</v>
      </c>
      <c r="B316" s="811"/>
      <c r="C316" s="1466">
        <v>68</v>
      </c>
      <c r="D316" s="557" t="s">
        <v>64</v>
      </c>
      <c r="E316" s="782" t="s">
        <v>799</v>
      </c>
      <c r="F316" s="557">
        <v>635</v>
      </c>
      <c r="G316" s="557">
        <v>0</v>
      </c>
      <c r="H316" s="791">
        <v>0</v>
      </c>
      <c r="I316" s="607"/>
      <c r="J316" s="538"/>
      <c r="K316" s="538"/>
      <c r="L316" s="609"/>
      <c r="M316" s="586"/>
    </row>
    <row r="317" spans="1:13" s="752" customFormat="1" ht="15">
      <c r="A317" s="1461">
        <v>310</v>
      </c>
      <c r="B317" s="811"/>
      <c r="C317" s="545"/>
      <c r="D317" s="539" t="s">
        <v>957</v>
      </c>
      <c r="E317" s="782"/>
      <c r="F317" s="557"/>
      <c r="G317" s="557"/>
      <c r="H317" s="791"/>
      <c r="I317" s="607">
        <v>635</v>
      </c>
      <c r="J317" s="538"/>
      <c r="K317" s="538"/>
      <c r="L317" s="609">
        <f>SUM(I317:K317)</f>
        <v>635</v>
      </c>
      <c r="M317" s="586"/>
    </row>
    <row r="318" spans="1:13" s="753" customFormat="1" ht="15">
      <c r="A318" s="1461">
        <v>311</v>
      </c>
      <c r="B318" s="812"/>
      <c r="C318" s="1464"/>
      <c r="D318" s="541" t="s">
        <v>405</v>
      </c>
      <c r="E318" s="806"/>
      <c r="F318" s="567"/>
      <c r="G318" s="567"/>
      <c r="H318" s="745"/>
      <c r="I318" s="610"/>
      <c r="J318" s="555"/>
      <c r="K318" s="555"/>
      <c r="L318" s="611">
        <f>SUM(I318:K318)</f>
        <v>0</v>
      </c>
      <c r="M318" s="594"/>
    </row>
    <row r="319" spans="1:13" s="754" customFormat="1" ht="15">
      <c r="A319" s="1461">
        <v>312</v>
      </c>
      <c r="B319" s="577"/>
      <c r="C319" s="1465"/>
      <c r="D319" s="542" t="s">
        <v>1067</v>
      </c>
      <c r="E319" s="576"/>
      <c r="F319" s="568"/>
      <c r="G319" s="568"/>
      <c r="H319" s="746"/>
      <c r="I319" s="615">
        <f>SUM(I317:I318)</f>
        <v>635</v>
      </c>
      <c r="J319" s="568">
        <f>SUM(J317:J318)</f>
        <v>0</v>
      </c>
      <c r="K319" s="568">
        <f>SUM(K317:K318)</f>
        <v>0</v>
      </c>
      <c r="L319" s="608">
        <f>SUM(I319:K319)</f>
        <v>635</v>
      </c>
      <c r="M319" s="593">
        <v>0</v>
      </c>
    </row>
    <row r="320" spans="1:13" s="752" customFormat="1" ht="15">
      <c r="A320" s="1461">
        <v>313</v>
      </c>
      <c r="B320" s="535"/>
      <c r="C320" s="545">
        <v>69</v>
      </c>
      <c r="D320" s="557" t="s">
        <v>549</v>
      </c>
      <c r="E320" s="782" t="s">
        <v>799</v>
      </c>
      <c r="F320" s="553">
        <v>17000</v>
      </c>
      <c r="G320" s="553">
        <v>0</v>
      </c>
      <c r="H320" s="794">
        <v>0</v>
      </c>
      <c r="I320" s="607"/>
      <c r="J320" s="538"/>
      <c r="K320" s="538"/>
      <c r="L320" s="609"/>
      <c r="M320" s="586"/>
    </row>
    <row r="321" spans="1:13" ht="15">
      <c r="A321" s="1461">
        <v>314</v>
      </c>
      <c r="B321" s="811"/>
      <c r="C321" s="545"/>
      <c r="D321" s="539" t="s">
        <v>403</v>
      </c>
      <c r="E321" s="788"/>
      <c r="F321" s="796"/>
      <c r="G321" s="562"/>
      <c r="H321" s="794"/>
      <c r="I321" s="607">
        <v>10000</v>
      </c>
      <c r="J321" s="538"/>
      <c r="K321" s="538"/>
      <c r="L321" s="609">
        <f>SUM(I321:K321)</f>
        <v>10000</v>
      </c>
      <c r="M321" s="591"/>
    </row>
    <row r="322" spans="1:13" ht="15">
      <c r="A322" s="1461">
        <v>315</v>
      </c>
      <c r="B322" s="811"/>
      <c r="C322" s="545"/>
      <c r="D322" s="539" t="s">
        <v>957</v>
      </c>
      <c r="E322" s="788"/>
      <c r="F322" s="796"/>
      <c r="G322" s="562"/>
      <c r="H322" s="794"/>
      <c r="I322" s="607">
        <v>17000</v>
      </c>
      <c r="J322" s="538"/>
      <c r="K322" s="538"/>
      <c r="L322" s="609">
        <f>SUM(I322:K322)</f>
        <v>17000</v>
      </c>
      <c r="M322" s="591"/>
    </row>
    <row r="323" spans="1:13" s="753" customFormat="1" ht="15">
      <c r="A323" s="1461">
        <v>316</v>
      </c>
      <c r="B323" s="812"/>
      <c r="C323" s="1464"/>
      <c r="D323" s="541" t="s">
        <v>1080</v>
      </c>
      <c r="E323" s="782"/>
      <c r="F323" s="567"/>
      <c r="G323" s="567"/>
      <c r="H323" s="745"/>
      <c r="I323" s="610">
        <v>-77</v>
      </c>
      <c r="J323" s="555"/>
      <c r="K323" s="555"/>
      <c r="L323" s="611">
        <f>SUM(I323:K323)</f>
        <v>-77</v>
      </c>
      <c r="M323" s="594"/>
    </row>
    <row r="324" spans="1:13" s="754" customFormat="1" ht="15">
      <c r="A324" s="1461">
        <v>317</v>
      </c>
      <c r="B324" s="577"/>
      <c r="C324" s="1465"/>
      <c r="D324" s="542" t="s">
        <v>1067</v>
      </c>
      <c r="E324" s="576"/>
      <c r="F324" s="568"/>
      <c r="G324" s="568"/>
      <c r="H324" s="746"/>
      <c r="I324" s="615">
        <f>SUM(I322:I323)</f>
        <v>16923</v>
      </c>
      <c r="J324" s="568">
        <f>SUM(J322:J323)</f>
        <v>0</v>
      </c>
      <c r="K324" s="568">
        <f>SUM(K322:K323)</f>
        <v>0</v>
      </c>
      <c r="L324" s="608">
        <f>SUM(I324:K324)</f>
        <v>16923</v>
      </c>
      <c r="M324" s="593">
        <f>SUM(M321:M323)</f>
        <v>0</v>
      </c>
    </row>
    <row r="325" spans="1:13" s="752" customFormat="1" ht="15">
      <c r="A325" s="1461">
        <v>318</v>
      </c>
      <c r="B325" s="535"/>
      <c r="C325" s="545">
        <v>70</v>
      </c>
      <c r="D325" s="557" t="s">
        <v>526</v>
      </c>
      <c r="E325" s="782" t="s">
        <v>799</v>
      </c>
      <c r="F325" s="553">
        <v>7300</v>
      </c>
      <c r="G325" s="553">
        <v>0</v>
      </c>
      <c r="H325" s="794">
        <v>0</v>
      </c>
      <c r="I325" s="607"/>
      <c r="J325" s="538"/>
      <c r="K325" s="538"/>
      <c r="L325" s="609"/>
      <c r="M325" s="586"/>
    </row>
    <row r="326" spans="1:13" ht="15">
      <c r="A326" s="1461">
        <v>319</v>
      </c>
      <c r="B326" s="811"/>
      <c r="C326" s="545"/>
      <c r="D326" s="539" t="s">
        <v>403</v>
      </c>
      <c r="E326" s="788"/>
      <c r="F326" s="796"/>
      <c r="G326" s="562"/>
      <c r="H326" s="794"/>
      <c r="I326" s="607">
        <v>2300</v>
      </c>
      <c r="J326" s="538"/>
      <c r="K326" s="538"/>
      <c r="L326" s="609">
        <f>SUM(I326:K326)</f>
        <v>2300</v>
      </c>
      <c r="M326" s="591"/>
    </row>
    <row r="327" spans="1:13" ht="15">
      <c r="A327" s="1461">
        <v>320</v>
      </c>
      <c r="B327" s="811"/>
      <c r="C327" s="545"/>
      <c r="D327" s="539" t="s">
        <v>957</v>
      </c>
      <c r="E327" s="788"/>
      <c r="F327" s="796"/>
      <c r="G327" s="562"/>
      <c r="H327" s="794"/>
      <c r="I327" s="607">
        <v>7300</v>
      </c>
      <c r="J327" s="538"/>
      <c r="K327" s="538"/>
      <c r="L327" s="609">
        <f>SUM(I327:K327)</f>
        <v>7300</v>
      </c>
      <c r="M327" s="591"/>
    </row>
    <row r="328" spans="1:13" s="753" customFormat="1" ht="15">
      <c r="A328" s="1461">
        <v>321</v>
      </c>
      <c r="B328" s="812"/>
      <c r="C328" s="1464"/>
      <c r="D328" s="541" t="s">
        <v>405</v>
      </c>
      <c r="E328" s="782"/>
      <c r="F328" s="567"/>
      <c r="G328" s="567"/>
      <c r="H328" s="745"/>
      <c r="I328" s="610"/>
      <c r="J328" s="555"/>
      <c r="K328" s="555"/>
      <c r="L328" s="611">
        <f>SUM(I328:K328)</f>
        <v>0</v>
      </c>
      <c r="M328" s="594"/>
    </row>
    <row r="329" spans="1:13" s="755" customFormat="1" ht="15">
      <c r="A329" s="1461">
        <v>322</v>
      </c>
      <c r="B329" s="577"/>
      <c r="C329" s="1465"/>
      <c r="D329" s="542" t="s">
        <v>1067</v>
      </c>
      <c r="E329" s="576"/>
      <c r="F329" s="578"/>
      <c r="G329" s="578"/>
      <c r="H329" s="684"/>
      <c r="I329" s="618">
        <f>SUM(I327:I328)</f>
        <v>7300</v>
      </c>
      <c r="J329" s="578">
        <f>SUM(J327:J328)</f>
        <v>0</v>
      </c>
      <c r="K329" s="578">
        <f>SUM(K327:K328)</f>
        <v>0</v>
      </c>
      <c r="L329" s="608">
        <f>SUM(I329:K329)</f>
        <v>7300</v>
      </c>
      <c r="M329" s="597">
        <f>SUM(M326:M328)</f>
        <v>0</v>
      </c>
    </row>
    <row r="330" spans="1:13" s="752" customFormat="1" ht="45">
      <c r="A330" s="1461">
        <v>323</v>
      </c>
      <c r="B330" s="811"/>
      <c r="C330" s="1466">
        <v>71</v>
      </c>
      <c r="D330" s="557" t="s">
        <v>755</v>
      </c>
      <c r="E330" s="782" t="s">
        <v>799</v>
      </c>
      <c r="F330" s="1236">
        <v>250</v>
      </c>
      <c r="G330" s="1236">
        <v>0</v>
      </c>
      <c r="H330" s="1237">
        <v>0</v>
      </c>
      <c r="I330" s="607"/>
      <c r="J330" s="538"/>
      <c r="K330" s="538"/>
      <c r="L330" s="609"/>
      <c r="M330" s="586"/>
    </row>
    <row r="331" spans="1:13" s="752" customFormat="1" ht="15">
      <c r="A331" s="1461">
        <v>324</v>
      </c>
      <c r="B331" s="811"/>
      <c r="C331" s="545"/>
      <c r="D331" s="539" t="s">
        <v>957</v>
      </c>
      <c r="E331" s="782"/>
      <c r="F331" s="1236"/>
      <c r="G331" s="1236"/>
      <c r="H331" s="1237"/>
      <c r="I331" s="607">
        <v>250</v>
      </c>
      <c r="J331" s="538"/>
      <c r="K331" s="538"/>
      <c r="L331" s="609">
        <f>SUM(I331:K331)</f>
        <v>250</v>
      </c>
      <c r="M331" s="586"/>
    </row>
    <row r="332" spans="1:13" s="753" customFormat="1" ht="15">
      <c r="A332" s="1461">
        <v>325</v>
      </c>
      <c r="B332" s="812"/>
      <c r="C332" s="1464"/>
      <c r="D332" s="541" t="s">
        <v>405</v>
      </c>
      <c r="E332" s="806"/>
      <c r="F332" s="567"/>
      <c r="G332" s="567"/>
      <c r="H332" s="745"/>
      <c r="I332" s="610"/>
      <c r="J332" s="555"/>
      <c r="K332" s="555"/>
      <c r="L332" s="611">
        <f>SUM(I332:K332)</f>
        <v>0</v>
      </c>
      <c r="M332" s="594"/>
    </row>
    <row r="333" spans="1:13" s="755" customFormat="1" ht="15">
      <c r="A333" s="1461">
        <v>326</v>
      </c>
      <c r="B333" s="577"/>
      <c r="C333" s="1465"/>
      <c r="D333" s="542" t="s">
        <v>1067</v>
      </c>
      <c r="E333" s="576"/>
      <c r="F333" s="578"/>
      <c r="G333" s="578"/>
      <c r="H333" s="684"/>
      <c r="I333" s="618">
        <f>SUM(I331:I332)</f>
        <v>250</v>
      </c>
      <c r="J333" s="578">
        <f>SUM(J331:J332)</f>
        <v>0</v>
      </c>
      <c r="K333" s="578">
        <f>SUM(K331:K332)</f>
        <v>0</v>
      </c>
      <c r="L333" s="608">
        <f>SUM(I333:K333)</f>
        <v>250</v>
      </c>
      <c r="M333" s="922">
        <f>SUM(M332)</f>
        <v>0</v>
      </c>
    </row>
    <row r="334" spans="1:13" s="752" customFormat="1" ht="15">
      <c r="A334" s="1461">
        <v>327</v>
      </c>
      <c r="B334" s="535"/>
      <c r="C334" s="545">
        <v>72</v>
      </c>
      <c r="D334" s="557" t="s">
        <v>756</v>
      </c>
      <c r="E334" s="782" t="s">
        <v>799</v>
      </c>
      <c r="F334" s="553">
        <v>1000</v>
      </c>
      <c r="G334" s="553">
        <v>0</v>
      </c>
      <c r="H334" s="794">
        <v>0</v>
      </c>
      <c r="I334" s="607"/>
      <c r="J334" s="538"/>
      <c r="K334" s="538"/>
      <c r="L334" s="609"/>
      <c r="M334" s="586"/>
    </row>
    <row r="335" spans="1:13" s="752" customFormat="1" ht="15">
      <c r="A335" s="1461">
        <v>328</v>
      </c>
      <c r="B335" s="535"/>
      <c r="C335" s="545"/>
      <c r="D335" s="539" t="s">
        <v>957</v>
      </c>
      <c r="E335" s="782"/>
      <c r="F335" s="553"/>
      <c r="G335" s="553"/>
      <c r="H335" s="794"/>
      <c r="I335" s="607">
        <v>1000</v>
      </c>
      <c r="J335" s="538"/>
      <c r="K335" s="538"/>
      <c r="L335" s="609">
        <f>SUM(I335:K335)</f>
        <v>1000</v>
      </c>
      <c r="M335" s="586"/>
    </row>
    <row r="336" spans="1:13" s="753" customFormat="1" ht="15">
      <c r="A336" s="1461">
        <v>329</v>
      </c>
      <c r="B336" s="812"/>
      <c r="C336" s="1464"/>
      <c r="D336" s="541" t="s">
        <v>405</v>
      </c>
      <c r="E336" s="576"/>
      <c r="F336" s="567"/>
      <c r="G336" s="567"/>
      <c r="H336" s="745"/>
      <c r="I336" s="610"/>
      <c r="J336" s="555"/>
      <c r="K336" s="555"/>
      <c r="L336" s="611">
        <f>SUM(I336:K336)</f>
        <v>0</v>
      </c>
      <c r="M336" s="594"/>
    </row>
    <row r="337" spans="1:13" s="755" customFormat="1" ht="15">
      <c r="A337" s="1461">
        <v>330</v>
      </c>
      <c r="B337" s="577"/>
      <c r="C337" s="1465"/>
      <c r="D337" s="542" t="s">
        <v>1067</v>
      </c>
      <c r="E337" s="557"/>
      <c r="F337" s="578"/>
      <c r="G337" s="578"/>
      <c r="H337" s="684"/>
      <c r="I337" s="618">
        <f>SUM(I335:I336)</f>
        <v>1000</v>
      </c>
      <c r="J337" s="578">
        <f>SUM(J335:J336)</f>
        <v>0</v>
      </c>
      <c r="K337" s="578">
        <f>SUM(K335:K336)</f>
        <v>0</v>
      </c>
      <c r="L337" s="608">
        <f>SUM(I337:K337)</f>
        <v>1000</v>
      </c>
      <c r="M337" s="597">
        <f>SUM(M336)</f>
        <v>0</v>
      </c>
    </row>
    <row r="338" spans="1:13" s="752" customFormat="1" ht="30">
      <c r="A338" s="1461">
        <v>331</v>
      </c>
      <c r="B338" s="566"/>
      <c r="C338" s="1466">
        <v>73</v>
      </c>
      <c r="D338" s="557" t="s">
        <v>757</v>
      </c>
      <c r="E338" s="782" t="s">
        <v>799</v>
      </c>
      <c r="F338" s="557">
        <f>SUM(G338:H338,L341,M341)</f>
        <v>1320</v>
      </c>
      <c r="G338" s="557">
        <v>0</v>
      </c>
      <c r="H338" s="791">
        <v>0</v>
      </c>
      <c r="I338" s="607"/>
      <c r="J338" s="538"/>
      <c r="K338" s="538"/>
      <c r="L338" s="609"/>
      <c r="M338" s="586"/>
    </row>
    <row r="339" spans="1:13" s="752" customFormat="1" ht="15">
      <c r="A339" s="1461">
        <v>332</v>
      </c>
      <c r="B339" s="811"/>
      <c r="C339" s="545"/>
      <c r="D339" s="539" t="s">
        <v>957</v>
      </c>
      <c r="E339" s="782"/>
      <c r="F339" s="557"/>
      <c r="G339" s="557"/>
      <c r="H339" s="791"/>
      <c r="I339" s="607">
        <v>1320</v>
      </c>
      <c r="J339" s="538"/>
      <c r="K339" s="538"/>
      <c r="L339" s="609">
        <f aca="true" t="shared" si="1" ref="L339:L427">SUM(I339:K339)</f>
        <v>1320</v>
      </c>
      <c r="M339" s="586"/>
    </row>
    <row r="340" spans="1:13" s="753" customFormat="1" ht="15">
      <c r="A340" s="1461">
        <v>333</v>
      </c>
      <c r="B340" s="812"/>
      <c r="C340" s="1464"/>
      <c r="D340" s="541" t="s">
        <v>405</v>
      </c>
      <c r="E340" s="576"/>
      <c r="F340" s="567"/>
      <c r="G340" s="567"/>
      <c r="H340" s="745"/>
      <c r="I340" s="610"/>
      <c r="J340" s="555"/>
      <c r="K340" s="555"/>
      <c r="L340" s="611">
        <f t="shared" si="1"/>
        <v>0</v>
      </c>
      <c r="M340" s="594"/>
    </row>
    <row r="341" spans="1:13" s="755" customFormat="1" ht="15">
      <c r="A341" s="1461">
        <v>334</v>
      </c>
      <c r="B341" s="577"/>
      <c r="C341" s="1465"/>
      <c r="D341" s="542" t="s">
        <v>1067</v>
      </c>
      <c r="E341" s="557"/>
      <c r="F341" s="578"/>
      <c r="G341" s="578"/>
      <c r="H341" s="684"/>
      <c r="I341" s="618">
        <f>SUM(I339:I340)</f>
        <v>1320</v>
      </c>
      <c r="J341" s="578">
        <f>SUM(J339:J340)</f>
        <v>0</v>
      </c>
      <c r="K341" s="578">
        <f>SUM(K339:K340)</f>
        <v>0</v>
      </c>
      <c r="L341" s="608">
        <f t="shared" si="1"/>
        <v>1320</v>
      </c>
      <c r="M341" s="597">
        <f>SUM(M340)</f>
        <v>0</v>
      </c>
    </row>
    <row r="342" spans="1:13" s="752" customFormat="1" ht="30">
      <c r="A342" s="1461">
        <v>335</v>
      </c>
      <c r="B342" s="566"/>
      <c r="C342" s="1463">
        <v>74</v>
      </c>
      <c r="D342" s="1374" t="s">
        <v>42</v>
      </c>
      <c r="E342" s="782" t="s">
        <v>799</v>
      </c>
      <c r="F342" s="553">
        <v>13900</v>
      </c>
      <c r="G342" s="553">
        <v>0</v>
      </c>
      <c r="H342" s="794">
        <v>0</v>
      </c>
      <c r="I342" s="607"/>
      <c r="J342" s="538"/>
      <c r="K342" s="538"/>
      <c r="L342" s="609"/>
      <c r="M342" s="586"/>
    </row>
    <row r="343" spans="1:13" s="752" customFormat="1" ht="15">
      <c r="A343" s="1461">
        <v>336</v>
      </c>
      <c r="B343" s="811"/>
      <c r="C343" s="545"/>
      <c r="D343" s="539" t="s">
        <v>957</v>
      </c>
      <c r="E343" s="782"/>
      <c r="F343" s="557"/>
      <c r="G343" s="557"/>
      <c r="H343" s="791"/>
      <c r="I343" s="607">
        <v>13900</v>
      </c>
      <c r="J343" s="538"/>
      <c r="K343" s="538"/>
      <c r="L343" s="609">
        <f t="shared" si="1"/>
        <v>13900</v>
      </c>
      <c r="M343" s="586"/>
    </row>
    <row r="344" spans="1:13" s="753" customFormat="1" ht="15">
      <c r="A344" s="1461">
        <v>337</v>
      </c>
      <c r="B344" s="812"/>
      <c r="C344" s="1464"/>
      <c r="D344" s="541" t="s">
        <v>405</v>
      </c>
      <c r="E344" s="576"/>
      <c r="F344" s="567"/>
      <c r="G344" s="567"/>
      <c r="H344" s="745"/>
      <c r="I344" s="610"/>
      <c r="J344" s="555"/>
      <c r="K344" s="555"/>
      <c r="L344" s="611">
        <f t="shared" si="1"/>
        <v>0</v>
      </c>
      <c r="M344" s="594"/>
    </row>
    <row r="345" spans="1:13" s="755" customFormat="1" ht="15">
      <c r="A345" s="1461">
        <v>338</v>
      </c>
      <c r="B345" s="577"/>
      <c r="C345" s="1465"/>
      <c r="D345" s="542" t="s">
        <v>1067</v>
      </c>
      <c r="E345" s="557"/>
      <c r="F345" s="578"/>
      <c r="G345" s="578"/>
      <c r="H345" s="684"/>
      <c r="I345" s="618">
        <f>SUM(I343:I344)</f>
        <v>13900</v>
      </c>
      <c r="J345" s="578">
        <f>SUM(J343:J344)</f>
        <v>0</v>
      </c>
      <c r="K345" s="578">
        <f>SUM(K343:K344)</f>
        <v>0</v>
      </c>
      <c r="L345" s="608">
        <f t="shared" si="1"/>
        <v>13900</v>
      </c>
      <c r="M345" s="597">
        <f>SUM(M344)</f>
        <v>0</v>
      </c>
    </row>
    <row r="346" spans="1:13" s="752" customFormat="1" ht="15">
      <c r="A346" s="1461">
        <v>339</v>
      </c>
      <c r="B346" s="535"/>
      <c r="C346" s="545">
        <v>75</v>
      </c>
      <c r="D346" s="557" t="s">
        <v>525</v>
      </c>
      <c r="E346" s="782" t="s">
        <v>799</v>
      </c>
      <c r="F346" s="553">
        <v>1116</v>
      </c>
      <c r="G346" s="553">
        <v>0</v>
      </c>
      <c r="H346" s="794">
        <v>0</v>
      </c>
      <c r="I346" s="607"/>
      <c r="J346" s="538"/>
      <c r="K346" s="538"/>
      <c r="L346" s="609"/>
      <c r="M346" s="586"/>
    </row>
    <row r="347" spans="1:13" s="752" customFormat="1" ht="15">
      <c r="A347" s="1461">
        <v>340</v>
      </c>
      <c r="B347" s="535"/>
      <c r="C347" s="545"/>
      <c r="D347" s="539" t="s">
        <v>957</v>
      </c>
      <c r="E347" s="782"/>
      <c r="F347" s="553"/>
      <c r="G347" s="553"/>
      <c r="H347" s="794"/>
      <c r="I347" s="607">
        <v>1116</v>
      </c>
      <c r="J347" s="538"/>
      <c r="K347" s="538"/>
      <c r="L347" s="609">
        <f t="shared" si="1"/>
        <v>1116</v>
      </c>
      <c r="M347" s="586"/>
    </row>
    <row r="348" spans="1:13" s="753" customFormat="1" ht="15">
      <c r="A348" s="1461">
        <v>341</v>
      </c>
      <c r="B348" s="812"/>
      <c r="C348" s="1464"/>
      <c r="D348" s="541" t="s">
        <v>405</v>
      </c>
      <c r="E348" s="576"/>
      <c r="F348" s="567"/>
      <c r="G348" s="567"/>
      <c r="H348" s="745"/>
      <c r="I348" s="610"/>
      <c r="J348" s="555"/>
      <c r="K348" s="555"/>
      <c r="L348" s="611">
        <f>SUM(I348:K348)</f>
        <v>0</v>
      </c>
      <c r="M348" s="594"/>
    </row>
    <row r="349" spans="1:13" s="755" customFormat="1" ht="15">
      <c r="A349" s="1461">
        <v>342</v>
      </c>
      <c r="B349" s="577"/>
      <c r="C349" s="1465"/>
      <c r="D349" s="542" t="s">
        <v>1067</v>
      </c>
      <c r="E349" s="557"/>
      <c r="F349" s="578"/>
      <c r="G349" s="578"/>
      <c r="H349" s="684"/>
      <c r="I349" s="618">
        <f>SUM(I347:I348)</f>
        <v>1116</v>
      </c>
      <c r="J349" s="578">
        <f>SUM(J347:J348)</f>
        <v>0</v>
      </c>
      <c r="K349" s="578">
        <f>SUM(K347:K348)</f>
        <v>0</v>
      </c>
      <c r="L349" s="608">
        <f t="shared" si="1"/>
        <v>1116</v>
      </c>
      <c r="M349" s="597">
        <f>SUM(M348)</f>
        <v>0</v>
      </c>
    </row>
    <row r="350" spans="1:13" s="752" customFormat="1" ht="15">
      <c r="A350" s="1461">
        <v>343</v>
      </c>
      <c r="B350" s="535"/>
      <c r="C350" s="545">
        <v>76</v>
      </c>
      <c r="D350" s="557" t="s">
        <v>758</v>
      </c>
      <c r="E350" s="782" t="s">
        <v>799</v>
      </c>
      <c r="F350" s="553">
        <v>600</v>
      </c>
      <c r="G350" s="553">
        <v>0</v>
      </c>
      <c r="H350" s="794">
        <v>0</v>
      </c>
      <c r="I350" s="607"/>
      <c r="J350" s="538"/>
      <c r="K350" s="538"/>
      <c r="L350" s="609"/>
      <c r="M350" s="586"/>
    </row>
    <row r="351" spans="1:13" s="752" customFormat="1" ht="15">
      <c r="A351" s="1461">
        <v>344</v>
      </c>
      <c r="B351" s="535"/>
      <c r="C351" s="545"/>
      <c r="D351" s="539" t="s">
        <v>957</v>
      </c>
      <c r="E351" s="782"/>
      <c r="F351" s="553"/>
      <c r="G351" s="553"/>
      <c r="H351" s="794"/>
      <c r="I351" s="607">
        <v>600</v>
      </c>
      <c r="J351" s="538"/>
      <c r="K351" s="538"/>
      <c r="L351" s="609">
        <f t="shared" si="1"/>
        <v>600</v>
      </c>
      <c r="M351" s="586"/>
    </row>
    <row r="352" spans="1:13" s="753" customFormat="1" ht="15">
      <c r="A352" s="1461">
        <v>345</v>
      </c>
      <c r="B352" s="812"/>
      <c r="C352" s="1464"/>
      <c r="D352" s="541" t="s">
        <v>405</v>
      </c>
      <c r="E352" s="576"/>
      <c r="F352" s="567"/>
      <c r="G352" s="567"/>
      <c r="H352" s="745"/>
      <c r="I352" s="610"/>
      <c r="J352" s="555"/>
      <c r="K352" s="555"/>
      <c r="L352" s="611">
        <f t="shared" si="1"/>
        <v>0</v>
      </c>
      <c r="M352" s="594"/>
    </row>
    <row r="353" spans="1:13" s="755" customFormat="1" ht="15">
      <c r="A353" s="1461">
        <v>346</v>
      </c>
      <c r="B353" s="577"/>
      <c r="C353" s="1465"/>
      <c r="D353" s="542" t="s">
        <v>1067</v>
      </c>
      <c r="E353" s="557"/>
      <c r="F353" s="578"/>
      <c r="G353" s="578"/>
      <c r="H353" s="684"/>
      <c r="I353" s="618">
        <f>SUM(I351:I352)</f>
        <v>600</v>
      </c>
      <c r="J353" s="578">
        <f>SUM(J351:J352)</f>
        <v>0</v>
      </c>
      <c r="K353" s="578">
        <f>SUM(K351:K352)</f>
        <v>0</v>
      </c>
      <c r="L353" s="608">
        <f t="shared" si="1"/>
        <v>600</v>
      </c>
      <c r="M353" s="597">
        <f>SUM(M352)</f>
        <v>0</v>
      </c>
    </row>
    <row r="354" spans="1:13" s="752" customFormat="1" ht="30">
      <c r="A354" s="1461">
        <v>347</v>
      </c>
      <c r="B354" s="566"/>
      <c r="C354" s="1463">
        <v>77</v>
      </c>
      <c r="D354" s="1374" t="s">
        <v>228</v>
      </c>
      <c r="E354" s="782" t="s">
        <v>799</v>
      </c>
      <c r="F354" s="553">
        <v>150</v>
      </c>
      <c r="G354" s="553">
        <v>0</v>
      </c>
      <c r="H354" s="794">
        <v>0</v>
      </c>
      <c r="I354" s="607"/>
      <c r="J354" s="538"/>
      <c r="K354" s="538"/>
      <c r="L354" s="609"/>
      <c r="M354" s="586"/>
    </row>
    <row r="355" spans="1:13" s="752" customFormat="1" ht="15">
      <c r="A355" s="1461">
        <v>348</v>
      </c>
      <c r="B355" s="535"/>
      <c r="C355" s="545"/>
      <c r="D355" s="539" t="s">
        <v>957</v>
      </c>
      <c r="E355" s="782"/>
      <c r="F355" s="553"/>
      <c r="G355" s="553"/>
      <c r="H355" s="794"/>
      <c r="I355" s="607"/>
      <c r="J355" s="538">
        <v>150</v>
      </c>
      <c r="K355" s="538"/>
      <c r="L355" s="609">
        <f>SUM(I355:K355)</f>
        <v>150</v>
      </c>
      <c r="M355" s="586"/>
    </row>
    <row r="356" spans="1:13" s="753" customFormat="1" ht="15">
      <c r="A356" s="1461">
        <v>349</v>
      </c>
      <c r="B356" s="812"/>
      <c r="C356" s="1464"/>
      <c r="D356" s="541" t="s">
        <v>405</v>
      </c>
      <c r="E356" s="576"/>
      <c r="F356" s="567"/>
      <c r="G356" s="567"/>
      <c r="H356" s="745"/>
      <c r="I356" s="610"/>
      <c r="J356" s="555"/>
      <c r="K356" s="555"/>
      <c r="L356" s="611">
        <f>SUM(I356:K356)</f>
        <v>0</v>
      </c>
      <c r="M356" s="594"/>
    </row>
    <row r="357" spans="1:13" s="755" customFormat="1" ht="15">
      <c r="A357" s="1461">
        <v>350</v>
      </c>
      <c r="B357" s="577"/>
      <c r="C357" s="1465"/>
      <c r="D357" s="542" t="s">
        <v>1067</v>
      </c>
      <c r="E357" s="557"/>
      <c r="F357" s="578"/>
      <c r="G357" s="578"/>
      <c r="H357" s="684"/>
      <c r="I357" s="618">
        <f>SUM(I355:I356)</f>
        <v>0</v>
      </c>
      <c r="J357" s="578">
        <f>SUM(J355:J356)</f>
        <v>150</v>
      </c>
      <c r="K357" s="578">
        <f>SUM(K355:K356)</f>
        <v>0</v>
      </c>
      <c r="L357" s="608">
        <f>SUM(I357:K357)</f>
        <v>150</v>
      </c>
      <c r="M357" s="597">
        <v>0</v>
      </c>
    </row>
    <row r="358" spans="1:13" s="752" customFormat="1" ht="15">
      <c r="A358" s="1461">
        <v>351</v>
      </c>
      <c r="B358" s="535"/>
      <c r="C358" s="545">
        <v>78</v>
      </c>
      <c r="D358" s="557" t="s">
        <v>1040</v>
      </c>
      <c r="E358" s="782" t="s">
        <v>799</v>
      </c>
      <c r="F358" s="553">
        <v>110</v>
      </c>
      <c r="G358" s="553">
        <v>0</v>
      </c>
      <c r="H358" s="794">
        <v>0</v>
      </c>
      <c r="I358" s="607"/>
      <c r="J358" s="538"/>
      <c r="K358" s="538"/>
      <c r="L358" s="609"/>
      <c r="M358" s="586"/>
    </row>
    <row r="359" spans="1:13" s="752" customFormat="1" ht="15">
      <c r="A359" s="1461">
        <v>352</v>
      </c>
      <c r="B359" s="535"/>
      <c r="C359" s="545"/>
      <c r="D359" s="539" t="s">
        <v>957</v>
      </c>
      <c r="E359" s="782"/>
      <c r="F359" s="553"/>
      <c r="G359" s="553"/>
      <c r="H359" s="794"/>
      <c r="I359" s="607"/>
      <c r="J359" s="538">
        <v>110</v>
      </c>
      <c r="K359" s="538"/>
      <c r="L359" s="609">
        <f>SUM(I359:K359)</f>
        <v>110</v>
      </c>
      <c r="M359" s="586"/>
    </row>
    <row r="360" spans="1:13" s="753" customFormat="1" ht="15">
      <c r="A360" s="1461">
        <v>353</v>
      </c>
      <c r="B360" s="812"/>
      <c r="C360" s="1464"/>
      <c r="D360" s="541" t="s">
        <v>405</v>
      </c>
      <c r="E360" s="576"/>
      <c r="F360" s="567"/>
      <c r="G360" s="567"/>
      <c r="H360" s="745"/>
      <c r="I360" s="610"/>
      <c r="J360" s="555"/>
      <c r="K360" s="555"/>
      <c r="L360" s="611">
        <f>SUM(I360:K360)</f>
        <v>0</v>
      </c>
      <c r="M360" s="594"/>
    </row>
    <row r="361" spans="1:13" s="755" customFormat="1" ht="15">
      <c r="A361" s="1461">
        <v>354</v>
      </c>
      <c r="B361" s="577"/>
      <c r="C361" s="1465"/>
      <c r="D361" s="542" t="s">
        <v>1067</v>
      </c>
      <c r="E361" s="557"/>
      <c r="F361" s="578"/>
      <c r="G361" s="578"/>
      <c r="H361" s="684"/>
      <c r="I361" s="578">
        <f>SUM(I359:I360)</f>
        <v>0</v>
      </c>
      <c r="J361" s="578">
        <f>SUM(J359:J360)</f>
        <v>110</v>
      </c>
      <c r="K361" s="578">
        <f>SUM(K359:K360)</f>
        <v>0</v>
      </c>
      <c r="L361" s="608">
        <f>SUM(I361:K361)</f>
        <v>110</v>
      </c>
      <c r="M361" s="597">
        <v>0</v>
      </c>
    </row>
    <row r="362" spans="1:13" s="752" customFormat="1" ht="30">
      <c r="A362" s="1461">
        <v>355</v>
      </c>
      <c r="B362" s="566"/>
      <c r="C362" s="1463">
        <v>79</v>
      </c>
      <c r="D362" s="1374" t="s">
        <v>943</v>
      </c>
      <c r="E362" s="782" t="s">
        <v>799</v>
      </c>
      <c r="F362" s="553">
        <v>30000</v>
      </c>
      <c r="G362" s="553">
        <v>0</v>
      </c>
      <c r="H362" s="794">
        <v>0</v>
      </c>
      <c r="I362" s="607"/>
      <c r="J362" s="538"/>
      <c r="K362" s="538"/>
      <c r="L362" s="609"/>
      <c r="M362" s="586"/>
    </row>
    <row r="363" spans="1:13" s="752" customFormat="1" ht="15">
      <c r="A363" s="1461">
        <v>356</v>
      </c>
      <c r="B363" s="535"/>
      <c r="C363" s="545"/>
      <c r="D363" s="539" t="s">
        <v>957</v>
      </c>
      <c r="E363" s="782"/>
      <c r="F363" s="553"/>
      <c r="G363" s="553"/>
      <c r="H363" s="794"/>
      <c r="I363" s="607">
        <v>30000</v>
      </c>
      <c r="J363" s="538"/>
      <c r="K363" s="538"/>
      <c r="L363" s="609">
        <f>SUM(I363:K363)</f>
        <v>30000</v>
      </c>
      <c r="M363" s="586"/>
    </row>
    <row r="364" spans="1:13" s="753" customFormat="1" ht="15">
      <c r="A364" s="1461">
        <v>357</v>
      </c>
      <c r="B364" s="812"/>
      <c r="C364" s="1464"/>
      <c r="D364" s="541" t="s">
        <v>405</v>
      </c>
      <c r="E364" s="576"/>
      <c r="F364" s="567"/>
      <c r="G364" s="567"/>
      <c r="H364" s="745"/>
      <c r="I364" s="610"/>
      <c r="J364" s="555"/>
      <c r="K364" s="555"/>
      <c r="L364" s="611">
        <f>SUM(I364:K364)</f>
        <v>0</v>
      </c>
      <c r="M364" s="594"/>
    </row>
    <row r="365" spans="1:13" s="755" customFormat="1" ht="15">
      <c r="A365" s="1461">
        <v>358</v>
      </c>
      <c r="B365" s="577"/>
      <c r="C365" s="1465"/>
      <c r="D365" s="542" t="s">
        <v>404</v>
      </c>
      <c r="E365" s="576"/>
      <c r="F365" s="578"/>
      <c r="G365" s="578"/>
      <c r="H365" s="684"/>
      <c r="I365" s="618">
        <f>SUM(I363:I364)</f>
        <v>30000</v>
      </c>
      <c r="J365" s="578">
        <f>SUM(J363:J364)</f>
        <v>0</v>
      </c>
      <c r="K365" s="578">
        <f>SUM(K363:K364)</f>
        <v>0</v>
      </c>
      <c r="L365" s="608">
        <f>SUM(I365:K365)</f>
        <v>30000</v>
      </c>
      <c r="M365" s="597">
        <v>0</v>
      </c>
    </row>
    <row r="366" spans="1:13" s="752" customFormat="1" ht="30">
      <c r="A366" s="1461">
        <v>359</v>
      </c>
      <c r="B366" s="566"/>
      <c r="C366" s="1463">
        <v>80</v>
      </c>
      <c r="D366" s="1374" t="s">
        <v>61</v>
      </c>
      <c r="E366" s="782" t="s">
        <v>799</v>
      </c>
      <c r="F366" s="553">
        <v>3000</v>
      </c>
      <c r="G366" s="553">
        <v>0</v>
      </c>
      <c r="H366" s="794">
        <v>0</v>
      </c>
      <c r="I366" s="607"/>
      <c r="J366" s="538"/>
      <c r="K366" s="538"/>
      <c r="L366" s="609"/>
      <c r="M366" s="586"/>
    </row>
    <row r="367" spans="1:13" s="752" customFormat="1" ht="15">
      <c r="A367" s="1461">
        <v>360</v>
      </c>
      <c r="B367" s="811"/>
      <c r="C367" s="545"/>
      <c r="D367" s="539" t="s">
        <v>957</v>
      </c>
      <c r="E367" s="782"/>
      <c r="F367" s="557"/>
      <c r="G367" s="557"/>
      <c r="H367" s="791"/>
      <c r="I367" s="607">
        <v>3000</v>
      </c>
      <c r="J367" s="538"/>
      <c r="K367" s="538"/>
      <c r="L367" s="609">
        <f t="shared" si="1"/>
        <v>3000</v>
      </c>
      <c r="M367" s="586"/>
    </row>
    <row r="368" spans="1:13" s="753" customFormat="1" ht="15">
      <c r="A368" s="1461">
        <v>361</v>
      </c>
      <c r="B368" s="812"/>
      <c r="C368" s="1464"/>
      <c r="D368" s="541" t="s">
        <v>405</v>
      </c>
      <c r="E368" s="806"/>
      <c r="F368" s="567"/>
      <c r="G368" s="567"/>
      <c r="H368" s="745"/>
      <c r="I368" s="610"/>
      <c r="J368" s="555"/>
      <c r="K368" s="555"/>
      <c r="L368" s="611">
        <f t="shared" si="1"/>
        <v>0</v>
      </c>
      <c r="M368" s="594"/>
    </row>
    <row r="369" spans="1:13" s="755" customFormat="1" ht="15">
      <c r="A369" s="1461">
        <v>362</v>
      </c>
      <c r="B369" s="577"/>
      <c r="C369" s="1465"/>
      <c r="D369" s="542" t="s">
        <v>1067</v>
      </c>
      <c r="E369" s="576"/>
      <c r="F369" s="578"/>
      <c r="G369" s="578"/>
      <c r="H369" s="684"/>
      <c r="I369" s="618">
        <f>SUM(I367:I368)</f>
        <v>3000</v>
      </c>
      <c r="J369" s="578">
        <f>SUM(J367:J368)</f>
        <v>0</v>
      </c>
      <c r="K369" s="578">
        <f>SUM(K367:K368)</f>
        <v>0</v>
      </c>
      <c r="L369" s="608">
        <f t="shared" si="1"/>
        <v>3000</v>
      </c>
      <c r="M369" s="597">
        <v>0</v>
      </c>
    </row>
    <row r="370" spans="1:13" s="752" customFormat="1" ht="15">
      <c r="A370" s="1461">
        <v>363</v>
      </c>
      <c r="B370" s="535"/>
      <c r="C370" s="545">
        <v>81</v>
      </c>
      <c r="D370" s="557" t="s">
        <v>471</v>
      </c>
      <c r="E370" s="782" t="s">
        <v>799</v>
      </c>
      <c r="F370" s="553">
        <v>20390</v>
      </c>
      <c r="G370" s="553">
        <v>9959</v>
      </c>
      <c r="H370" s="794">
        <v>2431</v>
      </c>
      <c r="I370" s="607"/>
      <c r="J370" s="538"/>
      <c r="K370" s="538"/>
      <c r="L370" s="609"/>
      <c r="M370" s="586"/>
    </row>
    <row r="371" spans="1:13" s="752" customFormat="1" ht="15">
      <c r="A371" s="1461">
        <v>364</v>
      </c>
      <c r="B371" s="535"/>
      <c r="C371" s="545"/>
      <c r="D371" s="539" t="s">
        <v>957</v>
      </c>
      <c r="E371" s="782"/>
      <c r="F371" s="553"/>
      <c r="G371" s="553"/>
      <c r="H371" s="794"/>
      <c r="I371" s="607">
        <v>8000</v>
      </c>
      <c r="J371" s="538"/>
      <c r="K371" s="538"/>
      <c r="L371" s="609">
        <f t="shared" si="1"/>
        <v>8000</v>
      </c>
      <c r="M371" s="586"/>
    </row>
    <row r="372" spans="1:13" s="753" customFormat="1" ht="15">
      <c r="A372" s="1461">
        <v>365</v>
      </c>
      <c r="B372" s="812"/>
      <c r="C372" s="1464"/>
      <c r="D372" s="541" t="s">
        <v>1080</v>
      </c>
      <c r="E372" s="576"/>
      <c r="F372" s="567"/>
      <c r="G372" s="567"/>
      <c r="H372" s="745"/>
      <c r="I372" s="610">
        <v>-7200</v>
      </c>
      <c r="J372" s="555"/>
      <c r="K372" s="555"/>
      <c r="L372" s="611">
        <f t="shared" si="1"/>
        <v>-7200</v>
      </c>
      <c r="M372" s="594"/>
    </row>
    <row r="373" spans="1:13" s="754" customFormat="1" ht="15">
      <c r="A373" s="1461">
        <v>366</v>
      </c>
      <c r="B373" s="577"/>
      <c r="C373" s="1465"/>
      <c r="D373" s="542" t="s">
        <v>1067</v>
      </c>
      <c r="E373" s="779"/>
      <c r="F373" s="568"/>
      <c r="G373" s="568"/>
      <c r="H373" s="746"/>
      <c r="I373" s="615">
        <f>SUM(I371:I372)</f>
        <v>800</v>
      </c>
      <c r="J373" s="568">
        <f>SUM(J371:J372)</f>
        <v>0</v>
      </c>
      <c r="K373" s="568">
        <f>SUM(K371:K372)</f>
        <v>0</v>
      </c>
      <c r="L373" s="608">
        <f t="shared" si="1"/>
        <v>800</v>
      </c>
      <c r="M373" s="593">
        <f>SUM(M372:M372)</f>
        <v>0</v>
      </c>
    </row>
    <row r="374" spans="1:13" s="752" customFormat="1" ht="15">
      <c r="A374" s="1461">
        <v>367</v>
      </c>
      <c r="B374" s="535"/>
      <c r="C374" s="545">
        <v>82</v>
      </c>
      <c r="D374" s="557" t="s">
        <v>511</v>
      </c>
      <c r="E374" s="782" t="s">
        <v>799</v>
      </c>
      <c r="F374" s="553">
        <v>28500</v>
      </c>
      <c r="G374" s="553">
        <v>0</v>
      </c>
      <c r="H374" s="794">
        <v>0</v>
      </c>
      <c r="I374" s="607"/>
      <c r="J374" s="538"/>
      <c r="K374" s="538"/>
      <c r="L374" s="609"/>
      <c r="M374" s="586"/>
    </row>
    <row r="375" spans="1:13" s="752" customFormat="1" ht="15">
      <c r="A375" s="1461">
        <v>368</v>
      </c>
      <c r="B375" s="535"/>
      <c r="C375" s="545"/>
      <c r="D375" s="539" t="s">
        <v>957</v>
      </c>
      <c r="E375" s="782"/>
      <c r="F375" s="553"/>
      <c r="G375" s="553"/>
      <c r="H375" s="794"/>
      <c r="I375" s="607">
        <v>28500</v>
      </c>
      <c r="J375" s="538"/>
      <c r="K375" s="538"/>
      <c r="L375" s="609">
        <f t="shared" si="1"/>
        <v>28500</v>
      </c>
      <c r="M375" s="586"/>
    </row>
    <row r="376" spans="1:13" s="753" customFormat="1" ht="15">
      <c r="A376" s="1461">
        <v>369</v>
      </c>
      <c r="B376" s="812"/>
      <c r="C376" s="1464"/>
      <c r="D376" s="541" t="s">
        <v>405</v>
      </c>
      <c r="E376" s="782"/>
      <c r="F376" s="567"/>
      <c r="G376" s="567"/>
      <c r="H376" s="745"/>
      <c r="I376" s="610"/>
      <c r="J376" s="555"/>
      <c r="K376" s="555"/>
      <c r="L376" s="611">
        <f t="shared" si="1"/>
        <v>0</v>
      </c>
      <c r="M376" s="594"/>
    </row>
    <row r="377" spans="1:13" s="754" customFormat="1" ht="15">
      <c r="A377" s="1461">
        <v>370</v>
      </c>
      <c r="B377" s="577"/>
      <c r="C377" s="1465"/>
      <c r="D377" s="542" t="s">
        <v>1067</v>
      </c>
      <c r="E377" s="779"/>
      <c r="F377" s="568"/>
      <c r="G377" s="568"/>
      <c r="H377" s="746"/>
      <c r="I377" s="615">
        <f>SUM(I375:I376)</f>
        <v>28500</v>
      </c>
      <c r="J377" s="568">
        <f>SUM(J375:J376)</f>
        <v>0</v>
      </c>
      <c r="K377" s="568">
        <f>SUM(K375:K376)</f>
        <v>0</v>
      </c>
      <c r="L377" s="608">
        <f t="shared" si="1"/>
        <v>28500</v>
      </c>
      <c r="M377" s="593">
        <f>SUM(M376:M376)</f>
        <v>0</v>
      </c>
    </row>
    <row r="378" spans="1:13" s="752" customFormat="1" ht="15">
      <c r="A378" s="1461">
        <v>371</v>
      </c>
      <c r="B378" s="535"/>
      <c r="C378" s="545">
        <v>83</v>
      </c>
      <c r="D378" s="557" t="s">
        <v>942</v>
      </c>
      <c r="E378" s="782" t="s">
        <v>799</v>
      </c>
      <c r="F378" s="553">
        <v>3200</v>
      </c>
      <c r="G378" s="553">
        <v>0</v>
      </c>
      <c r="H378" s="794">
        <v>0</v>
      </c>
      <c r="I378" s="607"/>
      <c r="J378" s="538"/>
      <c r="K378" s="538"/>
      <c r="L378" s="609"/>
      <c r="M378" s="586"/>
    </row>
    <row r="379" spans="1:13" s="752" customFormat="1" ht="15">
      <c r="A379" s="1461">
        <v>372</v>
      </c>
      <c r="B379" s="535"/>
      <c r="C379" s="545"/>
      <c r="D379" s="539" t="s">
        <v>957</v>
      </c>
      <c r="E379" s="782"/>
      <c r="F379" s="553"/>
      <c r="G379" s="553"/>
      <c r="H379" s="794"/>
      <c r="I379" s="607"/>
      <c r="J379" s="538">
        <v>3200</v>
      </c>
      <c r="K379" s="538"/>
      <c r="L379" s="609">
        <f>SUM(I379:K379)</f>
        <v>3200</v>
      </c>
      <c r="M379" s="586"/>
    </row>
    <row r="380" spans="1:13" s="753" customFormat="1" ht="15">
      <c r="A380" s="1461">
        <v>373</v>
      </c>
      <c r="B380" s="812"/>
      <c r="C380" s="1464"/>
      <c r="D380" s="541" t="s">
        <v>405</v>
      </c>
      <c r="E380" s="782"/>
      <c r="F380" s="567"/>
      <c r="G380" s="567"/>
      <c r="H380" s="745"/>
      <c r="I380" s="610"/>
      <c r="J380" s="555"/>
      <c r="K380" s="555"/>
      <c r="L380" s="611">
        <f>SUM(I380:K380)</f>
        <v>0</v>
      </c>
      <c r="M380" s="594"/>
    </row>
    <row r="381" spans="1:13" s="755" customFormat="1" ht="15">
      <c r="A381" s="1461">
        <v>374</v>
      </c>
      <c r="B381" s="577"/>
      <c r="C381" s="1465"/>
      <c r="D381" s="542" t="s">
        <v>1067</v>
      </c>
      <c r="E381" s="557"/>
      <c r="F381" s="578"/>
      <c r="G381" s="578"/>
      <c r="H381" s="684"/>
      <c r="I381" s="578">
        <f>SUM(I379:I380)</f>
        <v>0</v>
      </c>
      <c r="J381" s="578">
        <f>SUM(J379:J380)</f>
        <v>3200</v>
      </c>
      <c r="K381" s="578">
        <f>SUM(K379:K380)</f>
        <v>0</v>
      </c>
      <c r="L381" s="608">
        <f>SUM(L379:L380)</f>
        <v>3200</v>
      </c>
      <c r="M381" s="597">
        <v>0</v>
      </c>
    </row>
    <row r="382" spans="1:13" s="752" customFormat="1" ht="15">
      <c r="A382" s="1461">
        <v>375</v>
      </c>
      <c r="B382" s="535"/>
      <c r="C382" s="545">
        <v>84</v>
      </c>
      <c r="D382" s="557" t="s">
        <v>532</v>
      </c>
      <c r="E382" s="782" t="s">
        <v>799</v>
      </c>
      <c r="F382" s="553">
        <f>SUM(G382,I385)</f>
        <v>20006</v>
      </c>
      <c r="G382" s="553">
        <v>6</v>
      </c>
      <c r="H382" s="794">
        <v>0</v>
      </c>
      <c r="I382" s="607"/>
      <c r="J382" s="538"/>
      <c r="K382" s="538"/>
      <c r="L382" s="609"/>
      <c r="M382" s="586"/>
    </row>
    <row r="383" spans="1:13" s="752" customFormat="1" ht="15">
      <c r="A383" s="1461">
        <v>376</v>
      </c>
      <c r="B383" s="535"/>
      <c r="C383" s="545"/>
      <c r="D383" s="539" t="s">
        <v>957</v>
      </c>
      <c r="E383" s="782"/>
      <c r="F383" s="553"/>
      <c r="G383" s="553"/>
      <c r="H383" s="794"/>
      <c r="I383" s="607">
        <v>20000</v>
      </c>
      <c r="J383" s="538"/>
      <c r="K383" s="538"/>
      <c r="L383" s="609">
        <f t="shared" si="1"/>
        <v>20000</v>
      </c>
      <c r="M383" s="586"/>
    </row>
    <row r="384" spans="1:13" s="753" customFormat="1" ht="15">
      <c r="A384" s="1461">
        <v>377</v>
      </c>
      <c r="B384" s="812"/>
      <c r="C384" s="1464"/>
      <c r="D384" s="541" t="s">
        <v>405</v>
      </c>
      <c r="E384" s="806"/>
      <c r="F384" s="567"/>
      <c r="G384" s="567"/>
      <c r="H384" s="745"/>
      <c r="I384" s="610"/>
      <c r="J384" s="555"/>
      <c r="K384" s="555"/>
      <c r="L384" s="609">
        <f t="shared" si="1"/>
        <v>0</v>
      </c>
      <c r="M384" s="594"/>
    </row>
    <row r="385" spans="1:13" s="754" customFormat="1" ht="15">
      <c r="A385" s="1461">
        <v>378</v>
      </c>
      <c r="B385" s="577"/>
      <c r="C385" s="1465"/>
      <c r="D385" s="542" t="s">
        <v>1067</v>
      </c>
      <c r="E385" s="576"/>
      <c r="F385" s="568"/>
      <c r="G385" s="568"/>
      <c r="H385" s="746"/>
      <c r="I385" s="615">
        <f>SUM(I383:I384)</f>
        <v>20000</v>
      </c>
      <c r="J385" s="568">
        <f>SUM(J383:J384)</f>
        <v>0</v>
      </c>
      <c r="K385" s="568">
        <f>SUM(K383:K384)</f>
        <v>0</v>
      </c>
      <c r="L385" s="608">
        <f t="shared" si="1"/>
        <v>20000</v>
      </c>
      <c r="M385" s="593">
        <f>SUM(M384:M384)</f>
        <v>0</v>
      </c>
    </row>
    <row r="386" spans="1:13" s="752" customFormat="1" ht="15">
      <c r="A386" s="1461">
        <v>379</v>
      </c>
      <c r="B386" s="535"/>
      <c r="C386" s="545">
        <v>85</v>
      </c>
      <c r="D386" s="557" t="s">
        <v>536</v>
      </c>
      <c r="E386" s="782" t="s">
        <v>799</v>
      </c>
      <c r="F386" s="553">
        <f>SUM(G386,H386,I389)+M387</f>
        <v>402514</v>
      </c>
      <c r="G386" s="553">
        <v>2150</v>
      </c>
      <c r="H386" s="794">
        <v>364</v>
      </c>
      <c r="I386" s="607"/>
      <c r="J386" s="538"/>
      <c r="K386" s="538"/>
      <c r="L386" s="609"/>
      <c r="M386" s="586"/>
    </row>
    <row r="387" spans="1:13" s="752" customFormat="1" ht="15">
      <c r="A387" s="1461">
        <v>380</v>
      </c>
      <c r="B387" s="535"/>
      <c r="C387" s="545"/>
      <c r="D387" s="539" t="s">
        <v>957</v>
      </c>
      <c r="E387" s="782"/>
      <c r="F387" s="553"/>
      <c r="G387" s="553"/>
      <c r="H387" s="794"/>
      <c r="I387" s="607">
        <v>25000</v>
      </c>
      <c r="J387" s="538"/>
      <c r="K387" s="538"/>
      <c r="L387" s="609">
        <f t="shared" si="1"/>
        <v>25000</v>
      </c>
      <c r="M387" s="586">
        <v>375000</v>
      </c>
    </row>
    <row r="388" spans="1:13" s="753" customFormat="1" ht="15">
      <c r="A388" s="1461">
        <v>381</v>
      </c>
      <c r="B388" s="812"/>
      <c r="C388" s="1464"/>
      <c r="D388" s="541" t="s">
        <v>405</v>
      </c>
      <c r="E388" s="576"/>
      <c r="F388" s="567"/>
      <c r="G388" s="567"/>
      <c r="H388" s="745"/>
      <c r="I388" s="610"/>
      <c r="J388" s="555"/>
      <c r="K388" s="555"/>
      <c r="L388" s="611">
        <f t="shared" si="1"/>
        <v>0</v>
      </c>
      <c r="M388" s="594"/>
    </row>
    <row r="389" spans="1:13" s="754" customFormat="1" ht="15">
      <c r="A389" s="1461">
        <v>382</v>
      </c>
      <c r="B389" s="577"/>
      <c r="C389" s="1465"/>
      <c r="D389" s="542" t="s">
        <v>1067</v>
      </c>
      <c r="E389" s="779"/>
      <c r="F389" s="568"/>
      <c r="G389" s="568"/>
      <c r="H389" s="746"/>
      <c r="I389" s="615">
        <f>SUM(I387:I388)</f>
        <v>25000</v>
      </c>
      <c r="J389" s="568">
        <f>SUM(J387:J388)</f>
        <v>0</v>
      </c>
      <c r="K389" s="568">
        <f>SUM(K387:K388)</f>
        <v>0</v>
      </c>
      <c r="L389" s="608">
        <f t="shared" si="1"/>
        <v>25000</v>
      </c>
      <c r="M389" s="593">
        <v>375000</v>
      </c>
    </row>
    <row r="390" spans="1:13" s="752" customFormat="1" ht="15">
      <c r="A390" s="1461">
        <v>383</v>
      </c>
      <c r="B390" s="535"/>
      <c r="C390" s="545">
        <v>86</v>
      </c>
      <c r="D390" s="557" t="s">
        <v>884</v>
      </c>
      <c r="E390" s="782" t="s">
        <v>799</v>
      </c>
      <c r="F390" s="553">
        <v>13000</v>
      </c>
      <c r="G390" s="553">
        <v>0</v>
      </c>
      <c r="H390" s="794">
        <v>0</v>
      </c>
      <c r="I390" s="607"/>
      <c r="J390" s="538"/>
      <c r="K390" s="538"/>
      <c r="L390" s="609"/>
      <c r="M390" s="586"/>
    </row>
    <row r="391" spans="1:13" s="752" customFormat="1" ht="15">
      <c r="A391" s="1461">
        <v>384</v>
      </c>
      <c r="B391" s="535"/>
      <c r="C391" s="545"/>
      <c r="D391" s="539" t="s">
        <v>957</v>
      </c>
      <c r="E391" s="782"/>
      <c r="F391" s="553"/>
      <c r="G391" s="553"/>
      <c r="H391" s="794"/>
      <c r="I391" s="607">
        <v>13000</v>
      </c>
      <c r="J391" s="538"/>
      <c r="K391" s="538"/>
      <c r="L391" s="609">
        <f t="shared" si="1"/>
        <v>13000</v>
      </c>
      <c r="M391" s="586"/>
    </row>
    <row r="392" spans="1:13" s="753" customFormat="1" ht="15">
      <c r="A392" s="1461">
        <v>385</v>
      </c>
      <c r="B392" s="812"/>
      <c r="C392" s="1464"/>
      <c r="D392" s="541" t="s">
        <v>405</v>
      </c>
      <c r="E392" s="576"/>
      <c r="F392" s="567"/>
      <c r="G392" s="567"/>
      <c r="H392" s="745"/>
      <c r="I392" s="610"/>
      <c r="J392" s="555"/>
      <c r="K392" s="555"/>
      <c r="L392" s="611">
        <f t="shared" si="1"/>
        <v>0</v>
      </c>
      <c r="M392" s="594"/>
    </row>
    <row r="393" spans="1:13" s="754" customFormat="1" ht="15">
      <c r="A393" s="1461">
        <v>386</v>
      </c>
      <c r="B393" s="577"/>
      <c r="C393" s="1465"/>
      <c r="D393" s="542" t="s">
        <v>1067</v>
      </c>
      <c r="E393" s="779"/>
      <c r="F393" s="568"/>
      <c r="G393" s="568"/>
      <c r="H393" s="746"/>
      <c r="I393" s="615">
        <f>SUM(I391:I392)</f>
        <v>13000</v>
      </c>
      <c r="J393" s="568">
        <f>SUM(J391:J392)</f>
        <v>0</v>
      </c>
      <c r="K393" s="568">
        <f>SUM(K391:K392)</f>
        <v>0</v>
      </c>
      <c r="L393" s="608">
        <f t="shared" si="1"/>
        <v>13000</v>
      </c>
      <c r="M393" s="593">
        <f>SUM(M392:M392)</f>
        <v>0</v>
      </c>
    </row>
    <row r="394" spans="1:13" s="752" customFormat="1" ht="15">
      <c r="A394" s="1461">
        <v>387</v>
      </c>
      <c r="B394" s="535"/>
      <c r="C394" s="545">
        <v>87</v>
      </c>
      <c r="D394" s="557" t="s">
        <v>539</v>
      </c>
      <c r="E394" s="782" t="s">
        <v>799</v>
      </c>
      <c r="F394" s="553">
        <v>5000</v>
      </c>
      <c r="G394" s="553">
        <v>0</v>
      </c>
      <c r="H394" s="794">
        <v>0</v>
      </c>
      <c r="I394" s="607"/>
      <c r="J394" s="538"/>
      <c r="K394" s="538"/>
      <c r="L394" s="608"/>
      <c r="M394" s="586"/>
    </row>
    <row r="395" spans="1:13" s="752" customFormat="1" ht="15">
      <c r="A395" s="1461">
        <v>388</v>
      </c>
      <c r="B395" s="535"/>
      <c r="C395" s="545"/>
      <c r="D395" s="539" t="s">
        <v>957</v>
      </c>
      <c r="E395" s="782"/>
      <c r="F395" s="553"/>
      <c r="G395" s="553"/>
      <c r="H395" s="794"/>
      <c r="I395" s="607">
        <v>5000</v>
      </c>
      <c r="J395" s="538"/>
      <c r="K395" s="538"/>
      <c r="L395" s="609">
        <f t="shared" si="1"/>
        <v>5000</v>
      </c>
      <c r="M395" s="586"/>
    </row>
    <row r="396" spans="1:13" s="753" customFormat="1" ht="15">
      <c r="A396" s="1461">
        <v>389</v>
      </c>
      <c r="B396" s="812"/>
      <c r="C396" s="1464"/>
      <c r="D396" s="541" t="s">
        <v>405</v>
      </c>
      <c r="E396" s="806"/>
      <c r="F396" s="567"/>
      <c r="G396" s="567"/>
      <c r="H396" s="745"/>
      <c r="I396" s="610"/>
      <c r="J396" s="555"/>
      <c r="K396" s="555"/>
      <c r="L396" s="611">
        <f t="shared" si="1"/>
        <v>0</v>
      </c>
      <c r="M396" s="594"/>
    </row>
    <row r="397" spans="1:13" s="754" customFormat="1" ht="15">
      <c r="A397" s="1461">
        <v>390</v>
      </c>
      <c r="B397" s="577"/>
      <c r="C397" s="1465"/>
      <c r="D397" s="542" t="s">
        <v>1067</v>
      </c>
      <c r="E397" s="576"/>
      <c r="F397" s="568"/>
      <c r="G397" s="568"/>
      <c r="H397" s="746"/>
      <c r="I397" s="615">
        <f>SUM(I395:I396)</f>
        <v>5000</v>
      </c>
      <c r="J397" s="568">
        <f>SUM(J395:J396)</f>
        <v>0</v>
      </c>
      <c r="K397" s="568">
        <f>SUM(K395:K396)</f>
        <v>0</v>
      </c>
      <c r="L397" s="608">
        <f t="shared" si="1"/>
        <v>5000</v>
      </c>
      <c r="M397" s="593">
        <f>SUM(M396:M396)</f>
        <v>0</v>
      </c>
    </row>
    <row r="398" spans="1:13" s="752" customFormat="1" ht="15">
      <c r="A398" s="1461">
        <v>391</v>
      </c>
      <c r="B398" s="535"/>
      <c r="C398" s="545">
        <v>88</v>
      </c>
      <c r="D398" s="557" t="s">
        <v>941</v>
      </c>
      <c r="E398" s="782" t="s">
        <v>799</v>
      </c>
      <c r="F398" s="562">
        <f>SUM(H398,L401)</f>
        <v>1077</v>
      </c>
      <c r="G398" s="553">
        <v>0</v>
      </c>
      <c r="H398" s="794">
        <v>0</v>
      </c>
      <c r="I398" s="607"/>
      <c r="J398" s="538"/>
      <c r="K398" s="538"/>
      <c r="L398" s="609"/>
      <c r="M398" s="586"/>
    </row>
    <row r="399" spans="1:13" s="752" customFormat="1" ht="15">
      <c r="A399" s="1461">
        <v>392</v>
      </c>
      <c r="B399" s="535"/>
      <c r="C399" s="545"/>
      <c r="D399" s="539" t="s">
        <v>957</v>
      </c>
      <c r="E399" s="782"/>
      <c r="F399" s="553"/>
      <c r="G399" s="553"/>
      <c r="H399" s="794"/>
      <c r="I399" s="607">
        <v>1077</v>
      </c>
      <c r="J399" s="538"/>
      <c r="K399" s="538"/>
      <c r="L399" s="609">
        <f>SUM(I399:K399)</f>
        <v>1077</v>
      </c>
      <c r="M399" s="586"/>
    </row>
    <row r="400" spans="1:13" s="753" customFormat="1" ht="15">
      <c r="A400" s="1461">
        <v>393</v>
      </c>
      <c r="B400" s="812"/>
      <c r="C400" s="1464"/>
      <c r="D400" s="541" t="s">
        <v>405</v>
      </c>
      <c r="E400" s="576"/>
      <c r="F400" s="567"/>
      <c r="G400" s="567"/>
      <c r="H400" s="745"/>
      <c r="I400" s="610"/>
      <c r="J400" s="555"/>
      <c r="K400" s="555"/>
      <c r="L400" s="611">
        <f>SUM(I400:K400)</f>
        <v>0</v>
      </c>
      <c r="M400" s="594"/>
    </row>
    <row r="401" spans="1:13" s="754" customFormat="1" ht="15">
      <c r="A401" s="1461">
        <v>394</v>
      </c>
      <c r="B401" s="577"/>
      <c r="C401" s="1465"/>
      <c r="D401" s="542" t="s">
        <v>1067</v>
      </c>
      <c r="E401" s="576"/>
      <c r="F401" s="568"/>
      <c r="G401" s="568"/>
      <c r="H401" s="746"/>
      <c r="I401" s="615">
        <f>SUM(I399:I400)</f>
        <v>1077</v>
      </c>
      <c r="J401" s="568">
        <f>SUM(J399:J400)</f>
        <v>0</v>
      </c>
      <c r="K401" s="568">
        <f>SUM(K399:K400)</f>
        <v>0</v>
      </c>
      <c r="L401" s="608">
        <f>SUM(I401:K401)</f>
        <v>1077</v>
      </c>
      <c r="M401" s="593">
        <v>0</v>
      </c>
    </row>
    <row r="402" spans="1:13" s="752" customFormat="1" ht="15">
      <c r="A402" s="1461">
        <v>395</v>
      </c>
      <c r="B402" s="535"/>
      <c r="C402" s="545">
        <v>89</v>
      </c>
      <c r="D402" s="557" t="s">
        <v>928</v>
      </c>
      <c r="E402" s="782" t="s">
        <v>799</v>
      </c>
      <c r="F402" s="553">
        <v>500</v>
      </c>
      <c r="G402" s="553">
        <v>0</v>
      </c>
      <c r="H402" s="794">
        <v>0</v>
      </c>
      <c r="I402" s="607"/>
      <c r="J402" s="538"/>
      <c r="K402" s="538"/>
      <c r="L402" s="609"/>
      <c r="M402" s="586"/>
    </row>
    <row r="403" spans="1:13" s="752" customFormat="1" ht="15">
      <c r="A403" s="1461">
        <v>396</v>
      </c>
      <c r="B403" s="535"/>
      <c r="C403" s="545"/>
      <c r="D403" s="539" t="s">
        <v>957</v>
      </c>
      <c r="E403" s="782"/>
      <c r="F403" s="553"/>
      <c r="G403" s="553"/>
      <c r="H403" s="794"/>
      <c r="I403" s="607"/>
      <c r="J403" s="538">
        <v>500</v>
      </c>
      <c r="K403" s="538"/>
      <c r="L403" s="609">
        <f>SUM(I403:K403)</f>
        <v>500</v>
      </c>
      <c r="M403" s="586"/>
    </row>
    <row r="404" spans="1:13" s="753" customFormat="1" ht="15">
      <c r="A404" s="1461">
        <v>397</v>
      </c>
      <c r="B404" s="812"/>
      <c r="C404" s="1464"/>
      <c r="D404" s="541" t="s">
        <v>405</v>
      </c>
      <c r="E404" s="576"/>
      <c r="F404" s="567"/>
      <c r="G404" s="567"/>
      <c r="H404" s="745"/>
      <c r="I404" s="610"/>
      <c r="J404" s="555"/>
      <c r="K404" s="555"/>
      <c r="L404" s="611">
        <f>SUM(I404:K404)</f>
        <v>0</v>
      </c>
      <c r="M404" s="594"/>
    </row>
    <row r="405" spans="1:13" s="755" customFormat="1" ht="15">
      <c r="A405" s="1461">
        <v>398</v>
      </c>
      <c r="B405" s="577"/>
      <c r="C405" s="1465"/>
      <c r="D405" s="542" t="s">
        <v>1067</v>
      </c>
      <c r="E405" s="557"/>
      <c r="F405" s="578"/>
      <c r="G405" s="578"/>
      <c r="H405" s="684"/>
      <c r="I405" s="578">
        <f>SUM(I403:I404)</f>
        <v>0</v>
      </c>
      <c r="J405" s="578">
        <f>SUM(J403:J404)</f>
        <v>500</v>
      </c>
      <c r="K405" s="578">
        <f>SUM(K403:K404)</f>
        <v>0</v>
      </c>
      <c r="L405" s="608">
        <f>SUM(L403:L404)</f>
        <v>500</v>
      </c>
      <c r="M405" s="597">
        <v>0</v>
      </c>
    </row>
    <row r="406" spans="1:13" s="752" customFormat="1" ht="30">
      <c r="A406" s="1461">
        <v>399</v>
      </c>
      <c r="B406" s="566"/>
      <c r="C406" s="545">
        <v>90</v>
      </c>
      <c r="D406" s="557" t="s">
        <v>541</v>
      </c>
      <c r="E406" s="782" t="s">
        <v>799</v>
      </c>
      <c r="F406" s="557">
        <v>7000</v>
      </c>
      <c r="G406" s="557">
        <v>0</v>
      </c>
      <c r="H406" s="791">
        <v>0</v>
      </c>
      <c r="I406" s="607"/>
      <c r="J406" s="538"/>
      <c r="K406" s="538"/>
      <c r="L406" s="611"/>
      <c r="M406" s="586"/>
    </row>
    <row r="407" spans="1:13" s="752" customFormat="1" ht="15">
      <c r="A407" s="1461">
        <v>400</v>
      </c>
      <c r="B407" s="811"/>
      <c r="C407" s="545"/>
      <c r="D407" s="539" t="s">
        <v>957</v>
      </c>
      <c r="E407" s="782"/>
      <c r="F407" s="557"/>
      <c r="G407" s="557"/>
      <c r="H407" s="791"/>
      <c r="I407" s="607">
        <v>7000</v>
      </c>
      <c r="J407" s="538"/>
      <c r="K407" s="538"/>
      <c r="L407" s="609">
        <f t="shared" si="1"/>
        <v>7000</v>
      </c>
      <c r="M407" s="586"/>
    </row>
    <row r="408" spans="1:13" s="753" customFormat="1" ht="15">
      <c r="A408" s="1461">
        <v>401</v>
      </c>
      <c r="B408" s="812"/>
      <c r="C408" s="1464"/>
      <c r="D408" s="541" t="s">
        <v>405</v>
      </c>
      <c r="E408" s="576"/>
      <c r="F408" s="567"/>
      <c r="G408" s="567"/>
      <c r="H408" s="745"/>
      <c r="I408" s="610"/>
      <c r="J408" s="555"/>
      <c r="K408" s="555"/>
      <c r="L408" s="611">
        <f t="shared" si="1"/>
        <v>0</v>
      </c>
      <c r="M408" s="594"/>
    </row>
    <row r="409" spans="1:13" s="754" customFormat="1" ht="15">
      <c r="A409" s="1461">
        <v>402</v>
      </c>
      <c r="B409" s="577"/>
      <c r="C409" s="1465"/>
      <c r="D409" s="542" t="s">
        <v>1067</v>
      </c>
      <c r="E409" s="779"/>
      <c r="F409" s="568"/>
      <c r="G409" s="568"/>
      <c r="H409" s="746"/>
      <c r="I409" s="615">
        <f>SUM(I407:I408)</f>
        <v>7000</v>
      </c>
      <c r="J409" s="568">
        <f>SUM(J407:J408)</f>
        <v>0</v>
      </c>
      <c r="K409" s="568">
        <f>SUM(K407:K408)</f>
        <v>0</v>
      </c>
      <c r="L409" s="608">
        <f t="shared" si="1"/>
        <v>7000</v>
      </c>
      <c r="M409" s="593">
        <f>SUM(M408:M408)</f>
        <v>0</v>
      </c>
    </row>
    <row r="410" spans="1:13" s="752" customFormat="1" ht="15">
      <c r="A410" s="1461">
        <v>403</v>
      </c>
      <c r="B410" s="535"/>
      <c r="C410" s="545">
        <v>91</v>
      </c>
      <c r="D410" s="557" t="s">
        <v>545</v>
      </c>
      <c r="E410" s="782" t="s">
        <v>799</v>
      </c>
      <c r="F410" s="553">
        <v>15000</v>
      </c>
      <c r="G410" s="553">
        <v>0</v>
      </c>
      <c r="H410" s="794">
        <v>0</v>
      </c>
      <c r="I410" s="607"/>
      <c r="J410" s="538"/>
      <c r="K410" s="538"/>
      <c r="L410" s="608"/>
      <c r="M410" s="586"/>
    </row>
    <row r="411" spans="1:13" s="752" customFormat="1" ht="15">
      <c r="A411" s="1461">
        <v>404</v>
      </c>
      <c r="B411" s="535"/>
      <c r="C411" s="545"/>
      <c r="D411" s="539" t="s">
        <v>957</v>
      </c>
      <c r="E411" s="782"/>
      <c r="F411" s="553"/>
      <c r="G411" s="553"/>
      <c r="H411" s="794"/>
      <c r="I411" s="607">
        <v>15000</v>
      </c>
      <c r="J411" s="538"/>
      <c r="K411" s="538"/>
      <c r="L411" s="609">
        <f t="shared" si="1"/>
        <v>15000</v>
      </c>
      <c r="M411" s="586"/>
    </row>
    <row r="412" spans="1:13" s="753" customFormat="1" ht="15">
      <c r="A412" s="1461">
        <v>405</v>
      </c>
      <c r="B412" s="812"/>
      <c r="C412" s="1464"/>
      <c r="D412" s="541" t="s">
        <v>405</v>
      </c>
      <c r="E412" s="806"/>
      <c r="F412" s="567"/>
      <c r="G412" s="567"/>
      <c r="H412" s="745"/>
      <c r="I412" s="610"/>
      <c r="J412" s="555"/>
      <c r="K412" s="555"/>
      <c r="L412" s="611">
        <f t="shared" si="1"/>
        <v>0</v>
      </c>
      <c r="M412" s="594"/>
    </row>
    <row r="413" spans="1:13" s="754" customFormat="1" ht="15">
      <c r="A413" s="1461">
        <v>406</v>
      </c>
      <c r="B413" s="577"/>
      <c r="C413" s="1465"/>
      <c r="D413" s="542" t="s">
        <v>1067</v>
      </c>
      <c r="E413" s="576"/>
      <c r="F413" s="568"/>
      <c r="G413" s="568"/>
      <c r="H413" s="746"/>
      <c r="I413" s="615">
        <f>SUM(I411:I412)</f>
        <v>15000</v>
      </c>
      <c r="J413" s="568">
        <f>SUM(J411:J412)</f>
        <v>0</v>
      </c>
      <c r="K413" s="568">
        <f>SUM(K411:K412)</f>
        <v>0</v>
      </c>
      <c r="L413" s="608">
        <f t="shared" si="1"/>
        <v>15000</v>
      </c>
      <c r="M413" s="593">
        <f>SUM(M412:M412)</f>
        <v>0</v>
      </c>
    </row>
    <row r="414" spans="1:13" s="752" customFormat="1" ht="15">
      <c r="A414" s="1461">
        <v>407</v>
      </c>
      <c r="B414" s="535"/>
      <c r="C414" s="545">
        <v>92</v>
      </c>
      <c r="D414" s="557" t="s">
        <v>229</v>
      </c>
      <c r="E414" s="782"/>
      <c r="F414" s="553"/>
      <c r="G414" s="553"/>
      <c r="H414" s="794"/>
      <c r="I414" s="607"/>
      <c r="J414" s="538"/>
      <c r="K414" s="538"/>
      <c r="L414" s="608"/>
      <c r="M414" s="586"/>
    </row>
    <row r="415" spans="1:13" s="752" customFormat="1" ht="15">
      <c r="A415" s="1461">
        <v>408</v>
      </c>
      <c r="B415" s="535"/>
      <c r="C415" s="545"/>
      <c r="D415" s="539" t="s">
        <v>957</v>
      </c>
      <c r="E415" s="805" t="s">
        <v>799</v>
      </c>
      <c r="F415" s="562">
        <v>51</v>
      </c>
      <c r="G415" s="562">
        <v>0</v>
      </c>
      <c r="H415" s="794">
        <v>0</v>
      </c>
      <c r="I415" s="607">
        <v>51</v>
      </c>
      <c r="J415" s="538"/>
      <c r="K415" s="538"/>
      <c r="L415" s="609">
        <f t="shared" si="1"/>
        <v>51</v>
      </c>
      <c r="M415" s="586"/>
    </row>
    <row r="416" spans="1:13" s="753" customFormat="1" ht="15">
      <c r="A416" s="1461">
        <v>409</v>
      </c>
      <c r="B416" s="812"/>
      <c r="C416" s="1464"/>
      <c r="D416" s="541" t="s">
        <v>405</v>
      </c>
      <c r="E416" s="806"/>
      <c r="F416" s="567"/>
      <c r="G416" s="567"/>
      <c r="H416" s="745"/>
      <c r="I416" s="610"/>
      <c r="J416" s="555"/>
      <c r="K416" s="555"/>
      <c r="L416" s="611">
        <f t="shared" si="1"/>
        <v>0</v>
      </c>
      <c r="M416" s="594"/>
    </row>
    <row r="417" spans="1:13" s="754" customFormat="1" ht="15">
      <c r="A417" s="1461">
        <v>410</v>
      </c>
      <c r="B417" s="577"/>
      <c r="C417" s="1465"/>
      <c r="D417" s="542" t="s">
        <v>1067</v>
      </c>
      <c r="E417" s="576"/>
      <c r="F417" s="568"/>
      <c r="G417" s="568"/>
      <c r="H417" s="746"/>
      <c r="I417" s="615">
        <f>SUM(I415:I416)</f>
        <v>51</v>
      </c>
      <c r="J417" s="568">
        <f>SUM(J415:J416)</f>
        <v>0</v>
      </c>
      <c r="K417" s="568">
        <f>SUM(K415:K416)</f>
        <v>0</v>
      </c>
      <c r="L417" s="608">
        <f t="shared" si="1"/>
        <v>51</v>
      </c>
      <c r="M417" s="593">
        <v>0</v>
      </c>
    </row>
    <row r="418" spans="1:13" ht="15">
      <c r="A418" s="1461">
        <v>411</v>
      </c>
      <c r="B418" s="811"/>
      <c r="C418" s="545"/>
      <c r="D418" s="536" t="s">
        <v>311</v>
      </c>
      <c r="E418" s="782"/>
      <c r="F418" s="546"/>
      <c r="G418" s="547"/>
      <c r="H418" s="807"/>
      <c r="I418" s="623"/>
      <c r="J418" s="548"/>
      <c r="K418" s="548"/>
      <c r="L418" s="609"/>
      <c r="M418" s="603"/>
    </row>
    <row r="419" spans="1:13" s="752" customFormat="1" ht="15">
      <c r="A419" s="1461">
        <v>412</v>
      </c>
      <c r="B419" s="811"/>
      <c r="C419" s="545">
        <v>93</v>
      </c>
      <c r="D419" s="557" t="s">
        <v>344</v>
      </c>
      <c r="E419" s="782" t="s">
        <v>799</v>
      </c>
      <c r="F419" s="557">
        <v>500</v>
      </c>
      <c r="G419" s="557">
        <v>0</v>
      </c>
      <c r="H419" s="791">
        <v>0</v>
      </c>
      <c r="I419" s="607"/>
      <c r="J419" s="538"/>
      <c r="K419" s="538"/>
      <c r="L419" s="609"/>
      <c r="M419" s="586"/>
    </row>
    <row r="420" spans="1:13" s="752" customFormat="1" ht="15">
      <c r="A420" s="1461">
        <v>413</v>
      </c>
      <c r="B420" s="811"/>
      <c r="C420" s="545"/>
      <c r="D420" s="539" t="s">
        <v>957</v>
      </c>
      <c r="E420" s="782"/>
      <c r="F420" s="557"/>
      <c r="G420" s="557"/>
      <c r="H420" s="791"/>
      <c r="I420" s="607"/>
      <c r="J420" s="538">
        <v>500</v>
      </c>
      <c r="K420" s="538"/>
      <c r="L420" s="609">
        <f t="shared" si="1"/>
        <v>500</v>
      </c>
      <c r="M420" s="586"/>
    </row>
    <row r="421" spans="1:13" s="753" customFormat="1" ht="15">
      <c r="A421" s="1461">
        <v>414</v>
      </c>
      <c r="B421" s="812"/>
      <c r="C421" s="1464"/>
      <c r="D421" s="541" t="s">
        <v>405</v>
      </c>
      <c r="E421" s="806"/>
      <c r="F421" s="567"/>
      <c r="G421" s="567"/>
      <c r="H421" s="745"/>
      <c r="I421" s="610"/>
      <c r="J421" s="555"/>
      <c r="K421" s="555"/>
      <c r="L421" s="611">
        <f t="shared" si="1"/>
        <v>0</v>
      </c>
      <c r="M421" s="594"/>
    </row>
    <row r="422" spans="1:13" s="754" customFormat="1" ht="15">
      <c r="A422" s="1461">
        <v>415</v>
      </c>
      <c r="B422" s="577"/>
      <c r="C422" s="1465"/>
      <c r="D422" s="542" t="s">
        <v>1067</v>
      </c>
      <c r="E422" s="576"/>
      <c r="F422" s="568"/>
      <c r="G422" s="568"/>
      <c r="H422" s="746"/>
      <c r="I422" s="615">
        <f>SUM(I420:I421)</f>
        <v>0</v>
      </c>
      <c r="J422" s="568">
        <f>SUM(J420:J421)</f>
        <v>500</v>
      </c>
      <c r="K422" s="568">
        <f>SUM(K420:K421)</f>
        <v>0</v>
      </c>
      <c r="L422" s="608">
        <f t="shared" si="1"/>
        <v>500</v>
      </c>
      <c r="M422" s="593">
        <f>SUM(M421:M421)</f>
        <v>0</v>
      </c>
    </row>
    <row r="423" spans="1:13" ht="15">
      <c r="A423" s="1461">
        <v>416</v>
      </c>
      <c r="B423" s="811"/>
      <c r="C423" s="545"/>
      <c r="D423" s="536" t="s">
        <v>550</v>
      </c>
      <c r="E423" s="782"/>
      <c r="F423" s="537"/>
      <c r="G423" s="537"/>
      <c r="H423" s="808"/>
      <c r="I423" s="622"/>
      <c r="J423" s="540"/>
      <c r="K423" s="540"/>
      <c r="L423" s="609"/>
      <c r="M423" s="600"/>
    </row>
    <row r="424" spans="1:13" s="752" customFormat="1" ht="15">
      <c r="A424" s="1461">
        <v>417</v>
      </c>
      <c r="B424" s="811"/>
      <c r="C424" s="545">
        <v>94</v>
      </c>
      <c r="D424" s="557" t="s">
        <v>345</v>
      </c>
      <c r="E424" s="779" t="s">
        <v>799</v>
      </c>
      <c r="F424" s="562">
        <f>SUM(H424,L427)</f>
        <v>2725</v>
      </c>
      <c r="G424" s="557">
        <v>0</v>
      </c>
      <c r="H424" s="791">
        <v>0</v>
      </c>
      <c r="I424" s="607"/>
      <c r="J424" s="538"/>
      <c r="K424" s="538"/>
      <c r="L424" s="609"/>
      <c r="M424" s="586"/>
    </row>
    <row r="425" spans="1:13" s="752" customFormat="1" ht="15">
      <c r="A425" s="1461">
        <v>418</v>
      </c>
      <c r="B425" s="811"/>
      <c r="C425" s="545"/>
      <c r="D425" s="539" t="s">
        <v>957</v>
      </c>
      <c r="E425" s="779"/>
      <c r="F425" s="557"/>
      <c r="G425" s="557"/>
      <c r="H425" s="791"/>
      <c r="I425" s="607">
        <v>2725</v>
      </c>
      <c r="J425" s="538"/>
      <c r="K425" s="538"/>
      <c r="L425" s="609">
        <f t="shared" si="1"/>
        <v>2725</v>
      </c>
      <c r="M425" s="586"/>
    </row>
    <row r="426" spans="1:13" s="753" customFormat="1" ht="15">
      <c r="A426" s="1461">
        <v>419</v>
      </c>
      <c r="B426" s="812"/>
      <c r="C426" s="1464"/>
      <c r="D426" s="541" t="s">
        <v>405</v>
      </c>
      <c r="E426" s="782"/>
      <c r="F426" s="567"/>
      <c r="G426" s="567"/>
      <c r="H426" s="745"/>
      <c r="I426" s="610"/>
      <c r="J426" s="555"/>
      <c r="K426" s="555"/>
      <c r="L426" s="611">
        <f t="shared" si="1"/>
        <v>0</v>
      </c>
      <c r="M426" s="594"/>
    </row>
    <row r="427" spans="1:13" s="754" customFormat="1" ht="15">
      <c r="A427" s="1461">
        <v>420</v>
      </c>
      <c r="B427" s="577"/>
      <c r="C427" s="1465"/>
      <c r="D427" s="542" t="s">
        <v>1067</v>
      </c>
      <c r="E427" s="576"/>
      <c r="F427" s="568"/>
      <c r="G427" s="568"/>
      <c r="H427" s="746"/>
      <c r="I427" s="615">
        <f>SUM(I425:I426)</f>
        <v>2725</v>
      </c>
      <c r="J427" s="568">
        <f>SUM(J425:J426)</f>
        <v>0</v>
      </c>
      <c r="K427" s="568">
        <f>SUM(K425:K426)</f>
        <v>0</v>
      </c>
      <c r="L427" s="608">
        <f t="shared" si="1"/>
        <v>2725</v>
      </c>
      <c r="M427" s="593">
        <f>SUM(M426:M426)</f>
        <v>0</v>
      </c>
    </row>
    <row r="428" spans="1:13" s="752" customFormat="1" ht="15">
      <c r="A428" s="1461">
        <v>421</v>
      </c>
      <c r="B428" s="535"/>
      <c r="C428" s="545">
        <v>95</v>
      </c>
      <c r="D428" s="744" t="s">
        <v>70</v>
      </c>
      <c r="E428" s="782" t="s">
        <v>799</v>
      </c>
      <c r="F428" s="557">
        <v>2846</v>
      </c>
      <c r="G428" s="557">
        <v>0</v>
      </c>
      <c r="H428" s="791">
        <v>0</v>
      </c>
      <c r="I428" s="607"/>
      <c r="J428" s="538"/>
      <c r="K428" s="538"/>
      <c r="L428" s="609"/>
      <c r="M428" s="586"/>
    </row>
    <row r="429" spans="1:13" s="752" customFormat="1" ht="15">
      <c r="A429" s="1461">
        <v>422</v>
      </c>
      <c r="B429" s="535"/>
      <c r="C429" s="545"/>
      <c r="D429" s="539" t="s">
        <v>957</v>
      </c>
      <c r="E429" s="782"/>
      <c r="F429" s="557"/>
      <c r="G429" s="557"/>
      <c r="H429" s="791"/>
      <c r="I429" s="607">
        <v>2846</v>
      </c>
      <c r="J429" s="538"/>
      <c r="K429" s="538"/>
      <c r="L429" s="609">
        <f>SUM(I429:K429)</f>
        <v>2846</v>
      </c>
      <c r="M429" s="586"/>
    </row>
    <row r="430" spans="1:13" s="753" customFormat="1" ht="15">
      <c r="A430" s="1461">
        <v>423</v>
      </c>
      <c r="B430" s="812"/>
      <c r="C430" s="1464"/>
      <c r="D430" s="541" t="s">
        <v>1080</v>
      </c>
      <c r="E430" s="806"/>
      <c r="F430" s="567"/>
      <c r="G430" s="567"/>
      <c r="H430" s="745"/>
      <c r="I430" s="610">
        <v>-2700</v>
      </c>
      <c r="J430" s="555"/>
      <c r="K430" s="555"/>
      <c r="L430" s="611">
        <f>SUM(I430:K430)</f>
        <v>-2700</v>
      </c>
      <c r="M430" s="594"/>
    </row>
    <row r="431" spans="1:13" s="754" customFormat="1" ht="15">
      <c r="A431" s="1461">
        <v>424</v>
      </c>
      <c r="B431" s="577"/>
      <c r="C431" s="1465"/>
      <c r="D431" s="542" t="s">
        <v>1067</v>
      </c>
      <c r="E431" s="576"/>
      <c r="F431" s="568"/>
      <c r="G431" s="568"/>
      <c r="H431" s="746"/>
      <c r="I431" s="615">
        <f>SUM(I429:I430)</f>
        <v>146</v>
      </c>
      <c r="J431" s="568">
        <f>SUM(J429:J430)</f>
        <v>0</v>
      </c>
      <c r="K431" s="568">
        <f>SUM(K429:K430)</f>
        <v>0</v>
      </c>
      <c r="L431" s="608">
        <f>SUM(I431:K431)</f>
        <v>146</v>
      </c>
      <c r="M431" s="593">
        <f>SUM(M430:M430)</f>
        <v>0</v>
      </c>
    </row>
    <row r="432" spans="1:13" s="752" customFormat="1" ht="15">
      <c r="A432" s="1461">
        <v>425</v>
      </c>
      <c r="B432" s="535"/>
      <c r="C432" s="545">
        <v>96</v>
      </c>
      <c r="D432" s="744" t="s">
        <v>929</v>
      </c>
      <c r="E432" s="782" t="s">
        <v>799</v>
      </c>
      <c r="F432" s="557">
        <v>500</v>
      </c>
      <c r="G432" s="557">
        <v>0</v>
      </c>
      <c r="H432" s="791">
        <v>0</v>
      </c>
      <c r="I432" s="607"/>
      <c r="J432" s="538"/>
      <c r="K432" s="538"/>
      <c r="L432" s="609"/>
      <c r="M432" s="586"/>
    </row>
    <row r="433" spans="1:13" s="752" customFormat="1" ht="15">
      <c r="A433" s="1461">
        <v>426</v>
      </c>
      <c r="B433" s="535"/>
      <c r="C433" s="545"/>
      <c r="D433" s="539" t="s">
        <v>957</v>
      </c>
      <c r="E433" s="782"/>
      <c r="F433" s="557"/>
      <c r="G433" s="557"/>
      <c r="H433" s="791"/>
      <c r="I433" s="607"/>
      <c r="J433" s="538">
        <v>500</v>
      </c>
      <c r="K433" s="538"/>
      <c r="L433" s="609">
        <f>SUM(I433:K433)</f>
        <v>500</v>
      </c>
      <c r="M433" s="586"/>
    </row>
    <row r="434" spans="1:13" s="753" customFormat="1" ht="15">
      <c r="A434" s="1461">
        <v>427</v>
      </c>
      <c r="B434" s="812"/>
      <c r="C434" s="1464"/>
      <c r="D434" s="541" t="s">
        <v>234</v>
      </c>
      <c r="E434" s="806"/>
      <c r="F434" s="567"/>
      <c r="G434" s="567"/>
      <c r="H434" s="745"/>
      <c r="I434" s="610"/>
      <c r="J434" s="555"/>
      <c r="K434" s="555"/>
      <c r="L434" s="611">
        <f>SUM(I434:K434)</f>
        <v>0</v>
      </c>
      <c r="M434" s="594"/>
    </row>
    <row r="435" spans="1:13" s="754" customFormat="1" ht="15">
      <c r="A435" s="1461">
        <v>428</v>
      </c>
      <c r="B435" s="577"/>
      <c r="C435" s="1465"/>
      <c r="D435" s="542" t="s">
        <v>1067</v>
      </c>
      <c r="E435" s="576"/>
      <c r="F435" s="568"/>
      <c r="G435" s="568"/>
      <c r="H435" s="746"/>
      <c r="I435" s="568">
        <f>SUM(I433:I434)</f>
        <v>0</v>
      </c>
      <c r="J435" s="568">
        <f>SUM(J433:J434)</f>
        <v>500</v>
      </c>
      <c r="K435" s="568">
        <f>SUM(K433:K434)</f>
        <v>0</v>
      </c>
      <c r="L435" s="608">
        <f>SUM(I435:K435)</f>
        <v>500</v>
      </c>
      <c r="M435" s="593">
        <v>0</v>
      </c>
    </row>
    <row r="436" spans="1:13" s="752" customFormat="1" ht="15">
      <c r="A436" s="1461">
        <v>429</v>
      </c>
      <c r="B436" s="535"/>
      <c r="C436" s="545">
        <v>97</v>
      </c>
      <c r="D436" s="744" t="s">
        <v>930</v>
      </c>
      <c r="E436" s="782" t="s">
        <v>799</v>
      </c>
      <c r="F436" s="557">
        <v>600</v>
      </c>
      <c r="G436" s="557">
        <v>0</v>
      </c>
      <c r="H436" s="791">
        <v>0</v>
      </c>
      <c r="I436" s="607"/>
      <c r="J436" s="538"/>
      <c r="K436" s="538"/>
      <c r="L436" s="609"/>
      <c r="M436" s="586"/>
    </row>
    <row r="437" spans="1:13" s="752" customFormat="1" ht="15">
      <c r="A437" s="1461">
        <v>430</v>
      </c>
      <c r="B437" s="535"/>
      <c r="C437" s="545"/>
      <c r="D437" s="539" t="s">
        <v>957</v>
      </c>
      <c r="E437" s="782"/>
      <c r="F437" s="557"/>
      <c r="G437" s="557"/>
      <c r="H437" s="791"/>
      <c r="I437" s="607"/>
      <c r="J437" s="538">
        <v>600</v>
      </c>
      <c r="K437" s="538"/>
      <c r="L437" s="609">
        <f>SUM(I437:K437)</f>
        <v>600</v>
      </c>
      <c r="M437" s="586"/>
    </row>
    <row r="438" spans="1:13" s="753" customFormat="1" ht="15">
      <c r="A438" s="1461">
        <v>431</v>
      </c>
      <c r="B438" s="812"/>
      <c r="C438" s="1464"/>
      <c r="D438" s="541" t="s">
        <v>234</v>
      </c>
      <c r="E438" s="806"/>
      <c r="F438" s="567"/>
      <c r="G438" s="567"/>
      <c r="H438" s="745"/>
      <c r="I438" s="610"/>
      <c r="J438" s="555"/>
      <c r="K438" s="555"/>
      <c r="L438" s="611">
        <f>SUM(I438:K438)</f>
        <v>0</v>
      </c>
      <c r="M438" s="594"/>
    </row>
    <row r="439" spans="1:13" s="754" customFormat="1" ht="15">
      <c r="A439" s="1461">
        <v>432</v>
      </c>
      <c r="B439" s="577"/>
      <c r="C439" s="1465"/>
      <c r="D439" s="542" t="s">
        <v>404</v>
      </c>
      <c r="E439" s="576"/>
      <c r="F439" s="568"/>
      <c r="G439" s="568"/>
      <c r="H439" s="746"/>
      <c r="I439" s="568">
        <f>SUM(I437:I438)</f>
        <v>0</v>
      </c>
      <c r="J439" s="568">
        <f>SUM(J437:J438)</f>
        <v>600</v>
      </c>
      <c r="K439" s="568">
        <f>SUM(K437:K438)</f>
        <v>0</v>
      </c>
      <c r="L439" s="608">
        <f>SUM(I439:K439)</f>
        <v>600</v>
      </c>
      <c r="M439" s="593">
        <v>0</v>
      </c>
    </row>
    <row r="440" spans="1:13" s="752" customFormat="1" ht="15">
      <c r="A440" s="1461">
        <v>433</v>
      </c>
      <c r="B440" s="535"/>
      <c r="C440" s="545">
        <v>98</v>
      </c>
      <c r="D440" s="744" t="s">
        <v>931</v>
      </c>
      <c r="E440" s="782" t="s">
        <v>799</v>
      </c>
      <c r="F440" s="557">
        <v>500</v>
      </c>
      <c r="G440" s="557">
        <v>0</v>
      </c>
      <c r="H440" s="791">
        <v>0</v>
      </c>
      <c r="I440" s="607"/>
      <c r="J440" s="538"/>
      <c r="K440" s="538"/>
      <c r="L440" s="609"/>
      <c r="M440" s="586"/>
    </row>
    <row r="441" spans="1:13" s="752" customFormat="1" ht="15">
      <c r="A441" s="1461">
        <v>434</v>
      </c>
      <c r="B441" s="535"/>
      <c r="C441" s="545"/>
      <c r="D441" s="539" t="s">
        <v>957</v>
      </c>
      <c r="E441" s="782"/>
      <c r="F441" s="557"/>
      <c r="G441" s="557"/>
      <c r="H441" s="791"/>
      <c r="I441" s="607"/>
      <c r="J441" s="538">
        <v>500</v>
      </c>
      <c r="K441" s="538"/>
      <c r="L441" s="609">
        <f>SUM(I441:K441)</f>
        <v>500</v>
      </c>
      <c r="M441" s="586"/>
    </row>
    <row r="442" spans="1:13" s="753" customFormat="1" ht="15">
      <c r="A442" s="1461">
        <v>435</v>
      </c>
      <c r="B442" s="812"/>
      <c r="C442" s="1464"/>
      <c r="D442" s="541" t="s">
        <v>234</v>
      </c>
      <c r="E442" s="806"/>
      <c r="F442" s="567"/>
      <c r="G442" s="567"/>
      <c r="H442" s="745"/>
      <c r="I442" s="610"/>
      <c r="J442" s="555"/>
      <c r="K442" s="555"/>
      <c r="L442" s="611">
        <f>SUM(I442:K442)</f>
        <v>0</v>
      </c>
      <c r="M442" s="594"/>
    </row>
    <row r="443" spans="1:13" s="754" customFormat="1" ht="15">
      <c r="A443" s="1461">
        <v>436</v>
      </c>
      <c r="B443" s="577"/>
      <c r="C443" s="1465"/>
      <c r="D443" s="542" t="s">
        <v>1067</v>
      </c>
      <c r="E443" s="576"/>
      <c r="F443" s="568"/>
      <c r="G443" s="568"/>
      <c r="H443" s="746"/>
      <c r="I443" s="568">
        <f>SUM(I441:I442)</f>
        <v>0</v>
      </c>
      <c r="J443" s="568">
        <f>SUM(J441:J442)</f>
        <v>500</v>
      </c>
      <c r="K443" s="568">
        <f>SUM(K441:K442)</f>
        <v>0</v>
      </c>
      <c r="L443" s="608">
        <f>SUM(I443:K443)</f>
        <v>500</v>
      </c>
      <c r="M443" s="593">
        <v>0</v>
      </c>
    </row>
    <row r="444" spans="1:13" s="752" customFormat="1" ht="15">
      <c r="A444" s="1461">
        <v>437</v>
      </c>
      <c r="B444" s="535"/>
      <c r="C444" s="545">
        <v>99</v>
      </c>
      <c r="D444" s="744" t="s">
        <v>940</v>
      </c>
      <c r="E444" s="782" t="s">
        <v>799</v>
      </c>
      <c r="F444" s="557">
        <v>300</v>
      </c>
      <c r="G444" s="557">
        <v>0</v>
      </c>
      <c r="H444" s="791">
        <v>0</v>
      </c>
      <c r="I444" s="607"/>
      <c r="J444" s="538"/>
      <c r="K444" s="538"/>
      <c r="L444" s="609"/>
      <c r="M444" s="586"/>
    </row>
    <row r="445" spans="1:13" s="752" customFormat="1" ht="15">
      <c r="A445" s="1461">
        <v>438</v>
      </c>
      <c r="B445" s="535"/>
      <c r="C445" s="545"/>
      <c r="D445" s="539" t="s">
        <v>957</v>
      </c>
      <c r="E445" s="782"/>
      <c r="F445" s="557"/>
      <c r="G445" s="557"/>
      <c r="H445" s="791"/>
      <c r="I445" s="607"/>
      <c r="J445" s="538">
        <v>300</v>
      </c>
      <c r="K445" s="538"/>
      <c r="L445" s="609">
        <f>SUM(I445:K445)</f>
        <v>300</v>
      </c>
      <c r="M445" s="586"/>
    </row>
    <row r="446" spans="1:13" s="753" customFormat="1" ht="15">
      <c r="A446" s="1461">
        <v>439</v>
      </c>
      <c r="B446" s="812"/>
      <c r="C446" s="1464"/>
      <c r="D446" s="541" t="s">
        <v>234</v>
      </c>
      <c r="E446" s="806"/>
      <c r="F446" s="567"/>
      <c r="G446" s="567"/>
      <c r="H446" s="745"/>
      <c r="I446" s="610"/>
      <c r="J446" s="555"/>
      <c r="K446" s="555"/>
      <c r="L446" s="611">
        <f>SUM(I446:K446)</f>
        <v>0</v>
      </c>
      <c r="M446" s="594"/>
    </row>
    <row r="447" spans="1:13" s="754" customFormat="1" ht="15">
      <c r="A447" s="1461">
        <v>440</v>
      </c>
      <c r="B447" s="577"/>
      <c r="C447" s="1465"/>
      <c r="D447" s="542" t="s">
        <v>1067</v>
      </c>
      <c r="E447" s="576"/>
      <c r="F447" s="568"/>
      <c r="G447" s="568"/>
      <c r="H447" s="746"/>
      <c r="I447" s="568">
        <f>SUM(I445:I446)</f>
        <v>0</v>
      </c>
      <c r="J447" s="568">
        <f>SUM(J445:J446)</f>
        <v>300</v>
      </c>
      <c r="K447" s="568">
        <f>SUM(K445:K446)</f>
        <v>0</v>
      </c>
      <c r="L447" s="608">
        <f>SUM(I447:K447)</f>
        <v>300</v>
      </c>
      <c r="M447" s="593">
        <v>0</v>
      </c>
    </row>
    <row r="448" spans="1:13" s="752" customFormat="1" ht="30">
      <c r="A448" s="1461">
        <v>441</v>
      </c>
      <c r="B448" s="811"/>
      <c r="C448" s="545">
        <v>100</v>
      </c>
      <c r="D448" s="744" t="s">
        <v>71</v>
      </c>
      <c r="E448" s="779" t="s">
        <v>799</v>
      </c>
      <c r="F448" s="557">
        <v>15000</v>
      </c>
      <c r="G448" s="557">
        <v>0</v>
      </c>
      <c r="H448" s="791">
        <v>0</v>
      </c>
      <c r="I448" s="607"/>
      <c r="J448" s="538"/>
      <c r="K448" s="538"/>
      <c r="L448" s="609"/>
      <c r="M448" s="586"/>
    </row>
    <row r="449" spans="1:13" s="752" customFormat="1" ht="15">
      <c r="A449" s="1461">
        <v>442</v>
      </c>
      <c r="B449" s="811"/>
      <c r="C449" s="545"/>
      <c r="D449" s="539" t="s">
        <v>957</v>
      </c>
      <c r="E449" s="779"/>
      <c r="F449" s="557"/>
      <c r="G449" s="557"/>
      <c r="H449" s="791"/>
      <c r="I449" s="607">
        <v>15000</v>
      </c>
      <c r="J449" s="538"/>
      <c r="K449" s="538"/>
      <c r="L449" s="609">
        <f>SUM(I449:K449)</f>
        <v>15000</v>
      </c>
      <c r="M449" s="586"/>
    </row>
    <row r="450" spans="1:13" s="753" customFormat="1" ht="15">
      <c r="A450" s="1461">
        <v>443</v>
      </c>
      <c r="B450" s="812"/>
      <c r="C450" s="1464"/>
      <c r="D450" s="541" t="s">
        <v>405</v>
      </c>
      <c r="E450" s="782"/>
      <c r="F450" s="567"/>
      <c r="G450" s="567"/>
      <c r="H450" s="745"/>
      <c r="I450" s="610"/>
      <c r="J450" s="555"/>
      <c r="K450" s="555"/>
      <c r="L450" s="611">
        <f>SUM(I450:K450)</f>
        <v>0</v>
      </c>
      <c r="M450" s="594"/>
    </row>
    <row r="451" spans="1:13" s="754" customFormat="1" ht="15">
      <c r="A451" s="1461">
        <v>444</v>
      </c>
      <c r="B451" s="577"/>
      <c r="C451" s="1465"/>
      <c r="D451" s="542" t="s">
        <v>1067</v>
      </c>
      <c r="E451" s="576"/>
      <c r="F451" s="568"/>
      <c r="G451" s="568"/>
      <c r="H451" s="746"/>
      <c r="I451" s="615">
        <f>SUM(I449:I450)</f>
        <v>15000</v>
      </c>
      <c r="J451" s="568">
        <f>SUM(J449:J450)</f>
        <v>0</v>
      </c>
      <c r="K451" s="568">
        <f>SUM(K449:K450)</f>
        <v>0</v>
      </c>
      <c r="L451" s="608">
        <f>SUM(I451:K451)</f>
        <v>15000</v>
      </c>
      <c r="M451" s="593">
        <f>SUM(M450:M450)</f>
        <v>0</v>
      </c>
    </row>
    <row r="452" spans="1:13" ht="15">
      <c r="A452" s="1461">
        <v>445</v>
      </c>
      <c r="B452" s="811"/>
      <c r="C452" s="545"/>
      <c r="D452" s="536" t="s">
        <v>551</v>
      </c>
      <c r="E452" s="782"/>
      <c r="F452" s="537"/>
      <c r="G452" s="537"/>
      <c r="H452" s="808"/>
      <c r="I452" s="622"/>
      <c r="J452" s="540"/>
      <c r="K452" s="540"/>
      <c r="L452" s="609"/>
      <c r="M452" s="600"/>
    </row>
    <row r="453" spans="1:13" s="752" customFormat="1" ht="15">
      <c r="A453" s="1461">
        <v>446</v>
      </c>
      <c r="B453" s="811"/>
      <c r="C453" s="545">
        <v>101</v>
      </c>
      <c r="D453" s="557" t="s">
        <v>347</v>
      </c>
      <c r="E453" s="782" t="s">
        <v>799</v>
      </c>
      <c r="F453" s="557">
        <v>1950</v>
      </c>
      <c r="G453" s="557">
        <v>0</v>
      </c>
      <c r="H453" s="791">
        <v>0</v>
      </c>
      <c r="I453" s="607"/>
      <c r="J453" s="538"/>
      <c r="K453" s="538"/>
      <c r="L453" s="609"/>
      <c r="M453" s="586"/>
    </row>
    <row r="454" spans="1:13" s="752" customFormat="1" ht="15">
      <c r="A454" s="1461">
        <v>447</v>
      </c>
      <c r="B454" s="811"/>
      <c r="C454" s="545"/>
      <c r="D454" s="539" t="s">
        <v>957</v>
      </c>
      <c r="E454" s="782"/>
      <c r="F454" s="557"/>
      <c r="G454" s="557"/>
      <c r="H454" s="791"/>
      <c r="I454" s="607">
        <v>1950</v>
      </c>
      <c r="J454" s="538"/>
      <c r="K454" s="538"/>
      <c r="L454" s="609">
        <f>SUM(I454:K454)</f>
        <v>1950</v>
      </c>
      <c r="M454" s="586"/>
    </row>
    <row r="455" spans="1:13" s="753" customFormat="1" ht="15">
      <c r="A455" s="1461">
        <v>448</v>
      </c>
      <c r="B455" s="812"/>
      <c r="C455" s="1464"/>
      <c r="D455" s="541" t="s">
        <v>405</v>
      </c>
      <c r="E455" s="576"/>
      <c r="F455" s="567"/>
      <c r="G455" s="567"/>
      <c r="H455" s="745"/>
      <c r="I455" s="610"/>
      <c r="J455" s="555"/>
      <c r="K455" s="555"/>
      <c r="L455" s="611">
        <f>SUM(I455:K455)</f>
        <v>0</v>
      </c>
      <c r="M455" s="594"/>
    </row>
    <row r="456" spans="1:13" s="754" customFormat="1" ht="15">
      <c r="A456" s="1461">
        <v>449</v>
      </c>
      <c r="B456" s="577"/>
      <c r="C456" s="1465"/>
      <c r="D456" s="542" t="s">
        <v>1067</v>
      </c>
      <c r="E456" s="779"/>
      <c r="F456" s="568"/>
      <c r="G456" s="568"/>
      <c r="H456" s="746"/>
      <c r="I456" s="615">
        <f>SUM(I454:I455)</f>
        <v>1950</v>
      </c>
      <c r="J456" s="568">
        <f>SUM(J454:J455)</f>
        <v>0</v>
      </c>
      <c r="K456" s="568">
        <f>SUM(K454:K455)</f>
        <v>0</v>
      </c>
      <c r="L456" s="608">
        <f>SUM(I456:K456)</f>
        <v>1950</v>
      </c>
      <c r="M456" s="593">
        <f>SUM(M455:M455)</f>
        <v>0</v>
      </c>
    </row>
    <row r="457" spans="1:13" s="752" customFormat="1" ht="15">
      <c r="A457" s="1461">
        <v>450</v>
      </c>
      <c r="B457" s="811"/>
      <c r="C457" s="545">
        <v>102</v>
      </c>
      <c r="D457" s="557" t="s">
        <v>552</v>
      </c>
      <c r="E457" s="782" t="s">
        <v>799</v>
      </c>
      <c r="F457" s="557">
        <v>1950</v>
      </c>
      <c r="G457" s="557">
        <v>0</v>
      </c>
      <c r="H457" s="791">
        <v>0</v>
      </c>
      <c r="I457" s="607"/>
      <c r="J457" s="538"/>
      <c r="K457" s="538"/>
      <c r="L457" s="609"/>
      <c r="M457" s="586"/>
    </row>
    <row r="458" spans="1:13" s="752" customFormat="1" ht="15">
      <c r="A458" s="1461">
        <v>451</v>
      </c>
      <c r="B458" s="811"/>
      <c r="C458" s="545"/>
      <c r="D458" s="539" t="s">
        <v>957</v>
      </c>
      <c r="E458" s="782"/>
      <c r="F458" s="557"/>
      <c r="G458" s="557"/>
      <c r="H458" s="791"/>
      <c r="I458" s="607">
        <v>1950</v>
      </c>
      <c r="J458" s="538"/>
      <c r="K458" s="538"/>
      <c r="L458" s="609">
        <f>SUM(I458:K458)</f>
        <v>1950</v>
      </c>
      <c r="M458" s="586"/>
    </row>
    <row r="459" spans="1:13" s="753" customFormat="1" ht="15">
      <c r="A459" s="1461">
        <v>452</v>
      </c>
      <c r="B459" s="812"/>
      <c r="C459" s="1464"/>
      <c r="D459" s="541" t="s">
        <v>405</v>
      </c>
      <c r="E459" s="806"/>
      <c r="F459" s="567"/>
      <c r="G459" s="567"/>
      <c r="H459" s="745"/>
      <c r="I459" s="610"/>
      <c r="J459" s="555"/>
      <c r="K459" s="555"/>
      <c r="L459" s="611">
        <f>SUM(I459:K459)</f>
        <v>0</v>
      </c>
      <c r="M459" s="594"/>
    </row>
    <row r="460" spans="1:13" s="755" customFormat="1" ht="15">
      <c r="A460" s="1461">
        <v>453</v>
      </c>
      <c r="B460" s="579"/>
      <c r="C460" s="1467"/>
      <c r="D460" s="542" t="s">
        <v>1067</v>
      </c>
      <c r="E460" s="783"/>
      <c r="F460" s="580"/>
      <c r="G460" s="580"/>
      <c r="H460" s="683"/>
      <c r="I460" s="624">
        <f>SUM(I458:I459)</f>
        <v>1950</v>
      </c>
      <c r="J460" s="580">
        <f>SUM(J458:J459)</f>
        <v>0</v>
      </c>
      <c r="K460" s="580">
        <f>SUM(K458:K459)</f>
        <v>0</v>
      </c>
      <c r="L460" s="683">
        <f>SUM(I460:K460)</f>
        <v>1950</v>
      </c>
      <c r="M460" s="602">
        <f>SUM(M459:M459)</f>
        <v>0</v>
      </c>
    </row>
    <row r="461" spans="1:13" s="757" customFormat="1" ht="15">
      <c r="A461" s="1461">
        <v>454</v>
      </c>
      <c r="B461" s="1073"/>
      <c r="C461" s="1468"/>
      <c r="D461" s="784" t="s">
        <v>553</v>
      </c>
      <c r="E461" s="784"/>
      <c r="F461" s="1074">
        <f>SUM(F9:F457)</f>
        <v>18243509</v>
      </c>
      <c r="G461" s="1074">
        <f>SUM(G9:G457)</f>
        <v>1859723</v>
      </c>
      <c r="H461" s="1074">
        <f>SUM(H9:H457)</f>
        <v>2950970</v>
      </c>
      <c r="I461" s="1075"/>
      <c r="J461" s="1076"/>
      <c r="K461" s="1076"/>
      <c r="L461" s="627"/>
      <c r="M461" s="1077"/>
    </row>
    <row r="462" spans="1:13" s="756" customFormat="1" ht="15">
      <c r="A462" s="1461">
        <v>455</v>
      </c>
      <c r="B462" s="811"/>
      <c r="C462" s="545"/>
      <c r="D462" s="573" t="s">
        <v>403</v>
      </c>
      <c r="E462" s="545"/>
      <c r="F462" s="571"/>
      <c r="G462" s="571"/>
      <c r="H462" s="582"/>
      <c r="I462" s="619">
        <f>SUM(I326+I321+I245+I240+I235+I230+I217+I212+I207+I198+I193+I188+I183+I178+I173+I168+I162+I157+I152+I147+I142+I137+I132+I127+I122+I117+I112+I107+I102+I54+I49+I40+I35+I30+I25+I20+I15+I10)</f>
        <v>3017086</v>
      </c>
      <c r="J462" s="571">
        <f>SUM(J326+J321+J245+J240+J235+J230+J217+J212+J207+J198+J193+J188+J183+J178+J173+J168+J162+J157+J152+J147+J142+J137+J132+J127+J122+J117+J112+J107+J102+J54+J49+J40+J35+J30+J25+J20+J15+J10)</f>
        <v>0</v>
      </c>
      <c r="K462" s="571">
        <f>SUM(K326+K321+K245+K240+K235+K230+K217+K212+K207+K198+K193+K188+K183+K178+K173+K168+K162+K157+K152+K147+K142+K137+K132+K127+K122+K117+K112+K107+K102+K54+K49+K40+K35+K30+K25+K20+K15+K10)</f>
        <v>1418800</v>
      </c>
      <c r="L462" s="625">
        <f>SUM(I462:K462)</f>
        <v>4435886</v>
      </c>
      <c r="M462" s="598">
        <f>SUM(M326+M321+M245+M240+M235+M230+M217+M212+M207+M198+M193+M188+M183+M178+M173+M168+M162+M157+M152+M147+M142+M137+M132+M127+M122+M117+M112+M107+M102+M54+M49+M40+M35+M30+M25+M20+M15+M10)+M387</f>
        <v>7061020</v>
      </c>
    </row>
    <row r="463" spans="1:13" s="756" customFormat="1" ht="15">
      <c r="A463" s="1461">
        <v>456</v>
      </c>
      <c r="B463" s="811"/>
      <c r="C463" s="545"/>
      <c r="D463" s="573" t="s">
        <v>957</v>
      </c>
      <c r="E463" s="545"/>
      <c r="F463" s="571"/>
      <c r="G463" s="571"/>
      <c r="H463" s="582"/>
      <c r="I463" s="619">
        <f>SUM(I458+I454+I449+I429+I425+I420+I411+I407+I395+I391+I387+I383+I375+I371+I367+I351+I347+I343+I339+I335+I331+I327+I322+I317+I313+I309+I273+I258+I254+I250+I246+I241+I236+I231+I222+I218+I213+I208+I203+I199+I194+I189+I184+I179+I174+I169+I163+I158+I153+I148+I143+I138+I133+I128+I123+I118+I113+I108+I103+I98+I94+I78+I74+I70+I66+I62+I55+I50+I41+I36+I31+I26+I21+I16+I11)+I355+I415+I445+I441+I437+I433+I403+I399+I379+I363+I277+I45+I82+I305+I301+I297+I293+I289+I285+I281+I269+I262+I226+I90+I86+I359</f>
        <v>6398162</v>
      </c>
      <c r="J463" s="571">
        <f>SUM(J458+J454+J449+J429+J425+J420+J411+J407+J395+J391+J387+J383+J375+J371+J367+J351+J347+J343+J339+J335+J331+J327+J322+J317+J313+J309+J273+J258+J254+J250+J246+J241+J236+J231+J222+J218+J213+J208+J203+J199+J194+J189+J184+J179+J174+J169+J163+J158+J153+J148+J143+J138+J133+J128+J123+J118+J113+J108+J103+J98+J94+J78+J74+J70+J66+J62+J55+J50+J41+J36+J31+J26+J21+J16+J11)+J355+J415+J445+J441+J437+J433+J403+J399+J379+J363+J277+J45+J82+J305+J301+J297+J293+J289+J285+J281+J269+J262+J226+J90+J86+J359</f>
        <v>13326</v>
      </c>
      <c r="K463" s="571">
        <f>SUM(K458+K454+K449+K429+K425+K420+K411+K407+K395+K391+K387+K383+K375+K371+K367+K351+K347+K343+K339+K335+K331+K327+K322+K317+K313+K309+K273+K258+K254+K250+K246+K241+K236+K231+K222+K218+K213+K208+K203+K199+K194+K189+K184+K179+K174+K169+K163+K158+K153+K148+K143+K138+K133+K128+K123+K118+K113+K108+K103+K98+K94+K78+K74+K70+K66+K62+K55+K50+K41+K36+K31+K26+K21+K16+K11)+K355+K415+K445+K441+K437+K433+K403+K399+K379+K363+K277+K45+K82+K305+K301+K297+K293+K289+K285+K281+K269+K262+K226+K90+K86+K359</f>
        <v>27613</v>
      </c>
      <c r="L463" s="625">
        <f>SUM(L458+L454+L449+L429+L425+L420+L411+L407+L395+L391+L387+L383+L375+L371+L367+L351+L347+L343+L339+L335+L331+L327+L322+L317+L313+L309+L273+L258+L254+L250+L246+L241+L236+L231+L222+L218+L213+L208+L203+L199+L194+L189+L184+L179+L174+L169+L163+L158+L153+L148+L143+L138+L133+L128+L123+L118+L113+L108+L103+L98+L94+L78+L74+L70+L66+L62+L55+L50+L41+L36+L31+L26+L21+L16+L11)+L355+L415+L445+L441+L437+L433+L403+L399+L379+L363+L277+L45+L82+L305+L301+L297+L293+L289+L285+L281+L269+L262+L226+L90+L86+L359</f>
        <v>6439101</v>
      </c>
      <c r="M463" s="598">
        <v>7061020</v>
      </c>
    </row>
    <row r="464" spans="1:13" s="756" customFormat="1" ht="15">
      <c r="A464" s="1461">
        <v>457</v>
      </c>
      <c r="B464" s="811"/>
      <c r="C464" s="545"/>
      <c r="D464" s="574" t="s">
        <v>1080</v>
      </c>
      <c r="E464" s="545"/>
      <c r="F464" s="572"/>
      <c r="G464" s="572"/>
      <c r="H464" s="583"/>
      <c r="I464" s="620">
        <f>I459+I455+I450+I446+I442+I438+I434+I430+I426+I421+I416+I412+I408+I404+I400+I396+I392+I388+I384+I380+I376+I372+I368+I364+I356+I352+I348+I344+I340+I336+I332+I328+I323+I318+I314+I310+I278+I274+I259+I255+I251+I247+I242+I237+I232+I223+I219+I214+I209+I204+I200+I195+I190+I185+I180+I175+I170+I164+I159+I154+I149+I144+I139+I134+I129+I124+I119+I114+I109+I104+I99+I95+I83+I79+I75+I71+I67+I63+I56+I51+I46+I42+I37+I32+I27+I22+I17+I12+I302+I294+I290+I286+I282+I270+I263+I227+I91+I87+I298+I306+I165+I360+I266+I59</f>
        <v>-67290</v>
      </c>
      <c r="J464" s="572">
        <f>J459+J455+J450+J446+J442+J438+J434+J430+J426+J421+J416+J412+J408+J404+J400+J396+J392+J388+J384+J380+J376+J372+J368+J364+J356+J352+J348+J344+J340+J336+J332+J328+J323+J318+J314+J310+J278+J274+J259+J255+J251+J247+J242+J237+J232+J223+J219+J214+J209+J204+J200+J195+J190+J185+J180+J175+J170+J164+J159+J154+J149+J144+J139+J134+J129+J124+J119+J114+J109+J104+J99+J95+J83+J79+J75+J71+J67+J63+J56+J51+J46+J42+J37+J32+J27+J22+J17+J12+J302+J294+J290+J286+J282+J270+J263+J227+J91+J87+J298+J306+J165+J360+J266+J59</f>
        <v>35</v>
      </c>
      <c r="K464" s="572">
        <f>K459+K455+K450+K446+K442+K438+K434+K430+K426+K421+K416+K412+K408+K404+K400+K396+K392+K388+K384+K380+K376+K372+K368+K364+K356+K352+K348+K344+K340+K336+K332+K328+K323+K318+K314+K310+K278+K274+K259+K255+K251+K247+K242+K237+K232+K223+K219+K214+K209+K204+K200+K195+K190+K185+K180+K175+K170+K164+K159+K154+K149+K144+K139+K134+K129+K124+K119+K114+K109+K104+K99+K95+K83+K79+K75+K71+K67+K63+K56+K51+K46+K42+K37+K32+K27+K22+K17+K12+K302+K294+K290+K286+K282+K270+K263+K227+K91+K87+K298+K306+K165+K360+K266+K59</f>
        <v>0</v>
      </c>
      <c r="L464" s="1590">
        <f>L459+L455+L450+L446+L442+L438+L434+L430+L426+L421+L416+L412+L408+L404+L400+L396+L392+L388+L384+L380+L376+L372+L368+L364+L356+L352+L348+L344+L340+L336+L332+L328+L323+L318+L314+L310+L278+L274+L259+L255+L251+L247+L242+L237+L232+L223+L219+L214+L209+L204+L200+L195+L190+L185+L180+L175+L170+L164+L159+L154+L149+L144+L139+L134+L129+L124+L119+L114+L109+L104+L99+L95+L83+L79+L75+L71+L67+L63+L56+L51+L46+L42+L37+L32+L27+L22+L17+L12+L302+L294+L290+L286+L282+L270+L263+L227+L91+L87+L298+L306+L165+L360+L266+L59</f>
        <v>-67255</v>
      </c>
      <c r="M464" s="1456">
        <v>0</v>
      </c>
    </row>
    <row r="465" spans="1:13" s="756" customFormat="1" ht="15.75" thickBot="1">
      <c r="A465" s="1461">
        <v>458</v>
      </c>
      <c r="B465" s="814"/>
      <c r="C465" s="1469"/>
      <c r="D465" s="575" t="s">
        <v>1067</v>
      </c>
      <c r="E465" s="785"/>
      <c r="F465" s="550"/>
      <c r="G465" s="550"/>
      <c r="H465" s="584"/>
      <c r="I465" s="621">
        <f>SUM(I463:I464)</f>
        <v>6330872</v>
      </c>
      <c r="J465" s="550">
        <f>SUM(J463:J464)</f>
        <v>13361</v>
      </c>
      <c r="K465" s="550">
        <f>SUM(K463:K464)</f>
        <v>27613</v>
      </c>
      <c r="L465" s="626">
        <f>SUM(I465:K465)</f>
        <v>6371846</v>
      </c>
      <c r="M465" s="599">
        <f>SUM(M463:M464)</f>
        <v>7061020</v>
      </c>
    </row>
    <row r="466" spans="1:13" s="752" customFormat="1" ht="15.75" thickTop="1">
      <c r="A466" s="1461">
        <v>459</v>
      </c>
      <c r="B466" s="535"/>
      <c r="C466" s="545"/>
      <c r="D466" s="1591" t="s">
        <v>878</v>
      </c>
      <c r="E466" s="536"/>
      <c r="F466" s="536"/>
      <c r="G466" s="536"/>
      <c r="H466" s="916"/>
      <c r="I466" s="607"/>
      <c r="J466" s="538"/>
      <c r="K466" s="538"/>
      <c r="L466" s="609"/>
      <c r="M466" s="589"/>
    </row>
    <row r="467" spans="1:13" s="752" customFormat="1" ht="15">
      <c r="A467" s="1461">
        <v>460</v>
      </c>
      <c r="B467" s="535">
        <v>1</v>
      </c>
      <c r="C467" s="545"/>
      <c r="D467" s="536" t="s">
        <v>419</v>
      </c>
      <c r="E467" s="536"/>
      <c r="F467" s="536"/>
      <c r="G467" s="536"/>
      <c r="H467" s="916"/>
      <c r="I467" s="607"/>
      <c r="J467" s="538"/>
      <c r="K467" s="538"/>
      <c r="L467" s="609"/>
      <c r="M467" s="589"/>
    </row>
    <row r="468" spans="1:13" s="752" customFormat="1" ht="15">
      <c r="A468" s="1461">
        <v>461</v>
      </c>
      <c r="B468" s="811"/>
      <c r="C468" s="545">
        <v>1</v>
      </c>
      <c r="D468" s="557" t="s">
        <v>1109</v>
      </c>
      <c r="E468" s="782" t="s">
        <v>799</v>
      </c>
      <c r="F468" s="562">
        <f>SUM(H468,L472)</f>
        <v>2702</v>
      </c>
      <c r="G468" s="557">
        <v>0</v>
      </c>
      <c r="H468" s="913">
        <v>0</v>
      </c>
      <c r="I468" s="607"/>
      <c r="J468" s="538"/>
      <c r="K468" s="538"/>
      <c r="L468" s="608"/>
      <c r="M468" s="586"/>
    </row>
    <row r="469" spans="1:13" ht="15">
      <c r="A469" s="1461">
        <v>462</v>
      </c>
      <c r="B469" s="811"/>
      <c r="C469" s="545"/>
      <c r="D469" s="539" t="s">
        <v>403</v>
      </c>
      <c r="E469" s="788"/>
      <c r="F469" s="796"/>
      <c r="G469" s="562"/>
      <c r="H469" s="914"/>
      <c r="I469" s="607"/>
      <c r="J469" s="538">
        <v>500</v>
      </c>
      <c r="K469" s="538"/>
      <c r="L469" s="609">
        <f>SUM(I469:K469)</f>
        <v>500</v>
      </c>
      <c r="M469" s="591"/>
    </row>
    <row r="470" spans="1:13" ht="15">
      <c r="A470" s="1461">
        <v>463</v>
      </c>
      <c r="B470" s="811"/>
      <c r="C470" s="545"/>
      <c r="D470" s="539" t="s">
        <v>957</v>
      </c>
      <c r="E470" s="788"/>
      <c r="F470" s="796"/>
      <c r="G470" s="562"/>
      <c r="H470" s="914"/>
      <c r="I470" s="607"/>
      <c r="J470" s="538">
        <v>2202</v>
      </c>
      <c r="K470" s="538"/>
      <c r="L470" s="609">
        <f>SUM(I470:K470)</f>
        <v>2202</v>
      </c>
      <c r="M470" s="591"/>
    </row>
    <row r="471" spans="1:13" s="753" customFormat="1" ht="15">
      <c r="A471" s="1461">
        <v>464</v>
      </c>
      <c r="B471" s="812"/>
      <c r="C471" s="1464"/>
      <c r="D471" s="541" t="s">
        <v>1080</v>
      </c>
      <c r="E471" s="782"/>
      <c r="F471" s="567"/>
      <c r="G471" s="567"/>
      <c r="H471" s="915"/>
      <c r="I471" s="610"/>
      <c r="J471" s="555">
        <v>500</v>
      </c>
      <c r="K471" s="555"/>
      <c r="L471" s="611">
        <f>SUM(I471:K471)</f>
        <v>500</v>
      </c>
      <c r="M471" s="594"/>
    </row>
    <row r="472" spans="1:13" s="754" customFormat="1" ht="15">
      <c r="A472" s="1461">
        <v>465</v>
      </c>
      <c r="B472" s="577"/>
      <c r="C472" s="1465"/>
      <c r="D472" s="542" t="s">
        <v>1067</v>
      </c>
      <c r="E472" s="576"/>
      <c r="F472" s="568"/>
      <c r="G472" s="568"/>
      <c r="H472" s="911"/>
      <c r="I472" s="615">
        <f>SUM(I470:I471)</f>
        <v>0</v>
      </c>
      <c r="J472" s="568">
        <f>SUM(J470:J471)</f>
        <v>2702</v>
      </c>
      <c r="K472" s="568">
        <f>SUM(K470:K471)</f>
        <v>0</v>
      </c>
      <c r="L472" s="608">
        <f>SUM(I472:K472)</f>
        <v>2702</v>
      </c>
      <c r="M472" s="593">
        <f>SUM(M469:M471)</f>
        <v>0</v>
      </c>
    </row>
    <row r="473" spans="1:13" ht="15">
      <c r="A473" s="1461">
        <v>466</v>
      </c>
      <c r="B473" s="811"/>
      <c r="C473" s="545">
        <v>2</v>
      </c>
      <c r="D473" s="539" t="s">
        <v>1110</v>
      </c>
      <c r="E473" s="782" t="s">
        <v>799</v>
      </c>
      <c r="F473" s="562">
        <v>100</v>
      </c>
      <c r="G473" s="562">
        <v>0</v>
      </c>
      <c r="H473" s="914">
        <v>0</v>
      </c>
      <c r="I473" s="607"/>
      <c r="J473" s="538"/>
      <c r="K473" s="538"/>
      <c r="L473" s="609"/>
      <c r="M473" s="591"/>
    </row>
    <row r="474" spans="1:13" s="753" customFormat="1" ht="15">
      <c r="A474" s="1461">
        <v>467</v>
      </c>
      <c r="B474" s="812"/>
      <c r="C474" s="1464"/>
      <c r="D474" s="541" t="s">
        <v>234</v>
      </c>
      <c r="E474" s="806"/>
      <c r="F474" s="567"/>
      <c r="G474" s="567"/>
      <c r="H474" s="915"/>
      <c r="I474" s="610"/>
      <c r="J474" s="555">
        <v>100</v>
      </c>
      <c r="K474" s="555"/>
      <c r="L474" s="611">
        <f>SUM(I474:K474)</f>
        <v>100</v>
      </c>
      <c r="M474" s="594"/>
    </row>
    <row r="475" spans="1:13" s="754" customFormat="1" ht="15">
      <c r="A475" s="1461">
        <v>468</v>
      </c>
      <c r="B475" s="577"/>
      <c r="C475" s="1465"/>
      <c r="D475" s="542" t="s">
        <v>1111</v>
      </c>
      <c r="E475" s="780"/>
      <c r="F475" s="568"/>
      <c r="G475" s="568"/>
      <c r="H475" s="911"/>
      <c r="I475" s="615">
        <f>SUM(I474)</f>
        <v>0</v>
      </c>
      <c r="J475" s="568">
        <f>SUM(J474)</f>
        <v>100</v>
      </c>
      <c r="K475" s="568">
        <f>SUM(K474)</f>
        <v>0</v>
      </c>
      <c r="L475" s="608">
        <f>SUM(L474)</f>
        <v>100</v>
      </c>
      <c r="M475" s="593">
        <v>0</v>
      </c>
    </row>
    <row r="476" spans="1:13" ht="15">
      <c r="A476" s="1461">
        <v>469</v>
      </c>
      <c r="B476" s="811"/>
      <c r="C476" s="545">
        <v>3</v>
      </c>
      <c r="D476" s="539" t="s">
        <v>1112</v>
      </c>
      <c r="E476" s="782" t="s">
        <v>799</v>
      </c>
      <c r="F476" s="562">
        <v>710</v>
      </c>
      <c r="G476" s="562">
        <v>0</v>
      </c>
      <c r="H476" s="914">
        <v>0</v>
      </c>
      <c r="I476" s="607"/>
      <c r="J476" s="538"/>
      <c r="K476" s="538"/>
      <c r="L476" s="609"/>
      <c r="M476" s="591"/>
    </row>
    <row r="477" spans="1:13" s="753" customFormat="1" ht="15">
      <c r="A477" s="1461">
        <v>470</v>
      </c>
      <c r="B477" s="812"/>
      <c r="C477" s="1464"/>
      <c r="D477" s="541" t="s">
        <v>234</v>
      </c>
      <c r="E477" s="806"/>
      <c r="F477" s="567"/>
      <c r="G477" s="567"/>
      <c r="H477" s="915"/>
      <c r="I477" s="610"/>
      <c r="J477" s="555">
        <v>710</v>
      </c>
      <c r="K477" s="555"/>
      <c r="L477" s="611">
        <f>SUM(I477:K477)</f>
        <v>710</v>
      </c>
      <c r="M477" s="594"/>
    </row>
    <row r="478" spans="1:13" s="754" customFormat="1" ht="15">
      <c r="A478" s="1461">
        <v>471</v>
      </c>
      <c r="B478" s="577"/>
      <c r="C478" s="1465"/>
      <c r="D478" s="542" t="s">
        <v>1067</v>
      </c>
      <c r="E478" s="780"/>
      <c r="F478" s="568"/>
      <c r="G478" s="568"/>
      <c r="H478" s="911"/>
      <c r="I478" s="615">
        <f>SUM(I477)</f>
        <v>0</v>
      </c>
      <c r="J478" s="568">
        <f>SUM(J477)</f>
        <v>710</v>
      </c>
      <c r="K478" s="568">
        <f>SUM(K477)</f>
        <v>0</v>
      </c>
      <c r="L478" s="608">
        <f>SUM(L477)</f>
        <v>710</v>
      </c>
      <c r="M478" s="593">
        <v>0</v>
      </c>
    </row>
    <row r="479" spans="1:13" ht="15">
      <c r="A479" s="1461">
        <v>472</v>
      </c>
      <c r="B479" s="811"/>
      <c r="C479" s="545">
        <v>4</v>
      </c>
      <c r="D479" s="539" t="s">
        <v>1113</v>
      </c>
      <c r="E479" s="782" t="s">
        <v>799</v>
      </c>
      <c r="F479" s="562">
        <v>150</v>
      </c>
      <c r="G479" s="562">
        <v>0</v>
      </c>
      <c r="H479" s="914">
        <v>0</v>
      </c>
      <c r="I479" s="607"/>
      <c r="J479" s="538"/>
      <c r="K479" s="538"/>
      <c r="L479" s="609"/>
      <c r="M479" s="591"/>
    </row>
    <row r="480" spans="1:13" s="753" customFormat="1" ht="15">
      <c r="A480" s="1461">
        <v>473</v>
      </c>
      <c r="B480" s="812"/>
      <c r="C480" s="1464"/>
      <c r="D480" s="541" t="s">
        <v>234</v>
      </c>
      <c r="E480" s="806"/>
      <c r="F480" s="567"/>
      <c r="G480" s="567"/>
      <c r="H480" s="915"/>
      <c r="I480" s="610"/>
      <c r="J480" s="555">
        <v>150</v>
      </c>
      <c r="K480" s="555"/>
      <c r="L480" s="611">
        <f>SUM(I480:K480)</f>
        <v>150</v>
      </c>
      <c r="M480" s="594"/>
    </row>
    <row r="481" spans="1:13" s="754" customFormat="1" ht="15">
      <c r="A481" s="1461">
        <v>474</v>
      </c>
      <c r="B481" s="577"/>
      <c r="C481" s="1465"/>
      <c r="D481" s="542" t="s">
        <v>1067</v>
      </c>
      <c r="E481" s="780"/>
      <c r="F481" s="568"/>
      <c r="G481" s="568"/>
      <c r="H481" s="911"/>
      <c r="I481" s="615">
        <f>SUM(I480)</f>
        <v>0</v>
      </c>
      <c r="J481" s="568">
        <f>SUM(J480)</f>
        <v>150</v>
      </c>
      <c r="K481" s="568">
        <f>SUM(K480)</f>
        <v>0</v>
      </c>
      <c r="L481" s="608">
        <f>SUM(L480)</f>
        <v>150</v>
      </c>
      <c r="M481" s="593">
        <v>0</v>
      </c>
    </row>
    <row r="482" spans="1:13" ht="15">
      <c r="A482" s="1461">
        <v>475</v>
      </c>
      <c r="B482" s="811"/>
      <c r="C482" s="545">
        <v>5</v>
      </c>
      <c r="D482" s="539" t="s">
        <v>1161</v>
      </c>
      <c r="E482" s="782" t="s">
        <v>799</v>
      </c>
      <c r="F482" s="562">
        <v>50</v>
      </c>
      <c r="G482" s="562">
        <v>0</v>
      </c>
      <c r="H482" s="914">
        <v>0</v>
      </c>
      <c r="I482" s="607"/>
      <c r="J482" s="538"/>
      <c r="K482" s="538"/>
      <c r="L482" s="609"/>
      <c r="M482" s="591"/>
    </row>
    <row r="483" spans="1:13" s="753" customFormat="1" ht="15">
      <c r="A483" s="1461">
        <v>476</v>
      </c>
      <c r="B483" s="812"/>
      <c r="C483" s="1464"/>
      <c r="D483" s="541" t="s">
        <v>234</v>
      </c>
      <c r="E483" s="806"/>
      <c r="F483" s="567"/>
      <c r="G483" s="567"/>
      <c r="H483" s="915"/>
      <c r="I483" s="610"/>
      <c r="J483" s="555">
        <v>50</v>
      </c>
      <c r="K483" s="555"/>
      <c r="L483" s="611">
        <f>SUM(I483:K483)</f>
        <v>50</v>
      </c>
      <c r="M483" s="594"/>
    </row>
    <row r="484" spans="1:13" s="754" customFormat="1" ht="15">
      <c r="A484" s="1461">
        <v>477</v>
      </c>
      <c r="B484" s="577"/>
      <c r="C484" s="1465"/>
      <c r="D484" s="542" t="s">
        <v>1067</v>
      </c>
      <c r="E484" s="780"/>
      <c r="F484" s="568"/>
      <c r="G484" s="568"/>
      <c r="H484" s="911"/>
      <c r="I484" s="615">
        <f>SUM(I483)</f>
        <v>0</v>
      </c>
      <c r="J484" s="568">
        <f>SUM(J483)</f>
        <v>50</v>
      </c>
      <c r="K484" s="568">
        <f>SUM(K483)</f>
        <v>0</v>
      </c>
      <c r="L484" s="608">
        <f>SUM(L483)</f>
        <v>50</v>
      </c>
      <c r="M484" s="593">
        <v>0</v>
      </c>
    </row>
    <row r="485" spans="1:13" ht="30">
      <c r="A485" s="1461">
        <v>478</v>
      </c>
      <c r="B485" s="811"/>
      <c r="C485" s="545">
        <v>6</v>
      </c>
      <c r="D485" s="539" t="s">
        <v>1116</v>
      </c>
      <c r="E485" s="782" t="s">
        <v>799</v>
      </c>
      <c r="F485" s="562">
        <f>SUM(H485,L488)</f>
        <v>194</v>
      </c>
      <c r="G485" s="562">
        <v>0</v>
      </c>
      <c r="H485" s="914">
        <v>0</v>
      </c>
      <c r="I485" s="607"/>
      <c r="J485" s="538"/>
      <c r="K485" s="538"/>
      <c r="L485" s="609"/>
      <c r="M485" s="591"/>
    </row>
    <row r="486" spans="1:13" ht="15">
      <c r="A486" s="1461">
        <v>479</v>
      </c>
      <c r="B486" s="811"/>
      <c r="C486" s="545"/>
      <c r="D486" s="539" t="s">
        <v>957</v>
      </c>
      <c r="E486" s="782"/>
      <c r="F486" s="562"/>
      <c r="G486" s="562"/>
      <c r="H486" s="914"/>
      <c r="I486" s="607"/>
      <c r="J486" s="538">
        <v>144</v>
      </c>
      <c r="K486" s="538"/>
      <c r="L486" s="609">
        <f>SUM(I486:K486)</f>
        <v>144</v>
      </c>
      <c r="M486" s="591"/>
    </row>
    <row r="487" spans="1:13" s="753" customFormat="1" ht="15">
      <c r="A487" s="1461">
        <v>480</v>
      </c>
      <c r="B487" s="812"/>
      <c r="C487" s="1464"/>
      <c r="D487" s="541" t="s">
        <v>1080</v>
      </c>
      <c r="E487" s="806"/>
      <c r="F487" s="567"/>
      <c r="G487" s="567"/>
      <c r="H487" s="915"/>
      <c r="I487" s="610"/>
      <c r="J487" s="555">
        <v>50</v>
      </c>
      <c r="K487" s="555"/>
      <c r="L487" s="611">
        <f>SUM(I487:K487)</f>
        <v>50</v>
      </c>
      <c r="M487" s="594"/>
    </row>
    <row r="488" spans="1:13" s="754" customFormat="1" ht="15">
      <c r="A488" s="1461">
        <v>481</v>
      </c>
      <c r="B488" s="577"/>
      <c r="C488" s="1465"/>
      <c r="D488" s="542" t="s">
        <v>1067</v>
      </c>
      <c r="E488" s="780"/>
      <c r="F488" s="568"/>
      <c r="G488" s="568"/>
      <c r="H488" s="911"/>
      <c r="I488" s="615">
        <f>SUM(I486:I487)</f>
        <v>0</v>
      </c>
      <c r="J488" s="568">
        <f>SUM(J486:J487)</f>
        <v>194</v>
      </c>
      <c r="K488" s="568">
        <f>SUM(K486:K487)</f>
        <v>0</v>
      </c>
      <c r="L488" s="608">
        <f>SUM(I488:K488)</f>
        <v>194</v>
      </c>
      <c r="M488" s="593">
        <f>SUM(M487)</f>
        <v>0</v>
      </c>
    </row>
    <row r="489" spans="1:13" ht="15">
      <c r="A489" s="1461">
        <v>482</v>
      </c>
      <c r="B489" s="811"/>
      <c r="C489" s="545">
        <v>7</v>
      </c>
      <c r="D489" s="539" t="s">
        <v>713</v>
      </c>
      <c r="E489" s="782" t="s">
        <v>799</v>
      </c>
      <c r="F489" s="562">
        <f>SUM(H489,L492)</f>
        <v>174</v>
      </c>
      <c r="G489" s="562">
        <v>0</v>
      </c>
      <c r="H489" s="914">
        <v>0</v>
      </c>
      <c r="I489" s="607"/>
      <c r="J489" s="538"/>
      <c r="K489" s="538"/>
      <c r="L489" s="609"/>
      <c r="M489" s="591"/>
    </row>
    <row r="490" spans="1:13" s="752" customFormat="1" ht="15">
      <c r="A490" s="1461">
        <v>483</v>
      </c>
      <c r="B490" s="811"/>
      <c r="C490" s="545"/>
      <c r="D490" s="539" t="s">
        <v>957</v>
      </c>
      <c r="E490" s="782"/>
      <c r="F490" s="562"/>
      <c r="G490" s="557"/>
      <c r="H490" s="791"/>
      <c r="I490" s="607"/>
      <c r="J490" s="538">
        <v>174</v>
      </c>
      <c r="K490" s="538"/>
      <c r="L490" s="609">
        <f>SUM(I490:K490)</f>
        <v>174</v>
      </c>
      <c r="M490" s="586"/>
    </row>
    <row r="491" spans="1:13" s="753" customFormat="1" ht="15">
      <c r="A491" s="1461">
        <v>484</v>
      </c>
      <c r="B491" s="812"/>
      <c r="C491" s="1464"/>
      <c r="D491" s="541" t="s">
        <v>234</v>
      </c>
      <c r="E491" s="805"/>
      <c r="F491" s="806"/>
      <c r="G491" s="567"/>
      <c r="H491" s="745"/>
      <c r="I491" s="610"/>
      <c r="J491" s="555"/>
      <c r="K491" s="555"/>
      <c r="L491" s="611">
        <f>SUM(I491:K491)</f>
        <v>0</v>
      </c>
      <c r="M491" s="594"/>
    </row>
    <row r="492" spans="1:13" s="754" customFormat="1" ht="15">
      <c r="A492" s="1461">
        <v>485</v>
      </c>
      <c r="B492" s="577"/>
      <c r="C492" s="1465"/>
      <c r="D492" s="542" t="s">
        <v>1067</v>
      </c>
      <c r="E492" s="576"/>
      <c r="F492" s="568"/>
      <c r="G492" s="568"/>
      <c r="H492" s="746"/>
      <c r="I492" s="615">
        <f>SUM(I490:I491)</f>
        <v>0</v>
      </c>
      <c r="J492" s="568">
        <f>SUM(J490:J491)</f>
        <v>174</v>
      </c>
      <c r="K492" s="568">
        <f>SUM(K490:K491)</f>
        <v>0</v>
      </c>
      <c r="L492" s="608">
        <f>SUM(I492:K492)</f>
        <v>174</v>
      </c>
      <c r="M492" s="593">
        <v>0</v>
      </c>
    </row>
    <row r="493" spans="1:13" ht="15">
      <c r="A493" s="1461">
        <v>486</v>
      </c>
      <c r="B493" s="811"/>
      <c r="C493" s="545">
        <v>8</v>
      </c>
      <c r="D493" s="539" t="s">
        <v>1115</v>
      </c>
      <c r="E493" s="782" t="s">
        <v>799</v>
      </c>
      <c r="F493" s="562">
        <v>507</v>
      </c>
      <c r="G493" s="562">
        <v>0</v>
      </c>
      <c r="H493" s="914">
        <v>0</v>
      </c>
      <c r="I493" s="607"/>
      <c r="J493" s="538"/>
      <c r="K493" s="538"/>
      <c r="L493" s="609"/>
      <c r="M493" s="591"/>
    </row>
    <row r="494" spans="1:13" s="753" customFormat="1" ht="15">
      <c r="A494" s="1461">
        <v>487</v>
      </c>
      <c r="B494" s="812"/>
      <c r="C494" s="1464"/>
      <c r="D494" s="541" t="s">
        <v>234</v>
      </c>
      <c r="E494" s="806"/>
      <c r="F494" s="567"/>
      <c r="G494" s="567"/>
      <c r="H494" s="915"/>
      <c r="I494" s="610"/>
      <c r="J494" s="555">
        <v>507</v>
      </c>
      <c r="K494" s="555"/>
      <c r="L494" s="611">
        <f>SUM(I494:K494)</f>
        <v>507</v>
      </c>
      <c r="M494" s="594"/>
    </row>
    <row r="495" spans="1:13" s="754" customFormat="1" ht="15">
      <c r="A495" s="1461">
        <v>488</v>
      </c>
      <c r="B495" s="577"/>
      <c r="C495" s="1465"/>
      <c r="D495" s="542" t="s">
        <v>1067</v>
      </c>
      <c r="E495" s="780"/>
      <c r="F495" s="568"/>
      <c r="G495" s="568"/>
      <c r="H495" s="911"/>
      <c r="I495" s="615">
        <f>SUM(I494)</f>
        <v>0</v>
      </c>
      <c r="J495" s="568">
        <f>SUM(J494)</f>
        <v>507</v>
      </c>
      <c r="K495" s="568">
        <f>SUM(K494)</f>
        <v>0</v>
      </c>
      <c r="L495" s="608">
        <f>SUM(L494)</f>
        <v>507</v>
      </c>
      <c r="M495" s="593">
        <v>0</v>
      </c>
    </row>
    <row r="496" spans="1:13" ht="30">
      <c r="A496" s="1461">
        <v>489</v>
      </c>
      <c r="B496" s="811"/>
      <c r="C496" s="545">
        <v>9</v>
      </c>
      <c r="D496" s="539" t="s">
        <v>1114</v>
      </c>
      <c r="E496" s="782" t="s">
        <v>799</v>
      </c>
      <c r="F496" s="562">
        <f>SUM(H496,L499)</f>
        <v>180</v>
      </c>
      <c r="G496" s="562">
        <v>0</v>
      </c>
      <c r="H496" s="914">
        <v>0</v>
      </c>
      <c r="I496" s="607"/>
      <c r="J496" s="538"/>
      <c r="K496" s="538"/>
      <c r="L496" s="609"/>
      <c r="M496" s="591"/>
    </row>
    <row r="497" spans="1:13" s="752" customFormat="1" ht="15">
      <c r="A497" s="1461">
        <v>490</v>
      </c>
      <c r="B497" s="811"/>
      <c r="C497" s="545"/>
      <c r="D497" s="539" t="s">
        <v>957</v>
      </c>
      <c r="E497" s="782"/>
      <c r="F497" s="562"/>
      <c r="G497" s="557"/>
      <c r="H497" s="791"/>
      <c r="I497" s="607"/>
      <c r="J497" s="538">
        <v>7</v>
      </c>
      <c r="K497" s="538"/>
      <c r="L497" s="609">
        <f>SUM(I497:K497)</f>
        <v>7</v>
      </c>
      <c r="M497" s="586"/>
    </row>
    <row r="498" spans="1:13" s="753" customFormat="1" ht="15">
      <c r="A498" s="1461">
        <v>491</v>
      </c>
      <c r="B498" s="812"/>
      <c r="C498" s="1464"/>
      <c r="D498" s="541" t="s">
        <v>1108</v>
      </c>
      <c r="E498" s="805"/>
      <c r="F498" s="806"/>
      <c r="G498" s="567"/>
      <c r="H498" s="745"/>
      <c r="I498" s="610"/>
      <c r="J498" s="555">
        <v>173</v>
      </c>
      <c r="K498" s="555"/>
      <c r="L498" s="611">
        <f>SUM(I498:K498)</f>
        <v>173</v>
      </c>
      <c r="M498" s="594"/>
    </row>
    <row r="499" spans="1:13" s="754" customFormat="1" ht="15">
      <c r="A499" s="1461">
        <v>492</v>
      </c>
      <c r="B499" s="577"/>
      <c r="C499" s="1465"/>
      <c r="D499" s="542" t="s">
        <v>1067</v>
      </c>
      <c r="E499" s="576"/>
      <c r="F499" s="568"/>
      <c r="G499" s="568"/>
      <c r="H499" s="746"/>
      <c r="I499" s="615">
        <f>SUM(I497:I498)</f>
        <v>0</v>
      </c>
      <c r="J499" s="568">
        <f>SUM(J497:J498)</f>
        <v>180</v>
      </c>
      <c r="K499" s="568">
        <f>SUM(K497:K498)</f>
        <v>0</v>
      </c>
      <c r="L499" s="608">
        <f>SUM(I499:K499)</f>
        <v>180</v>
      </c>
      <c r="M499" s="593">
        <v>0</v>
      </c>
    </row>
    <row r="500" spans="1:13" ht="15">
      <c r="A500" s="1461">
        <v>493</v>
      </c>
      <c r="B500" s="811"/>
      <c r="C500" s="545">
        <v>10</v>
      </c>
      <c r="D500" s="539" t="s">
        <v>714</v>
      </c>
      <c r="E500" s="782" t="s">
        <v>799</v>
      </c>
      <c r="F500" s="562">
        <f>SUM(H500,L503)</f>
        <v>166</v>
      </c>
      <c r="G500" s="562">
        <v>0</v>
      </c>
      <c r="H500" s="914">
        <v>0</v>
      </c>
      <c r="I500" s="607"/>
      <c r="J500" s="538"/>
      <c r="K500" s="538"/>
      <c r="L500" s="609"/>
      <c r="M500" s="591"/>
    </row>
    <row r="501" spans="1:13" s="752" customFormat="1" ht="15">
      <c r="A501" s="1461">
        <v>494</v>
      </c>
      <c r="B501" s="811"/>
      <c r="C501" s="545"/>
      <c r="D501" s="539" t="s">
        <v>957</v>
      </c>
      <c r="E501" s="782"/>
      <c r="F501" s="562"/>
      <c r="G501" s="557"/>
      <c r="H501" s="791"/>
      <c r="I501" s="607"/>
      <c r="J501" s="538">
        <v>46</v>
      </c>
      <c r="K501" s="538"/>
      <c r="L501" s="609">
        <f>SUM(I501:K501)</f>
        <v>46</v>
      </c>
      <c r="M501" s="586"/>
    </row>
    <row r="502" spans="1:13" s="753" customFormat="1" ht="15">
      <c r="A502" s="1461">
        <v>495</v>
      </c>
      <c r="B502" s="812"/>
      <c r="C502" s="1464"/>
      <c r="D502" s="541" t="s">
        <v>1108</v>
      </c>
      <c r="E502" s="805"/>
      <c r="F502" s="806"/>
      <c r="G502" s="567"/>
      <c r="H502" s="745"/>
      <c r="I502" s="610"/>
      <c r="J502" s="555">
        <v>120</v>
      </c>
      <c r="K502" s="555"/>
      <c r="L502" s="611">
        <f>SUM(I502:K502)</f>
        <v>120</v>
      </c>
      <c r="M502" s="594"/>
    </row>
    <row r="503" spans="1:13" s="754" customFormat="1" ht="15">
      <c r="A503" s="1461">
        <v>496</v>
      </c>
      <c r="B503" s="577"/>
      <c r="C503" s="1465"/>
      <c r="D503" s="542" t="s">
        <v>1067</v>
      </c>
      <c r="E503" s="576"/>
      <c r="F503" s="568"/>
      <c r="G503" s="568"/>
      <c r="H503" s="746"/>
      <c r="I503" s="615">
        <f>SUM(I501:I502)</f>
        <v>0</v>
      </c>
      <c r="J503" s="568">
        <f>SUM(J501:J502)</f>
        <v>166</v>
      </c>
      <c r="K503" s="568">
        <f>SUM(K501:K502)</f>
        <v>0</v>
      </c>
      <c r="L503" s="608">
        <f>SUM(I503:K503)</f>
        <v>166</v>
      </c>
      <c r="M503" s="593">
        <v>0</v>
      </c>
    </row>
    <row r="504" spans="1:13" ht="15">
      <c r="A504" s="1461">
        <v>497</v>
      </c>
      <c r="B504" s="811"/>
      <c r="C504" s="545">
        <v>11</v>
      </c>
      <c r="D504" s="539" t="s">
        <v>715</v>
      </c>
      <c r="E504" s="782" t="s">
        <v>799</v>
      </c>
      <c r="F504" s="562">
        <f>SUM(H504,L507)</f>
        <v>1349</v>
      </c>
      <c r="G504" s="562">
        <v>0</v>
      </c>
      <c r="H504" s="914">
        <v>0</v>
      </c>
      <c r="I504" s="607"/>
      <c r="J504" s="538"/>
      <c r="K504" s="538"/>
      <c r="L504" s="609"/>
      <c r="M504" s="591"/>
    </row>
    <row r="505" spans="1:13" s="752" customFormat="1" ht="15">
      <c r="A505" s="1461">
        <v>498</v>
      </c>
      <c r="B505" s="811"/>
      <c r="C505" s="545"/>
      <c r="D505" s="539" t="s">
        <v>957</v>
      </c>
      <c r="E505" s="782"/>
      <c r="F505" s="562"/>
      <c r="G505" s="557"/>
      <c r="H505" s="791"/>
      <c r="I505" s="607"/>
      <c r="J505" s="538">
        <v>1099</v>
      </c>
      <c r="K505" s="538"/>
      <c r="L505" s="609">
        <f>SUM(I505:K505)</f>
        <v>1099</v>
      </c>
      <c r="M505" s="586"/>
    </row>
    <row r="506" spans="1:13" s="753" customFormat="1" ht="15">
      <c r="A506" s="1461">
        <v>499</v>
      </c>
      <c r="B506" s="812"/>
      <c r="C506" s="1464"/>
      <c r="D506" s="541" t="s">
        <v>1080</v>
      </c>
      <c r="E506" s="805"/>
      <c r="F506" s="806"/>
      <c r="G506" s="567"/>
      <c r="H506" s="745"/>
      <c r="I506" s="610"/>
      <c r="J506" s="555">
        <v>250</v>
      </c>
      <c r="K506" s="555"/>
      <c r="L506" s="611">
        <f>SUM(I506:K506)</f>
        <v>250</v>
      </c>
      <c r="M506" s="594"/>
    </row>
    <row r="507" spans="1:13" s="754" customFormat="1" ht="15">
      <c r="A507" s="1461">
        <v>500</v>
      </c>
      <c r="B507" s="577"/>
      <c r="C507" s="1465"/>
      <c r="D507" s="542" t="s">
        <v>1067</v>
      </c>
      <c r="E507" s="576"/>
      <c r="F507" s="568"/>
      <c r="G507" s="568"/>
      <c r="H507" s="746"/>
      <c r="I507" s="615">
        <f>SUM(I505:I506)</f>
        <v>0</v>
      </c>
      <c r="J507" s="568">
        <f>SUM(J505:J506)</f>
        <v>1349</v>
      </c>
      <c r="K507" s="568">
        <f>SUM(K505:K506)</f>
        <v>0</v>
      </c>
      <c r="L507" s="608">
        <f>SUM(I507:K507)</f>
        <v>1349</v>
      </c>
      <c r="M507" s="593">
        <v>0</v>
      </c>
    </row>
    <row r="508" spans="1:13" ht="15">
      <c r="A508" s="1461">
        <v>501</v>
      </c>
      <c r="B508" s="811"/>
      <c r="C508" s="545">
        <v>12</v>
      </c>
      <c r="D508" s="539" t="s">
        <v>716</v>
      </c>
      <c r="E508" s="782" t="s">
        <v>799</v>
      </c>
      <c r="F508" s="562">
        <f>SUM(H508,L511)</f>
        <v>161</v>
      </c>
      <c r="G508" s="562">
        <v>0</v>
      </c>
      <c r="H508" s="914">
        <v>0</v>
      </c>
      <c r="I508" s="607"/>
      <c r="J508" s="538"/>
      <c r="K508" s="538"/>
      <c r="L508" s="609"/>
      <c r="M508" s="591"/>
    </row>
    <row r="509" spans="1:13" s="752" customFormat="1" ht="15">
      <c r="A509" s="1461">
        <v>502</v>
      </c>
      <c r="B509" s="811"/>
      <c r="C509" s="545"/>
      <c r="D509" s="539" t="s">
        <v>957</v>
      </c>
      <c r="E509" s="782"/>
      <c r="F509" s="562"/>
      <c r="G509" s="557"/>
      <c r="H509" s="791"/>
      <c r="I509" s="607"/>
      <c r="J509" s="538">
        <v>161</v>
      </c>
      <c r="K509" s="538"/>
      <c r="L509" s="609">
        <f>SUM(I509:K509)</f>
        <v>161</v>
      </c>
      <c r="M509" s="586"/>
    </row>
    <row r="510" spans="1:13" s="753" customFormat="1" ht="15">
      <c r="A510" s="1461">
        <v>503</v>
      </c>
      <c r="B510" s="812"/>
      <c r="C510" s="1464"/>
      <c r="D510" s="541" t="s">
        <v>234</v>
      </c>
      <c r="E510" s="805"/>
      <c r="F510" s="806"/>
      <c r="G510" s="567"/>
      <c r="H510" s="745"/>
      <c r="I510" s="610"/>
      <c r="J510" s="555"/>
      <c r="K510" s="555"/>
      <c r="L510" s="611">
        <f>SUM(I510:K510)</f>
        <v>0</v>
      </c>
      <c r="M510" s="594"/>
    </row>
    <row r="511" spans="1:13" s="754" customFormat="1" ht="15">
      <c r="A511" s="1461">
        <v>504</v>
      </c>
      <c r="B511" s="577"/>
      <c r="C511" s="1465"/>
      <c r="D511" s="542" t="s">
        <v>1067</v>
      </c>
      <c r="E511" s="576"/>
      <c r="F511" s="568"/>
      <c r="G511" s="568"/>
      <c r="H511" s="746"/>
      <c r="I511" s="615">
        <f>SUM(I509:I510)</f>
        <v>0</v>
      </c>
      <c r="J511" s="568">
        <f>SUM(J509:J510)</f>
        <v>161</v>
      </c>
      <c r="K511" s="568">
        <f>SUM(K509:K510)</f>
        <v>0</v>
      </c>
      <c r="L511" s="608">
        <f>SUM(I511:K511)</f>
        <v>161</v>
      </c>
      <c r="M511" s="593">
        <v>0</v>
      </c>
    </row>
    <row r="512" spans="1:13" ht="15">
      <c r="A512" s="1461">
        <v>505</v>
      </c>
      <c r="B512" s="811"/>
      <c r="C512" s="545">
        <v>13</v>
      </c>
      <c r="D512" s="539" t="s">
        <v>717</v>
      </c>
      <c r="E512" s="782" t="s">
        <v>799</v>
      </c>
      <c r="F512" s="562">
        <f>SUM(H512,L515)</f>
        <v>30</v>
      </c>
      <c r="G512" s="562">
        <v>0</v>
      </c>
      <c r="H512" s="914">
        <v>0</v>
      </c>
      <c r="I512" s="607"/>
      <c r="J512" s="538"/>
      <c r="K512" s="538"/>
      <c r="L512" s="609"/>
      <c r="M512" s="591"/>
    </row>
    <row r="513" spans="1:13" s="752" customFormat="1" ht="15">
      <c r="A513" s="1461">
        <v>506</v>
      </c>
      <c r="B513" s="811"/>
      <c r="C513" s="545"/>
      <c r="D513" s="539" t="s">
        <v>957</v>
      </c>
      <c r="E513" s="782"/>
      <c r="F513" s="562"/>
      <c r="G513" s="557"/>
      <c r="H513" s="791"/>
      <c r="I513" s="607"/>
      <c r="J513" s="538">
        <v>30</v>
      </c>
      <c r="K513" s="538"/>
      <c r="L513" s="609">
        <f>SUM(I513:K513)</f>
        <v>30</v>
      </c>
      <c r="M513" s="586"/>
    </row>
    <row r="514" spans="1:13" s="753" customFormat="1" ht="15">
      <c r="A514" s="1461">
        <v>507</v>
      </c>
      <c r="B514" s="812"/>
      <c r="C514" s="1464"/>
      <c r="D514" s="541" t="s">
        <v>234</v>
      </c>
      <c r="E514" s="805"/>
      <c r="F514" s="806"/>
      <c r="G514" s="567"/>
      <c r="H514" s="745"/>
      <c r="I514" s="610"/>
      <c r="J514" s="555"/>
      <c r="K514" s="555"/>
      <c r="L514" s="611">
        <f>SUM(I514:K514)</f>
        <v>0</v>
      </c>
      <c r="M514" s="594"/>
    </row>
    <row r="515" spans="1:13" s="754" customFormat="1" ht="15">
      <c r="A515" s="1461">
        <v>508</v>
      </c>
      <c r="B515" s="577"/>
      <c r="C515" s="1465"/>
      <c r="D515" s="542" t="s">
        <v>1067</v>
      </c>
      <c r="E515" s="576"/>
      <c r="F515" s="568"/>
      <c r="G515" s="568"/>
      <c r="H515" s="746"/>
      <c r="I515" s="615">
        <f>SUM(I513:I514)</f>
        <v>0</v>
      </c>
      <c r="J515" s="568">
        <f>SUM(J513:J514)</f>
        <v>30</v>
      </c>
      <c r="K515" s="568">
        <f>SUM(K513:K514)</f>
        <v>0</v>
      </c>
      <c r="L515" s="608">
        <f>SUM(I515:K515)</f>
        <v>30</v>
      </c>
      <c r="M515" s="593">
        <v>0</v>
      </c>
    </row>
    <row r="516" spans="1:13" ht="15">
      <c r="A516" s="1461">
        <v>509</v>
      </c>
      <c r="B516" s="811"/>
      <c r="C516" s="545">
        <v>14</v>
      </c>
      <c r="D516" s="539" t="s">
        <v>984</v>
      </c>
      <c r="E516" s="782" t="s">
        <v>799</v>
      </c>
      <c r="F516" s="562">
        <f>SUM(H516,L519)</f>
        <v>25</v>
      </c>
      <c r="G516" s="562">
        <v>0</v>
      </c>
      <c r="H516" s="914">
        <v>0</v>
      </c>
      <c r="I516" s="607"/>
      <c r="J516" s="538"/>
      <c r="K516" s="538"/>
      <c r="L516" s="609"/>
      <c r="M516" s="591"/>
    </row>
    <row r="517" spans="1:13" s="1457" customFormat="1" ht="15">
      <c r="A517" s="1461">
        <v>510</v>
      </c>
      <c r="B517" s="811"/>
      <c r="C517" s="545"/>
      <c r="D517" s="539" t="s">
        <v>957</v>
      </c>
      <c r="E517" s="782"/>
      <c r="F517" s="562"/>
      <c r="G517" s="562"/>
      <c r="H517" s="914"/>
      <c r="I517" s="607"/>
      <c r="J517" s="538">
        <v>25</v>
      </c>
      <c r="K517" s="538"/>
      <c r="L517" s="609">
        <f>SUM(I517:K517)</f>
        <v>25</v>
      </c>
      <c r="M517" s="591"/>
    </row>
    <row r="518" spans="1:13" s="753" customFormat="1" ht="15">
      <c r="A518" s="1461">
        <v>511</v>
      </c>
      <c r="B518" s="812"/>
      <c r="C518" s="1464"/>
      <c r="D518" s="541" t="s">
        <v>405</v>
      </c>
      <c r="E518" s="805"/>
      <c r="F518" s="806"/>
      <c r="G518" s="567"/>
      <c r="H518" s="745"/>
      <c r="I518" s="610"/>
      <c r="J518" s="555"/>
      <c r="K518" s="555"/>
      <c r="L518" s="611">
        <f>SUM(I518:K518)</f>
        <v>0</v>
      </c>
      <c r="M518" s="594"/>
    </row>
    <row r="519" spans="1:13" s="754" customFormat="1" ht="15">
      <c r="A519" s="1461">
        <v>512</v>
      </c>
      <c r="B519" s="577"/>
      <c r="C519" s="1465"/>
      <c r="D519" s="542" t="s">
        <v>1067</v>
      </c>
      <c r="E519" s="576"/>
      <c r="F519" s="568"/>
      <c r="G519" s="568"/>
      <c r="H519" s="746"/>
      <c r="I519" s="615">
        <f>SUM(I517:I518)</f>
        <v>0</v>
      </c>
      <c r="J519" s="568">
        <f>SUM(J517:J518)</f>
        <v>25</v>
      </c>
      <c r="K519" s="568">
        <f>SUM(K517:K518)</f>
        <v>0</v>
      </c>
      <c r="L519" s="608">
        <f>SUM(L517:L518)</f>
        <v>25</v>
      </c>
      <c r="M519" s="593">
        <v>0</v>
      </c>
    </row>
    <row r="520" spans="1:13" s="752" customFormat="1" ht="15">
      <c r="A520" s="1461">
        <v>513</v>
      </c>
      <c r="B520" s="535">
        <v>1</v>
      </c>
      <c r="C520" s="545"/>
      <c r="D520" s="1726" t="s">
        <v>554</v>
      </c>
      <c r="E520" s="1728"/>
      <c r="F520" s="536"/>
      <c r="G520" s="536"/>
      <c r="H520" s="916"/>
      <c r="I520" s="607"/>
      <c r="J520" s="538"/>
      <c r="K520" s="538"/>
      <c r="L520" s="609"/>
      <c r="M520" s="589"/>
    </row>
    <row r="521" spans="1:13" s="752" customFormat="1" ht="15">
      <c r="A521" s="1461">
        <v>514</v>
      </c>
      <c r="B521" s="811"/>
      <c r="C521" s="545">
        <v>15</v>
      </c>
      <c r="D521" s="557" t="s">
        <v>297</v>
      </c>
      <c r="E521" s="782" t="s">
        <v>799</v>
      </c>
      <c r="F521" s="562">
        <f>SUM(H521,L523)</f>
        <v>1170</v>
      </c>
      <c r="G521" s="557">
        <v>0</v>
      </c>
      <c r="H521" s="913">
        <v>0</v>
      </c>
      <c r="I521" s="607"/>
      <c r="J521" s="538"/>
      <c r="K521" s="538"/>
      <c r="L521" s="609"/>
      <c r="M521" s="586"/>
    </row>
    <row r="522" spans="1:13" ht="15">
      <c r="A522" s="1461">
        <v>515</v>
      </c>
      <c r="B522" s="811"/>
      <c r="C522" s="545"/>
      <c r="D522" s="539" t="s">
        <v>403</v>
      </c>
      <c r="E522" s="788"/>
      <c r="F522" s="796"/>
      <c r="G522" s="562"/>
      <c r="H522" s="914"/>
      <c r="I522" s="607"/>
      <c r="J522" s="538">
        <v>500</v>
      </c>
      <c r="K522" s="538"/>
      <c r="L522" s="609">
        <f>SUM(I522:K522)</f>
        <v>500</v>
      </c>
      <c r="M522" s="591"/>
    </row>
    <row r="523" spans="1:13" ht="15">
      <c r="A523" s="1461">
        <v>516</v>
      </c>
      <c r="B523" s="811"/>
      <c r="C523" s="545"/>
      <c r="D523" s="539" t="s">
        <v>957</v>
      </c>
      <c r="E523" s="788"/>
      <c r="F523" s="796"/>
      <c r="G523" s="562"/>
      <c r="H523" s="914"/>
      <c r="I523" s="607"/>
      <c r="J523" s="538">
        <v>1170</v>
      </c>
      <c r="K523" s="538"/>
      <c r="L523" s="609">
        <f>SUM(I523:K523)</f>
        <v>1170</v>
      </c>
      <c r="M523" s="591"/>
    </row>
    <row r="524" spans="1:14" s="753" customFormat="1" ht="15">
      <c r="A524" s="1461">
        <v>517</v>
      </c>
      <c r="B524" s="812"/>
      <c r="C524" s="1464"/>
      <c r="D524" s="541" t="s">
        <v>405</v>
      </c>
      <c r="E524" s="782"/>
      <c r="F524" s="567"/>
      <c r="G524" s="567"/>
      <c r="H524" s="915"/>
      <c r="I524" s="610"/>
      <c r="J524" s="555"/>
      <c r="K524" s="555"/>
      <c r="L524" s="611">
        <f>SUM(I524:K524)</f>
        <v>0</v>
      </c>
      <c r="M524" s="594"/>
      <c r="N524" s="1268">
        <f>J524+J510+J506+J502+J498+J491+J487+J471+J528+J532+J514</f>
        <v>1093</v>
      </c>
    </row>
    <row r="525" spans="1:13" s="754" customFormat="1" ht="15">
      <c r="A525" s="1461">
        <v>518</v>
      </c>
      <c r="B525" s="577"/>
      <c r="C525" s="1465"/>
      <c r="D525" s="542" t="s">
        <v>1067</v>
      </c>
      <c r="E525" s="576"/>
      <c r="F525" s="568"/>
      <c r="G525" s="568"/>
      <c r="H525" s="911"/>
      <c r="I525" s="615">
        <f>SUM(I523:I524)</f>
        <v>0</v>
      </c>
      <c r="J525" s="568">
        <f>SUM(J523:J524)</f>
        <v>1170</v>
      </c>
      <c r="K525" s="568">
        <f>SUM(K523:K524)</f>
        <v>0</v>
      </c>
      <c r="L525" s="608">
        <f>SUM(I525:K525)</f>
        <v>1170</v>
      </c>
      <c r="M525" s="593">
        <f>SUM(M522:M524)</f>
        <v>0</v>
      </c>
    </row>
    <row r="526" spans="1:13" ht="15">
      <c r="A526" s="1461">
        <v>519</v>
      </c>
      <c r="B526" s="811"/>
      <c r="C526" s="545">
        <v>16</v>
      </c>
      <c r="D526" s="539" t="s">
        <v>718</v>
      </c>
      <c r="E526" s="782" t="s">
        <v>799</v>
      </c>
      <c r="F526" s="562">
        <f>SUM(H526,L529)</f>
        <v>30</v>
      </c>
      <c r="G526" s="562">
        <v>0</v>
      </c>
      <c r="H526" s="914">
        <v>0</v>
      </c>
      <c r="I526" s="607"/>
      <c r="J526" s="538"/>
      <c r="K526" s="538"/>
      <c r="L526" s="609"/>
      <c r="M526" s="591"/>
    </row>
    <row r="527" spans="1:13" s="752" customFormat="1" ht="15">
      <c r="A527" s="1461">
        <v>520</v>
      </c>
      <c r="B527" s="811"/>
      <c r="C527" s="545"/>
      <c r="D527" s="539" t="s">
        <v>957</v>
      </c>
      <c r="E527" s="782"/>
      <c r="F527" s="562"/>
      <c r="G527" s="557"/>
      <c r="H527" s="791"/>
      <c r="I527" s="607"/>
      <c r="J527" s="538">
        <v>30</v>
      </c>
      <c r="K527" s="538"/>
      <c r="L527" s="609">
        <f>SUM(I527:K527)</f>
        <v>30</v>
      </c>
      <c r="M527" s="586"/>
    </row>
    <row r="528" spans="1:13" s="753" customFormat="1" ht="15">
      <c r="A528" s="1461">
        <v>521</v>
      </c>
      <c r="B528" s="812"/>
      <c r="C528" s="1464"/>
      <c r="D528" s="541" t="s">
        <v>234</v>
      </c>
      <c r="E528" s="805"/>
      <c r="F528" s="806"/>
      <c r="G528" s="567"/>
      <c r="H528" s="745"/>
      <c r="I528" s="610"/>
      <c r="J528" s="555"/>
      <c r="K528" s="555"/>
      <c r="L528" s="611">
        <f>SUM(I528:K528)</f>
        <v>0</v>
      </c>
      <c r="M528" s="594"/>
    </row>
    <row r="529" spans="1:13" s="754" customFormat="1" ht="15">
      <c r="A529" s="1461">
        <v>522</v>
      </c>
      <c r="B529" s="577"/>
      <c r="C529" s="1465"/>
      <c r="D529" s="542" t="s">
        <v>1067</v>
      </c>
      <c r="E529" s="576"/>
      <c r="F529" s="568"/>
      <c r="G529" s="568"/>
      <c r="H529" s="746"/>
      <c r="I529" s="615">
        <f>SUM(I527:I528)</f>
        <v>0</v>
      </c>
      <c r="J529" s="568">
        <f>SUM(J527:J528)</f>
        <v>30</v>
      </c>
      <c r="K529" s="568">
        <f>SUM(K527:K528)</f>
        <v>0</v>
      </c>
      <c r="L529" s="608">
        <f>SUM(I529:K529)</f>
        <v>30</v>
      </c>
      <c r="M529" s="593"/>
    </row>
    <row r="530" spans="1:13" ht="15">
      <c r="A530" s="1461">
        <v>523</v>
      </c>
      <c r="B530" s="811"/>
      <c r="C530" s="545">
        <v>17</v>
      </c>
      <c r="D530" s="539" t="s">
        <v>719</v>
      </c>
      <c r="E530" s="782" t="s">
        <v>799</v>
      </c>
      <c r="F530" s="562">
        <f>SUM(H530,L533)</f>
        <v>49</v>
      </c>
      <c r="G530" s="562">
        <v>0</v>
      </c>
      <c r="H530" s="914">
        <v>0</v>
      </c>
      <c r="I530" s="607"/>
      <c r="J530" s="538"/>
      <c r="K530" s="538"/>
      <c r="L530" s="609"/>
      <c r="M530" s="591"/>
    </row>
    <row r="531" spans="1:13" s="752" customFormat="1" ht="15">
      <c r="A531" s="1461">
        <v>524</v>
      </c>
      <c r="B531" s="811"/>
      <c r="C531" s="545"/>
      <c r="D531" s="539" t="s">
        <v>957</v>
      </c>
      <c r="E531" s="782"/>
      <c r="F531" s="562"/>
      <c r="G531" s="557"/>
      <c r="H531" s="791"/>
      <c r="I531" s="607"/>
      <c r="J531" s="538">
        <v>49</v>
      </c>
      <c r="K531" s="538"/>
      <c r="L531" s="609">
        <f>SUM(I531:K531)</f>
        <v>49</v>
      </c>
      <c r="M531" s="586"/>
    </row>
    <row r="532" spans="1:13" s="753" customFormat="1" ht="15">
      <c r="A532" s="1461">
        <v>525</v>
      </c>
      <c r="B532" s="812"/>
      <c r="C532" s="1464"/>
      <c r="D532" s="541" t="s">
        <v>234</v>
      </c>
      <c r="E532" s="805"/>
      <c r="F532" s="806"/>
      <c r="G532" s="567"/>
      <c r="H532" s="745"/>
      <c r="I532" s="610"/>
      <c r="J532" s="555"/>
      <c r="K532" s="555"/>
      <c r="L532" s="611">
        <f>SUM(I532:K532)</f>
        <v>0</v>
      </c>
      <c r="M532" s="594"/>
    </row>
    <row r="533" spans="1:13" s="754" customFormat="1" ht="15">
      <c r="A533" s="1461">
        <v>526</v>
      </c>
      <c r="B533" s="577"/>
      <c r="C533" s="1465"/>
      <c r="D533" s="542" t="s">
        <v>1067</v>
      </c>
      <c r="E533" s="576"/>
      <c r="F533" s="568"/>
      <c r="G533" s="568"/>
      <c r="H533" s="746"/>
      <c r="I533" s="615">
        <f>SUM(I531:I532)</f>
        <v>0</v>
      </c>
      <c r="J533" s="568">
        <f>SUM(J531:J532)</f>
        <v>49</v>
      </c>
      <c r="K533" s="568">
        <f>SUM(K531:K532)</f>
        <v>0</v>
      </c>
      <c r="L533" s="608">
        <f>SUM(I533:K533)</f>
        <v>49</v>
      </c>
      <c r="M533" s="593">
        <v>0</v>
      </c>
    </row>
    <row r="534" spans="1:13" ht="15">
      <c r="A534" s="1461">
        <v>527</v>
      </c>
      <c r="B534" s="811"/>
      <c r="C534" s="545">
        <v>18</v>
      </c>
      <c r="D534" s="539" t="s">
        <v>1117</v>
      </c>
      <c r="E534" s="782" t="s">
        <v>799</v>
      </c>
      <c r="F534" s="562">
        <v>400</v>
      </c>
      <c r="G534" s="562">
        <v>0</v>
      </c>
      <c r="H534" s="914">
        <v>0</v>
      </c>
      <c r="I534" s="607"/>
      <c r="J534" s="538"/>
      <c r="K534" s="538"/>
      <c r="L534" s="609"/>
      <c r="M534" s="591"/>
    </row>
    <row r="535" spans="1:13" s="753" customFormat="1" ht="15">
      <c r="A535" s="1461">
        <v>528</v>
      </c>
      <c r="B535" s="812"/>
      <c r="C535" s="1464"/>
      <c r="D535" s="541" t="s">
        <v>234</v>
      </c>
      <c r="E535" s="806"/>
      <c r="F535" s="567"/>
      <c r="G535" s="567"/>
      <c r="H535" s="915"/>
      <c r="I535" s="610"/>
      <c r="J535" s="555">
        <v>400</v>
      </c>
      <c r="K535" s="555"/>
      <c r="L535" s="611">
        <f>SUM(I535:K535)</f>
        <v>400</v>
      </c>
      <c r="M535" s="594"/>
    </row>
    <row r="536" spans="1:13" s="754" customFormat="1" ht="15">
      <c r="A536" s="1461">
        <v>529</v>
      </c>
      <c r="B536" s="577"/>
      <c r="C536" s="1465"/>
      <c r="D536" s="542" t="s">
        <v>1067</v>
      </c>
      <c r="E536" s="780"/>
      <c r="F536" s="568"/>
      <c r="G536" s="568"/>
      <c r="H536" s="911"/>
      <c r="I536" s="615">
        <f>SUM(I535)</f>
        <v>0</v>
      </c>
      <c r="J536" s="568">
        <f>SUM(J535)</f>
        <v>400</v>
      </c>
      <c r="K536" s="568">
        <f>SUM(K535)</f>
        <v>0</v>
      </c>
      <c r="L536" s="608">
        <f>SUM(L535)</f>
        <v>400</v>
      </c>
      <c r="M536" s="593">
        <v>0</v>
      </c>
    </row>
    <row r="537" spans="1:13" ht="15">
      <c r="A537" s="1461">
        <v>530</v>
      </c>
      <c r="B537" s="811"/>
      <c r="C537" s="545">
        <v>19</v>
      </c>
      <c r="D537" s="539" t="s">
        <v>1118</v>
      </c>
      <c r="E537" s="782" t="s">
        <v>799</v>
      </c>
      <c r="F537" s="562">
        <v>152</v>
      </c>
      <c r="G537" s="562">
        <v>0</v>
      </c>
      <c r="H537" s="914">
        <v>0</v>
      </c>
      <c r="I537" s="607"/>
      <c r="J537" s="538"/>
      <c r="K537" s="538"/>
      <c r="L537" s="609"/>
      <c r="M537" s="591"/>
    </row>
    <row r="538" spans="1:13" s="753" customFormat="1" ht="15">
      <c r="A538" s="1461">
        <v>531</v>
      </c>
      <c r="B538" s="812"/>
      <c r="C538" s="1464"/>
      <c r="D538" s="541" t="s">
        <v>234</v>
      </c>
      <c r="E538" s="806"/>
      <c r="F538" s="567"/>
      <c r="G538" s="567"/>
      <c r="H538" s="915"/>
      <c r="I538" s="610"/>
      <c r="J538" s="555">
        <v>152</v>
      </c>
      <c r="K538" s="555"/>
      <c r="L538" s="611">
        <f>SUM(I538:K538)</f>
        <v>152</v>
      </c>
      <c r="M538" s="594"/>
    </row>
    <row r="539" spans="1:13" s="754" customFormat="1" ht="15">
      <c r="A539" s="1461">
        <v>532</v>
      </c>
      <c r="B539" s="577"/>
      <c r="C539" s="1465"/>
      <c r="D539" s="542" t="s">
        <v>1067</v>
      </c>
      <c r="E539" s="780"/>
      <c r="F539" s="568"/>
      <c r="G539" s="568"/>
      <c r="H539" s="911"/>
      <c r="I539" s="615">
        <f>SUM(I538)</f>
        <v>0</v>
      </c>
      <c r="J539" s="568">
        <f>SUM(J538)</f>
        <v>152</v>
      </c>
      <c r="K539" s="568">
        <f>SUM(K538)</f>
        <v>0</v>
      </c>
      <c r="L539" s="608">
        <f>SUM(L538)</f>
        <v>152</v>
      </c>
      <c r="M539" s="593">
        <v>0</v>
      </c>
    </row>
    <row r="540" spans="1:13" s="752" customFormat="1" ht="15">
      <c r="A540" s="1461">
        <v>533</v>
      </c>
      <c r="B540" s="535">
        <v>2</v>
      </c>
      <c r="C540" s="545"/>
      <c r="D540" s="536" t="s">
        <v>298</v>
      </c>
      <c r="E540" s="536"/>
      <c r="F540" s="536"/>
      <c r="G540" s="536"/>
      <c r="H540" s="916"/>
      <c r="I540" s="607"/>
      <c r="J540" s="538"/>
      <c r="K540" s="538"/>
      <c r="L540" s="609"/>
      <c r="M540" s="589"/>
    </row>
    <row r="541" spans="1:13" s="752" customFormat="1" ht="15">
      <c r="A541" s="1461">
        <v>534</v>
      </c>
      <c r="B541" s="811"/>
      <c r="C541" s="545">
        <v>1</v>
      </c>
      <c r="D541" s="557" t="s">
        <v>299</v>
      </c>
      <c r="E541" s="782" t="s">
        <v>799</v>
      </c>
      <c r="F541" s="562">
        <f>SUM(H541,L545)</f>
        <v>180</v>
      </c>
      <c r="G541" s="557">
        <v>0</v>
      </c>
      <c r="H541" s="913">
        <v>0</v>
      </c>
      <c r="I541" s="607"/>
      <c r="J541" s="538"/>
      <c r="K541" s="538"/>
      <c r="L541" s="609"/>
      <c r="M541" s="586"/>
    </row>
    <row r="542" spans="1:13" ht="15">
      <c r="A542" s="1461">
        <v>535</v>
      </c>
      <c r="B542" s="811"/>
      <c r="C542" s="545"/>
      <c r="D542" s="539" t="s">
        <v>403</v>
      </c>
      <c r="E542" s="788"/>
      <c r="F542" s="796"/>
      <c r="G542" s="562"/>
      <c r="H542" s="914"/>
      <c r="I542" s="607"/>
      <c r="J542" s="538">
        <v>90</v>
      </c>
      <c r="K542" s="538"/>
      <c r="L542" s="609">
        <f>SUM(I542:K542)</f>
        <v>90</v>
      </c>
      <c r="M542" s="591"/>
    </row>
    <row r="543" spans="1:13" ht="15">
      <c r="A543" s="1461">
        <v>536</v>
      </c>
      <c r="B543" s="811"/>
      <c r="C543" s="545"/>
      <c r="D543" s="539" t="s">
        <v>957</v>
      </c>
      <c r="E543" s="788"/>
      <c r="F543" s="796"/>
      <c r="G543" s="562"/>
      <c r="H543" s="914"/>
      <c r="I543" s="607"/>
      <c r="J543" s="538">
        <v>180</v>
      </c>
      <c r="K543" s="538"/>
      <c r="L543" s="609">
        <f>SUM(I543:K543)</f>
        <v>180</v>
      </c>
      <c r="M543" s="591"/>
    </row>
    <row r="544" spans="1:13" s="753" customFormat="1" ht="15">
      <c r="A544" s="1461">
        <v>537</v>
      </c>
      <c r="B544" s="812"/>
      <c r="C544" s="1464"/>
      <c r="D544" s="541" t="s">
        <v>405</v>
      </c>
      <c r="E544" s="782"/>
      <c r="F544" s="567"/>
      <c r="G544" s="567"/>
      <c r="H544" s="915"/>
      <c r="I544" s="610"/>
      <c r="J544" s="555"/>
      <c r="K544" s="555"/>
      <c r="L544" s="611">
        <f>SUM(I544:K544)</f>
        <v>0</v>
      </c>
      <c r="M544" s="594"/>
    </row>
    <row r="545" spans="1:13" s="754" customFormat="1" ht="15">
      <c r="A545" s="1461">
        <v>538</v>
      </c>
      <c r="B545" s="577"/>
      <c r="C545" s="1465"/>
      <c r="D545" s="542" t="s">
        <v>1067</v>
      </c>
      <c r="E545" s="576"/>
      <c r="F545" s="568"/>
      <c r="G545" s="568"/>
      <c r="H545" s="911"/>
      <c r="I545" s="615">
        <f>SUM(I543:I544)</f>
        <v>0</v>
      </c>
      <c r="J545" s="568">
        <f>SUM(J543:J544)</f>
        <v>180</v>
      </c>
      <c r="K545" s="568">
        <f>SUM(K543:K544)</f>
        <v>0</v>
      </c>
      <c r="L545" s="608">
        <f>SUM(I545:K545)</f>
        <v>180</v>
      </c>
      <c r="M545" s="593">
        <f>SUM(M542:M544)</f>
        <v>0</v>
      </c>
    </row>
    <row r="546" spans="1:13" s="752" customFormat="1" ht="15">
      <c r="A546" s="1461">
        <v>539</v>
      </c>
      <c r="B546" s="811"/>
      <c r="C546" s="545">
        <v>2</v>
      </c>
      <c r="D546" s="557" t="s">
        <v>555</v>
      </c>
      <c r="E546" s="782" t="s">
        <v>799</v>
      </c>
      <c r="F546" s="562">
        <f>SUM(H546,L550)</f>
        <v>0</v>
      </c>
      <c r="G546" s="557">
        <v>0</v>
      </c>
      <c r="H546" s="913">
        <v>0</v>
      </c>
      <c r="I546" s="607"/>
      <c r="J546" s="538"/>
      <c r="K546" s="538"/>
      <c r="L546" s="609"/>
      <c r="M546" s="586"/>
    </row>
    <row r="547" spans="1:13" ht="15">
      <c r="A547" s="1461">
        <v>540</v>
      </c>
      <c r="B547" s="811"/>
      <c r="C547" s="545"/>
      <c r="D547" s="539" t="s">
        <v>403</v>
      </c>
      <c r="E547" s="788"/>
      <c r="F547" s="796"/>
      <c r="G547" s="562"/>
      <c r="H547" s="914"/>
      <c r="I547" s="607"/>
      <c r="J547" s="538">
        <v>60</v>
      </c>
      <c r="K547" s="538"/>
      <c r="L547" s="609">
        <f>SUM(I547:K547)</f>
        <v>60</v>
      </c>
      <c r="M547" s="591"/>
    </row>
    <row r="548" spans="1:13" ht="15">
      <c r="A548" s="1461">
        <v>541</v>
      </c>
      <c r="B548" s="811"/>
      <c r="C548" s="545"/>
      <c r="D548" s="539" t="s">
        <v>957</v>
      </c>
      <c r="E548" s="788"/>
      <c r="F548" s="796"/>
      <c r="G548" s="562"/>
      <c r="H548" s="914"/>
      <c r="I548" s="607"/>
      <c r="J548" s="538">
        <v>0</v>
      </c>
      <c r="K548" s="538"/>
      <c r="L548" s="609">
        <f>SUM(I548:K548)</f>
        <v>0</v>
      </c>
      <c r="M548" s="591"/>
    </row>
    <row r="549" spans="1:13" s="753" customFormat="1" ht="15">
      <c r="A549" s="1461">
        <v>542</v>
      </c>
      <c r="B549" s="812"/>
      <c r="C549" s="1464"/>
      <c r="D549" s="541" t="s">
        <v>405</v>
      </c>
      <c r="E549" s="782"/>
      <c r="F549" s="567"/>
      <c r="G549" s="567"/>
      <c r="H549" s="915"/>
      <c r="I549" s="610"/>
      <c r="J549" s="555"/>
      <c r="K549" s="555"/>
      <c r="L549" s="611">
        <f>SUM(I549:K549)</f>
        <v>0</v>
      </c>
      <c r="M549" s="594"/>
    </row>
    <row r="550" spans="1:13" s="754" customFormat="1" ht="15">
      <c r="A550" s="1461">
        <v>543</v>
      </c>
      <c r="B550" s="577"/>
      <c r="C550" s="1465"/>
      <c r="D550" s="542" t="s">
        <v>1067</v>
      </c>
      <c r="E550" s="576"/>
      <c r="F550" s="568"/>
      <c r="G550" s="568"/>
      <c r="H550" s="911"/>
      <c r="I550" s="615">
        <f>SUM(I548:I549)</f>
        <v>0</v>
      </c>
      <c r="J550" s="568">
        <f>SUM(J548:J549)</f>
        <v>0</v>
      </c>
      <c r="K550" s="568">
        <f>SUM(K548:K549)</f>
        <v>0</v>
      </c>
      <c r="L550" s="608">
        <f>SUM(I550:K550)</f>
        <v>0</v>
      </c>
      <c r="M550" s="593">
        <f>SUM(M547:M549)</f>
        <v>0</v>
      </c>
    </row>
    <row r="551" spans="1:13" s="752" customFormat="1" ht="15">
      <c r="A551" s="1461">
        <v>544</v>
      </c>
      <c r="B551" s="811"/>
      <c r="C551" s="545">
        <v>3</v>
      </c>
      <c r="D551" s="557" t="s">
        <v>300</v>
      </c>
      <c r="E551" s="782" t="s">
        <v>799</v>
      </c>
      <c r="F551" s="562">
        <f>SUM(H551,L555)</f>
        <v>58</v>
      </c>
      <c r="G551" s="557">
        <v>0</v>
      </c>
      <c r="H551" s="913">
        <v>0</v>
      </c>
      <c r="I551" s="607"/>
      <c r="J551" s="538"/>
      <c r="K551" s="538"/>
      <c r="L551" s="609"/>
      <c r="M551" s="586"/>
    </row>
    <row r="552" spans="1:13" ht="15">
      <c r="A552" s="1461">
        <v>545</v>
      </c>
      <c r="B552" s="811"/>
      <c r="C552" s="545"/>
      <c r="D552" s="539" t="s">
        <v>403</v>
      </c>
      <c r="E552" s="788"/>
      <c r="F552" s="796"/>
      <c r="G552" s="562"/>
      <c r="H552" s="914"/>
      <c r="I552" s="607"/>
      <c r="J552" s="538">
        <v>24</v>
      </c>
      <c r="K552" s="538"/>
      <c r="L552" s="609">
        <f>SUM(I552:K552)</f>
        <v>24</v>
      </c>
      <c r="M552" s="591"/>
    </row>
    <row r="553" spans="1:13" ht="15">
      <c r="A553" s="1461">
        <v>546</v>
      </c>
      <c r="B553" s="811"/>
      <c r="C553" s="545"/>
      <c r="D553" s="539" t="s">
        <v>957</v>
      </c>
      <c r="E553" s="788"/>
      <c r="F553" s="796"/>
      <c r="G553" s="562"/>
      <c r="H553" s="914"/>
      <c r="I553" s="607"/>
      <c r="J553" s="538">
        <v>58</v>
      </c>
      <c r="K553" s="538"/>
      <c r="L553" s="609">
        <f>SUM(I553:K553)</f>
        <v>58</v>
      </c>
      <c r="M553" s="591"/>
    </row>
    <row r="554" spans="1:13" s="753" customFormat="1" ht="15">
      <c r="A554" s="1461">
        <v>547</v>
      </c>
      <c r="B554" s="812"/>
      <c r="C554" s="1464"/>
      <c r="D554" s="541" t="s">
        <v>405</v>
      </c>
      <c r="E554" s="782"/>
      <c r="F554" s="567"/>
      <c r="G554" s="567"/>
      <c r="H554" s="915"/>
      <c r="I554" s="610"/>
      <c r="J554" s="555"/>
      <c r="K554" s="555"/>
      <c r="L554" s="611">
        <f>SUM(I554:K554)</f>
        <v>0</v>
      </c>
      <c r="M554" s="594"/>
    </row>
    <row r="555" spans="1:13" s="754" customFormat="1" ht="15">
      <c r="A555" s="1461">
        <v>548</v>
      </c>
      <c r="B555" s="577"/>
      <c r="C555" s="1465"/>
      <c r="D555" s="542" t="s">
        <v>1067</v>
      </c>
      <c r="E555" s="782"/>
      <c r="F555" s="562"/>
      <c r="G555" s="568"/>
      <c r="H555" s="911"/>
      <c r="I555" s="615">
        <f>SUM(I553:I554)</f>
        <v>0</v>
      </c>
      <c r="J555" s="568">
        <f>SUM(J553:J554)</f>
        <v>58</v>
      </c>
      <c r="K555" s="568">
        <f>SUM(K553:K554)</f>
        <v>0</v>
      </c>
      <c r="L555" s="608">
        <f>SUM(I555:K555)</f>
        <v>58</v>
      </c>
      <c r="M555" s="593">
        <f>SUM(M552:M554)</f>
        <v>0</v>
      </c>
    </row>
    <row r="556" spans="1:13" s="752" customFormat="1" ht="15">
      <c r="A556" s="1461">
        <v>549</v>
      </c>
      <c r="B556" s="811"/>
      <c r="C556" s="545">
        <v>4</v>
      </c>
      <c r="D556" s="557" t="s">
        <v>692</v>
      </c>
      <c r="E556" s="779" t="s">
        <v>799</v>
      </c>
      <c r="F556" s="562">
        <f>SUM(H556,L560)</f>
        <v>0</v>
      </c>
      <c r="G556" s="557">
        <v>0</v>
      </c>
      <c r="H556" s="913">
        <v>0</v>
      </c>
      <c r="I556" s="607"/>
      <c r="J556" s="538"/>
      <c r="K556" s="538"/>
      <c r="L556" s="609"/>
      <c r="M556" s="586"/>
    </row>
    <row r="557" spans="1:13" ht="15">
      <c r="A557" s="1461">
        <v>550</v>
      </c>
      <c r="B557" s="811"/>
      <c r="C557" s="545"/>
      <c r="D557" s="539" t="s">
        <v>403</v>
      </c>
      <c r="E557" s="788"/>
      <c r="F557" s="796"/>
      <c r="G557" s="562"/>
      <c r="H557" s="914"/>
      <c r="I557" s="607"/>
      <c r="J557" s="538">
        <v>16</v>
      </c>
      <c r="K557" s="538"/>
      <c r="L557" s="609">
        <f>SUM(I557:K557)</f>
        <v>16</v>
      </c>
      <c r="M557" s="591"/>
    </row>
    <row r="558" spans="1:13" ht="15">
      <c r="A558" s="1461">
        <v>551</v>
      </c>
      <c r="B558" s="811"/>
      <c r="C558" s="545"/>
      <c r="D558" s="539" t="s">
        <v>957</v>
      </c>
      <c r="E558" s="788"/>
      <c r="F558" s="796"/>
      <c r="G558" s="562"/>
      <c r="H558" s="914"/>
      <c r="I558" s="607"/>
      <c r="J558" s="538">
        <v>0</v>
      </c>
      <c r="K558" s="538"/>
      <c r="L558" s="609">
        <f>SUM(I558:K558)</f>
        <v>0</v>
      </c>
      <c r="M558" s="591"/>
    </row>
    <row r="559" spans="1:13" s="753" customFormat="1" ht="15">
      <c r="A559" s="1461">
        <v>552</v>
      </c>
      <c r="B559" s="812"/>
      <c r="C559" s="1464"/>
      <c r="D559" s="541" t="s">
        <v>405</v>
      </c>
      <c r="E559" s="782"/>
      <c r="F559" s="567"/>
      <c r="G559" s="567"/>
      <c r="H559" s="915"/>
      <c r="I559" s="610"/>
      <c r="J559" s="555"/>
      <c r="K559" s="555"/>
      <c r="L559" s="611">
        <f>SUM(I559:K559)</f>
        <v>0</v>
      </c>
      <c r="M559" s="594"/>
    </row>
    <row r="560" spans="1:13" s="754" customFormat="1" ht="15">
      <c r="A560" s="1461">
        <v>553</v>
      </c>
      <c r="B560" s="577"/>
      <c r="C560" s="1465"/>
      <c r="D560" s="542" t="s">
        <v>1067</v>
      </c>
      <c r="E560" s="576"/>
      <c r="F560" s="568"/>
      <c r="G560" s="568"/>
      <c r="H560" s="911"/>
      <c r="I560" s="615">
        <f>SUM(I558:I559)</f>
        <v>0</v>
      </c>
      <c r="J560" s="568">
        <f>SUM(J558:J559)</f>
        <v>0</v>
      </c>
      <c r="K560" s="568">
        <f>SUM(K558:K559)</f>
        <v>0</v>
      </c>
      <c r="L560" s="608">
        <f>SUM(I560:K560)</f>
        <v>0</v>
      </c>
      <c r="M560" s="593">
        <f>SUM(M557:M559)</f>
        <v>0</v>
      </c>
    </row>
    <row r="561" spans="1:13" s="752" customFormat="1" ht="15">
      <c r="A561" s="1461">
        <v>554</v>
      </c>
      <c r="B561" s="811"/>
      <c r="C561" s="545">
        <v>5</v>
      </c>
      <c r="D561" s="557" t="s">
        <v>302</v>
      </c>
      <c r="E561" s="782" t="s">
        <v>799</v>
      </c>
      <c r="F561" s="562">
        <f>SUM(H561,L565)</f>
        <v>0</v>
      </c>
      <c r="G561" s="557">
        <v>0</v>
      </c>
      <c r="H561" s="913">
        <v>0</v>
      </c>
      <c r="I561" s="607"/>
      <c r="J561" s="538"/>
      <c r="K561" s="538"/>
      <c r="L561" s="609"/>
      <c r="M561" s="586"/>
    </row>
    <row r="562" spans="1:13" ht="15">
      <c r="A562" s="1461">
        <v>555</v>
      </c>
      <c r="B562" s="811"/>
      <c r="C562" s="545"/>
      <c r="D562" s="539" t="s">
        <v>403</v>
      </c>
      <c r="E562" s="788"/>
      <c r="F562" s="796"/>
      <c r="G562" s="562"/>
      <c r="H562" s="914"/>
      <c r="I562" s="607"/>
      <c r="J562" s="538">
        <v>8</v>
      </c>
      <c r="K562" s="538"/>
      <c r="L562" s="609">
        <f>SUM(I562:K562)</f>
        <v>8</v>
      </c>
      <c r="M562" s="591"/>
    </row>
    <row r="563" spans="1:13" ht="15">
      <c r="A563" s="1461">
        <v>556</v>
      </c>
      <c r="B563" s="811"/>
      <c r="C563" s="545"/>
      <c r="D563" s="539" t="s">
        <v>957</v>
      </c>
      <c r="E563" s="788"/>
      <c r="F563" s="796"/>
      <c r="G563" s="562"/>
      <c r="H563" s="914"/>
      <c r="I563" s="607"/>
      <c r="J563" s="538">
        <v>0</v>
      </c>
      <c r="K563" s="538"/>
      <c r="L563" s="609">
        <f>SUM(I563:K563)</f>
        <v>0</v>
      </c>
      <c r="M563" s="591"/>
    </row>
    <row r="564" spans="1:13" s="753" customFormat="1" ht="15">
      <c r="A564" s="1461">
        <v>557</v>
      </c>
      <c r="B564" s="812"/>
      <c r="C564" s="1464"/>
      <c r="D564" s="541" t="s">
        <v>405</v>
      </c>
      <c r="E564" s="782"/>
      <c r="F564" s="567"/>
      <c r="G564" s="567"/>
      <c r="H564" s="915"/>
      <c r="I564" s="610"/>
      <c r="J564" s="555"/>
      <c r="K564" s="555"/>
      <c r="L564" s="611">
        <f>SUM(I564:K564)</f>
        <v>0</v>
      </c>
      <c r="M564" s="594"/>
    </row>
    <row r="565" spans="1:13" s="754" customFormat="1" ht="15">
      <c r="A565" s="1461">
        <v>558</v>
      </c>
      <c r="B565" s="577"/>
      <c r="C565" s="1465"/>
      <c r="D565" s="542" t="s">
        <v>1067</v>
      </c>
      <c r="E565" s="782"/>
      <c r="F565" s="562"/>
      <c r="G565" s="568"/>
      <c r="H565" s="911"/>
      <c r="I565" s="615">
        <f>SUM(I563:I564)</f>
        <v>0</v>
      </c>
      <c r="J565" s="568">
        <f>SUM(J563:J564)</f>
        <v>0</v>
      </c>
      <c r="K565" s="568">
        <f>SUM(K563:K564)</f>
        <v>0</v>
      </c>
      <c r="L565" s="608">
        <f>SUM(I565:K565)</f>
        <v>0</v>
      </c>
      <c r="M565" s="593">
        <f>SUM(M562:M564)</f>
        <v>0</v>
      </c>
    </row>
    <row r="566" spans="1:13" s="752" customFormat="1" ht="15">
      <c r="A566" s="1461">
        <v>559</v>
      </c>
      <c r="B566" s="811"/>
      <c r="C566" s="545">
        <v>6</v>
      </c>
      <c r="D566" s="557" t="s">
        <v>303</v>
      </c>
      <c r="E566" s="779" t="s">
        <v>799</v>
      </c>
      <c r="F566" s="562">
        <f>SUM(H566,L570)</f>
        <v>0</v>
      </c>
      <c r="G566" s="557">
        <v>0</v>
      </c>
      <c r="H566" s="913">
        <v>0</v>
      </c>
      <c r="I566" s="607"/>
      <c r="J566" s="538"/>
      <c r="K566" s="538"/>
      <c r="L566" s="609"/>
      <c r="M566" s="586"/>
    </row>
    <row r="567" spans="1:13" ht="15">
      <c r="A567" s="1461">
        <v>560</v>
      </c>
      <c r="B567" s="811"/>
      <c r="C567" s="545"/>
      <c r="D567" s="539" t="s">
        <v>403</v>
      </c>
      <c r="E567" s="788"/>
      <c r="F567" s="796"/>
      <c r="G567" s="562"/>
      <c r="H567" s="914"/>
      <c r="I567" s="607"/>
      <c r="J567" s="538">
        <v>8</v>
      </c>
      <c r="K567" s="538"/>
      <c r="L567" s="609">
        <f>SUM(I567:K567)</f>
        <v>8</v>
      </c>
      <c r="M567" s="591"/>
    </row>
    <row r="568" spans="1:13" ht="15">
      <c r="A568" s="1461">
        <v>561</v>
      </c>
      <c r="B568" s="811"/>
      <c r="C568" s="545"/>
      <c r="D568" s="539" t="s">
        <v>957</v>
      </c>
      <c r="E568" s="788"/>
      <c r="F568" s="796"/>
      <c r="G568" s="562"/>
      <c r="H568" s="914"/>
      <c r="I568" s="607"/>
      <c r="J568" s="538">
        <v>0</v>
      </c>
      <c r="K568" s="538"/>
      <c r="L568" s="609">
        <f>SUM(I568:K568)</f>
        <v>0</v>
      </c>
      <c r="M568" s="591"/>
    </row>
    <row r="569" spans="1:13" s="753" customFormat="1" ht="15">
      <c r="A569" s="1461">
        <v>562</v>
      </c>
      <c r="B569" s="812"/>
      <c r="C569" s="1464"/>
      <c r="D569" s="541" t="s">
        <v>405</v>
      </c>
      <c r="E569" s="782"/>
      <c r="F569" s="567"/>
      <c r="G569" s="567"/>
      <c r="H569" s="915"/>
      <c r="I569" s="610"/>
      <c r="J569" s="555"/>
      <c r="K569" s="555"/>
      <c r="L569" s="611">
        <f>SUM(I569:K569)</f>
        <v>0</v>
      </c>
      <c r="M569" s="594"/>
    </row>
    <row r="570" spans="1:13" s="754" customFormat="1" ht="15">
      <c r="A570" s="1461">
        <v>563</v>
      </c>
      <c r="B570" s="577"/>
      <c r="C570" s="1465"/>
      <c r="D570" s="542" t="s">
        <v>1067</v>
      </c>
      <c r="E570" s="576"/>
      <c r="F570" s="568"/>
      <c r="G570" s="568"/>
      <c r="H570" s="911"/>
      <c r="I570" s="615">
        <f>SUM(I568:I569)</f>
        <v>0</v>
      </c>
      <c r="J570" s="568">
        <f>SUM(J568:J569)</f>
        <v>0</v>
      </c>
      <c r="K570" s="568">
        <f>SUM(K568:K569)</f>
        <v>0</v>
      </c>
      <c r="L570" s="608">
        <f>SUM(I570:K570)</f>
        <v>0</v>
      </c>
      <c r="M570" s="593">
        <f>SUM(M567:M569)</f>
        <v>0</v>
      </c>
    </row>
    <row r="571" spans="1:13" s="752" customFormat="1" ht="15">
      <c r="A571" s="1461">
        <v>564</v>
      </c>
      <c r="B571" s="811"/>
      <c r="C571" s="545">
        <v>7</v>
      </c>
      <c r="D571" s="557" t="s">
        <v>711</v>
      </c>
      <c r="E571" s="782" t="s">
        <v>799</v>
      </c>
      <c r="F571" s="562">
        <f>SUM(H571,L575)</f>
        <v>0</v>
      </c>
      <c r="G571" s="557">
        <v>0</v>
      </c>
      <c r="H571" s="913">
        <v>0</v>
      </c>
      <c r="I571" s="607"/>
      <c r="J571" s="538"/>
      <c r="K571" s="538"/>
      <c r="L571" s="609"/>
      <c r="M571" s="586"/>
    </row>
    <row r="572" spans="1:13" ht="15">
      <c r="A572" s="1461">
        <v>565</v>
      </c>
      <c r="B572" s="811"/>
      <c r="C572" s="545"/>
      <c r="D572" s="539" t="s">
        <v>403</v>
      </c>
      <c r="E572" s="788"/>
      <c r="F572" s="796"/>
      <c r="G572" s="562"/>
      <c r="H572" s="914"/>
      <c r="I572" s="607"/>
      <c r="J572" s="538">
        <v>29</v>
      </c>
      <c r="K572" s="538"/>
      <c r="L572" s="609">
        <f>SUM(I572:K572)</f>
        <v>29</v>
      </c>
      <c r="M572" s="591"/>
    </row>
    <row r="573" spans="1:13" ht="15">
      <c r="A573" s="1461">
        <v>566</v>
      </c>
      <c r="B573" s="811"/>
      <c r="C573" s="545"/>
      <c r="D573" s="539" t="s">
        <v>957</v>
      </c>
      <c r="E573" s="788"/>
      <c r="F573" s="796"/>
      <c r="G573" s="562"/>
      <c r="H573" s="914"/>
      <c r="I573" s="607"/>
      <c r="J573" s="538">
        <v>0</v>
      </c>
      <c r="K573" s="538"/>
      <c r="L573" s="609">
        <f>SUM(I573:K573)</f>
        <v>0</v>
      </c>
      <c r="M573" s="591"/>
    </row>
    <row r="574" spans="1:13" s="753" customFormat="1" ht="15">
      <c r="A574" s="1461">
        <v>567</v>
      </c>
      <c r="B574" s="812"/>
      <c r="C574" s="1464"/>
      <c r="D574" s="541" t="s">
        <v>405</v>
      </c>
      <c r="E574" s="782"/>
      <c r="F574" s="567"/>
      <c r="G574" s="567"/>
      <c r="H574" s="915"/>
      <c r="I574" s="610"/>
      <c r="J574" s="555"/>
      <c r="K574" s="555"/>
      <c r="L574" s="611">
        <f>SUM(I574:K574)</f>
        <v>0</v>
      </c>
      <c r="M574" s="594"/>
    </row>
    <row r="575" spans="1:13" s="754" customFormat="1" ht="15">
      <c r="A575" s="1461">
        <v>568</v>
      </c>
      <c r="B575" s="577"/>
      <c r="C575" s="1465"/>
      <c r="D575" s="542" t="s">
        <v>1067</v>
      </c>
      <c r="E575" s="576"/>
      <c r="F575" s="568"/>
      <c r="G575" s="568"/>
      <c r="H575" s="911"/>
      <c r="I575" s="615">
        <f>SUM(I573:I574)</f>
        <v>0</v>
      </c>
      <c r="J575" s="568">
        <f>SUM(J573:J574)</f>
        <v>0</v>
      </c>
      <c r="K575" s="568">
        <f>SUM(K573:K574)</f>
        <v>0</v>
      </c>
      <c r="L575" s="608">
        <f>SUM(I575:K575)</f>
        <v>0</v>
      </c>
      <c r="M575" s="593">
        <f>SUM(M572:M574)</f>
        <v>0</v>
      </c>
    </row>
    <row r="576" spans="1:13" s="752" customFormat="1" ht="15">
      <c r="A576" s="1461">
        <v>569</v>
      </c>
      <c r="B576" s="811"/>
      <c r="C576" s="545">
        <v>8</v>
      </c>
      <c r="D576" s="557" t="s">
        <v>304</v>
      </c>
      <c r="E576" s="782" t="s">
        <v>799</v>
      </c>
      <c r="F576" s="562">
        <f>SUM(H576,L580)</f>
        <v>0</v>
      </c>
      <c r="G576" s="557">
        <v>0</v>
      </c>
      <c r="H576" s="913">
        <v>0</v>
      </c>
      <c r="I576" s="607"/>
      <c r="J576" s="538"/>
      <c r="K576" s="538"/>
      <c r="L576" s="609"/>
      <c r="M576" s="586"/>
    </row>
    <row r="577" spans="1:13" ht="15">
      <c r="A577" s="1461">
        <v>570</v>
      </c>
      <c r="B577" s="811"/>
      <c r="C577" s="545"/>
      <c r="D577" s="539" t="s">
        <v>403</v>
      </c>
      <c r="E577" s="782"/>
      <c r="F577" s="567"/>
      <c r="G577" s="562"/>
      <c r="H577" s="914"/>
      <c r="I577" s="607"/>
      <c r="J577" s="538">
        <v>48</v>
      </c>
      <c r="K577" s="538"/>
      <c r="L577" s="609">
        <f>SUM(I577:K577)</f>
        <v>48</v>
      </c>
      <c r="M577" s="591"/>
    </row>
    <row r="578" spans="1:13" ht="15">
      <c r="A578" s="1461">
        <v>571</v>
      </c>
      <c r="B578" s="811"/>
      <c r="C578" s="545"/>
      <c r="D578" s="539" t="s">
        <v>957</v>
      </c>
      <c r="E578" s="782"/>
      <c r="F578" s="567"/>
      <c r="G578" s="562"/>
      <c r="H578" s="914"/>
      <c r="I578" s="607"/>
      <c r="J578" s="538">
        <v>0</v>
      </c>
      <c r="K578" s="538"/>
      <c r="L578" s="609">
        <f>SUM(I578:K578)</f>
        <v>0</v>
      </c>
      <c r="M578" s="591"/>
    </row>
    <row r="579" spans="1:13" s="753" customFormat="1" ht="15">
      <c r="A579" s="1461">
        <v>572</v>
      </c>
      <c r="B579" s="812"/>
      <c r="C579" s="1464"/>
      <c r="D579" s="541" t="s">
        <v>405</v>
      </c>
      <c r="E579" s="576"/>
      <c r="F579" s="568"/>
      <c r="G579" s="567"/>
      <c r="H579" s="915"/>
      <c r="I579" s="610"/>
      <c r="J579" s="555"/>
      <c r="K579" s="555"/>
      <c r="L579" s="611">
        <f>SUM(I579:K579)</f>
        <v>0</v>
      </c>
      <c r="M579" s="594"/>
    </row>
    <row r="580" spans="1:13" s="754" customFormat="1" ht="15">
      <c r="A580" s="1461">
        <v>573</v>
      </c>
      <c r="B580" s="577"/>
      <c r="C580" s="1465"/>
      <c r="D580" s="542" t="s">
        <v>1067</v>
      </c>
      <c r="E580" s="779"/>
      <c r="F580" s="557"/>
      <c r="G580" s="568"/>
      <c r="H580" s="911"/>
      <c r="I580" s="615">
        <f>SUM(I578:I579)</f>
        <v>0</v>
      </c>
      <c r="J580" s="568">
        <f>SUM(J578:J579)</f>
        <v>0</v>
      </c>
      <c r="K580" s="568">
        <f>SUM(K578:K579)</f>
        <v>0</v>
      </c>
      <c r="L580" s="608">
        <f>SUM(I580:K580)</f>
        <v>0</v>
      </c>
      <c r="M580" s="593">
        <f>SUM(M577:M579)</f>
        <v>0</v>
      </c>
    </row>
    <row r="581" spans="1:13" s="752" customFormat="1" ht="15">
      <c r="A581" s="1461">
        <v>574</v>
      </c>
      <c r="B581" s="811"/>
      <c r="C581" s="545">
        <v>9</v>
      </c>
      <c r="D581" s="557" t="s">
        <v>305</v>
      </c>
      <c r="E581" s="782" t="s">
        <v>799</v>
      </c>
      <c r="F581" s="562">
        <f>SUM(H581,L585)</f>
        <v>0</v>
      </c>
      <c r="G581" s="557">
        <v>0</v>
      </c>
      <c r="H581" s="913">
        <v>0</v>
      </c>
      <c r="I581" s="607"/>
      <c r="J581" s="538"/>
      <c r="K581" s="538"/>
      <c r="L581" s="609"/>
      <c r="M581" s="586"/>
    </row>
    <row r="582" spans="1:13" ht="15">
      <c r="A582" s="1461">
        <v>575</v>
      </c>
      <c r="B582" s="811"/>
      <c r="C582" s="545"/>
      <c r="D582" s="539" t="s">
        <v>403</v>
      </c>
      <c r="E582" s="782"/>
      <c r="F582" s="567"/>
      <c r="G582" s="562"/>
      <c r="H582" s="914"/>
      <c r="I582" s="607"/>
      <c r="J582" s="538">
        <v>92</v>
      </c>
      <c r="K582" s="538"/>
      <c r="L582" s="609">
        <f>SUM(I582:K582)</f>
        <v>92</v>
      </c>
      <c r="M582" s="591"/>
    </row>
    <row r="583" spans="1:13" ht="15">
      <c r="A583" s="1461">
        <v>576</v>
      </c>
      <c r="B583" s="811"/>
      <c r="C583" s="545"/>
      <c r="D583" s="539" t="s">
        <v>957</v>
      </c>
      <c r="E583" s="782"/>
      <c r="F583" s="567"/>
      <c r="G583" s="562"/>
      <c r="H583" s="914"/>
      <c r="I583" s="607"/>
      <c r="J583" s="538">
        <v>0</v>
      </c>
      <c r="K583" s="538"/>
      <c r="L583" s="609">
        <f>SUM(I583:K583)</f>
        <v>0</v>
      </c>
      <c r="M583" s="591"/>
    </row>
    <row r="584" spans="1:13" s="753" customFormat="1" ht="15">
      <c r="A584" s="1461">
        <v>577</v>
      </c>
      <c r="B584" s="812"/>
      <c r="C584" s="1464"/>
      <c r="D584" s="541" t="s">
        <v>1003</v>
      </c>
      <c r="E584" s="576"/>
      <c r="F584" s="568"/>
      <c r="G584" s="567"/>
      <c r="H584" s="915"/>
      <c r="I584" s="610"/>
      <c r="J584" s="555"/>
      <c r="K584" s="555"/>
      <c r="L584" s="611">
        <f>SUM(I584:K584)</f>
        <v>0</v>
      </c>
      <c r="M584" s="594"/>
    </row>
    <row r="585" spans="1:13" s="754" customFormat="1" ht="15">
      <c r="A585" s="1461">
        <v>578</v>
      </c>
      <c r="B585" s="577"/>
      <c r="C585" s="1465"/>
      <c r="D585" s="542" t="s">
        <v>1067</v>
      </c>
      <c r="E585" s="779"/>
      <c r="F585" s="557"/>
      <c r="G585" s="568"/>
      <c r="H585" s="911"/>
      <c r="I585" s="615">
        <f>SUM(I583:I584)</f>
        <v>0</v>
      </c>
      <c r="J585" s="568">
        <f>SUM(J583:J584)</f>
        <v>0</v>
      </c>
      <c r="K585" s="568">
        <f>SUM(K583:K584)</f>
        <v>0</v>
      </c>
      <c r="L585" s="608">
        <f>SUM(I585:K585)</f>
        <v>0</v>
      </c>
      <c r="M585" s="593">
        <f>SUM(M582:M584)</f>
        <v>0</v>
      </c>
    </row>
    <row r="586" spans="1:13" s="752" customFormat="1" ht="15">
      <c r="A586" s="1461">
        <v>579</v>
      </c>
      <c r="B586" s="811"/>
      <c r="C586" s="545">
        <v>10</v>
      </c>
      <c r="D586" s="557" t="s">
        <v>306</v>
      </c>
      <c r="E586" s="782" t="s">
        <v>799</v>
      </c>
      <c r="F586" s="562">
        <f>SUM(H586,L590)</f>
        <v>85</v>
      </c>
      <c r="G586" s="557">
        <v>0</v>
      </c>
      <c r="H586" s="913">
        <v>0</v>
      </c>
      <c r="I586" s="607"/>
      <c r="J586" s="538"/>
      <c r="K586" s="538"/>
      <c r="L586" s="609"/>
      <c r="M586" s="586"/>
    </row>
    <row r="587" spans="1:13" ht="15">
      <c r="A587" s="1461">
        <v>580</v>
      </c>
      <c r="B587" s="811"/>
      <c r="C587" s="545"/>
      <c r="D587" s="539" t="s">
        <v>403</v>
      </c>
      <c r="E587" s="782"/>
      <c r="F587" s="567"/>
      <c r="G587" s="562"/>
      <c r="H587" s="914"/>
      <c r="I587" s="607"/>
      <c r="J587" s="538">
        <v>85</v>
      </c>
      <c r="K587" s="538"/>
      <c r="L587" s="609">
        <f>SUM(I587:K587)</f>
        <v>85</v>
      </c>
      <c r="M587" s="591"/>
    </row>
    <row r="588" spans="1:13" ht="15">
      <c r="A588" s="1461">
        <v>581</v>
      </c>
      <c r="B588" s="811"/>
      <c r="C588" s="545"/>
      <c r="D588" s="539" t="s">
        <v>957</v>
      </c>
      <c r="E588" s="782"/>
      <c r="F588" s="567"/>
      <c r="G588" s="562"/>
      <c r="H588" s="914"/>
      <c r="I588" s="607"/>
      <c r="J588" s="538">
        <v>85</v>
      </c>
      <c r="K588" s="538"/>
      <c r="L588" s="609">
        <f>SUM(I588:K588)</f>
        <v>85</v>
      </c>
      <c r="M588" s="591"/>
    </row>
    <row r="589" spans="1:13" s="753" customFormat="1" ht="15">
      <c r="A589" s="1461">
        <v>582</v>
      </c>
      <c r="B589" s="812"/>
      <c r="C589" s="1464"/>
      <c r="D589" s="541" t="s">
        <v>405</v>
      </c>
      <c r="E589" s="576"/>
      <c r="F589" s="568"/>
      <c r="G589" s="567"/>
      <c r="H589" s="915"/>
      <c r="I589" s="610"/>
      <c r="J589" s="555"/>
      <c r="K589" s="555"/>
      <c r="L589" s="611">
        <f>SUM(I589:K589)</f>
        <v>0</v>
      </c>
      <c r="M589" s="594"/>
    </row>
    <row r="590" spans="1:13" s="754" customFormat="1" ht="15">
      <c r="A590" s="1461">
        <v>583</v>
      </c>
      <c r="B590" s="577"/>
      <c r="C590" s="1465"/>
      <c r="D590" s="542" t="s">
        <v>1067</v>
      </c>
      <c r="E590" s="779"/>
      <c r="F590" s="557"/>
      <c r="G590" s="568"/>
      <c r="H590" s="911"/>
      <c r="I590" s="615">
        <f>SUM(I588:I589)</f>
        <v>0</v>
      </c>
      <c r="J590" s="568">
        <f>SUM(J588:J589)</f>
        <v>85</v>
      </c>
      <c r="K590" s="568">
        <f>SUM(K588:K589)</f>
        <v>0</v>
      </c>
      <c r="L590" s="608">
        <f>SUM(I590:K590)</f>
        <v>85</v>
      </c>
      <c r="M590" s="593">
        <f>SUM(M587:M589)</f>
        <v>0</v>
      </c>
    </row>
    <row r="591" spans="1:13" s="752" customFormat="1" ht="15">
      <c r="A591" s="1461">
        <v>584</v>
      </c>
      <c r="B591" s="811"/>
      <c r="C591" s="545">
        <v>11</v>
      </c>
      <c r="D591" s="557" t="s">
        <v>985</v>
      </c>
      <c r="E591" s="782" t="s">
        <v>799</v>
      </c>
      <c r="F591" s="562">
        <f>SUM(H591,L594)</f>
        <v>250</v>
      </c>
      <c r="G591" s="557">
        <v>0</v>
      </c>
      <c r="H591" s="913">
        <v>0</v>
      </c>
      <c r="I591" s="607"/>
      <c r="J591" s="538"/>
      <c r="K591" s="538"/>
      <c r="L591" s="609"/>
      <c r="M591" s="586"/>
    </row>
    <row r="592" spans="1:13" s="1458" customFormat="1" ht="15">
      <c r="A592" s="1461">
        <v>585</v>
      </c>
      <c r="B592" s="811"/>
      <c r="C592" s="545"/>
      <c r="D592" s="539" t="s">
        <v>957</v>
      </c>
      <c r="E592" s="782"/>
      <c r="F592" s="562"/>
      <c r="G592" s="557"/>
      <c r="H592" s="913"/>
      <c r="I592" s="607"/>
      <c r="J592" s="538">
        <v>250</v>
      </c>
      <c r="K592" s="538"/>
      <c r="L592" s="609">
        <f>SUM(I592:K592)</f>
        <v>250</v>
      </c>
      <c r="M592" s="586"/>
    </row>
    <row r="593" spans="1:13" s="753" customFormat="1" ht="15">
      <c r="A593" s="1461">
        <v>586</v>
      </c>
      <c r="B593" s="812"/>
      <c r="C593" s="1464"/>
      <c r="D593" s="541" t="s">
        <v>405</v>
      </c>
      <c r="E593" s="576"/>
      <c r="F593" s="568"/>
      <c r="G593" s="567"/>
      <c r="H593" s="915"/>
      <c r="I593" s="610"/>
      <c r="J593" s="555"/>
      <c r="K593" s="555"/>
      <c r="L593" s="611">
        <f>SUM(I593:K593)</f>
        <v>0</v>
      </c>
      <c r="M593" s="594"/>
    </row>
    <row r="594" spans="1:13" s="754" customFormat="1" ht="15">
      <c r="A594" s="1461">
        <v>587</v>
      </c>
      <c r="B594" s="577"/>
      <c r="C594" s="1465"/>
      <c r="D594" s="542" t="s">
        <v>1067</v>
      </c>
      <c r="E594" s="779"/>
      <c r="F594" s="557"/>
      <c r="G594" s="568"/>
      <c r="H594" s="911"/>
      <c r="I594" s="568">
        <f>SUM(I592:I593)</f>
        <v>0</v>
      </c>
      <c r="J594" s="568">
        <f>SUM(J592:J593)</f>
        <v>250</v>
      </c>
      <c r="K594" s="568">
        <f>SUM(K592:K593)</f>
        <v>0</v>
      </c>
      <c r="L594" s="568">
        <f>SUM(L592:L593)</f>
        <v>250</v>
      </c>
      <c r="M594" s="593">
        <v>0</v>
      </c>
    </row>
    <row r="595" spans="1:13" ht="15">
      <c r="A595" s="1461">
        <v>588</v>
      </c>
      <c r="B595" s="811"/>
      <c r="C595" s="545">
        <v>12</v>
      </c>
      <c r="D595" s="539" t="s">
        <v>760</v>
      </c>
      <c r="E595" s="782" t="s">
        <v>799</v>
      </c>
      <c r="F595" s="562">
        <f>SUM(H595,L598)</f>
        <v>300</v>
      </c>
      <c r="G595" s="562">
        <v>0</v>
      </c>
      <c r="H595" s="914">
        <v>0</v>
      </c>
      <c r="I595" s="607"/>
      <c r="J595" s="538"/>
      <c r="K595" s="538"/>
      <c r="L595" s="609"/>
      <c r="M595" s="591"/>
    </row>
    <row r="596" spans="1:13" ht="15">
      <c r="A596" s="1461">
        <v>589</v>
      </c>
      <c r="B596" s="811"/>
      <c r="C596" s="545"/>
      <c r="D596" s="539" t="s">
        <v>957</v>
      </c>
      <c r="E596" s="782"/>
      <c r="F596" s="562"/>
      <c r="G596" s="562"/>
      <c r="H596" s="914"/>
      <c r="I596" s="607"/>
      <c r="J596" s="538">
        <v>300</v>
      </c>
      <c r="K596" s="538"/>
      <c r="L596" s="609">
        <f>SUM(I596:K596)</f>
        <v>300</v>
      </c>
      <c r="M596" s="591"/>
    </row>
    <row r="597" spans="1:13" s="753" customFormat="1" ht="15">
      <c r="A597" s="1461">
        <v>590</v>
      </c>
      <c r="B597" s="812"/>
      <c r="C597" s="1464"/>
      <c r="D597" s="541" t="s">
        <v>405</v>
      </c>
      <c r="E597" s="806"/>
      <c r="F597" s="806"/>
      <c r="G597" s="567"/>
      <c r="H597" s="915"/>
      <c r="I597" s="610"/>
      <c r="J597" s="555"/>
      <c r="K597" s="555"/>
      <c r="L597" s="611">
        <f>SUM(I597:K597)</f>
        <v>0</v>
      </c>
      <c r="M597" s="594"/>
    </row>
    <row r="598" spans="1:13" s="754" customFormat="1" ht="15">
      <c r="A598" s="1461">
        <v>591</v>
      </c>
      <c r="B598" s="577"/>
      <c r="C598" s="1465"/>
      <c r="D598" s="542" t="s">
        <v>1067</v>
      </c>
      <c r="E598" s="780"/>
      <c r="F598" s="568"/>
      <c r="G598" s="568"/>
      <c r="H598" s="911"/>
      <c r="I598" s="615">
        <f>SUM(I596:I597)</f>
        <v>0</v>
      </c>
      <c r="J598" s="568">
        <f>SUM(J596:J597)</f>
        <v>300</v>
      </c>
      <c r="K598" s="568">
        <f>SUM(K596:K597)</f>
        <v>0</v>
      </c>
      <c r="L598" s="608">
        <f>SUM(I598:K598)</f>
        <v>300</v>
      </c>
      <c r="M598" s="593">
        <f>SUM(M597)</f>
        <v>0</v>
      </c>
    </row>
    <row r="599" spans="1:13" ht="15">
      <c r="A599" s="1461">
        <v>592</v>
      </c>
      <c r="B599" s="811"/>
      <c r="C599" s="545">
        <v>13</v>
      </c>
      <c r="D599" s="539" t="s">
        <v>705</v>
      </c>
      <c r="E599" s="782" t="s">
        <v>799</v>
      </c>
      <c r="F599" s="562">
        <f>SUM(H599,L602)</f>
        <v>1800</v>
      </c>
      <c r="G599" s="562">
        <v>0</v>
      </c>
      <c r="H599" s="914">
        <v>0</v>
      </c>
      <c r="I599" s="607"/>
      <c r="J599" s="538"/>
      <c r="K599" s="538"/>
      <c r="L599" s="608"/>
      <c r="M599" s="591"/>
    </row>
    <row r="600" spans="1:13" s="752" customFormat="1" ht="15">
      <c r="A600" s="1461">
        <v>593</v>
      </c>
      <c r="B600" s="811"/>
      <c r="C600" s="545"/>
      <c r="D600" s="539" t="s">
        <v>957</v>
      </c>
      <c r="E600" s="782"/>
      <c r="F600" s="562"/>
      <c r="G600" s="557"/>
      <c r="H600" s="791"/>
      <c r="I600" s="607"/>
      <c r="J600" s="538">
        <v>1800</v>
      </c>
      <c r="K600" s="538"/>
      <c r="L600" s="609">
        <f aca="true" t="shared" si="2" ref="L600:L630">SUM(I600:K600)</f>
        <v>1800</v>
      </c>
      <c r="M600" s="586"/>
    </row>
    <row r="601" spans="1:13" s="753" customFormat="1" ht="15">
      <c r="A601" s="1461">
        <v>594</v>
      </c>
      <c r="B601" s="812"/>
      <c r="C601" s="1464"/>
      <c r="D601" s="541" t="s">
        <v>405</v>
      </c>
      <c r="E601" s="805"/>
      <c r="F601" s="806"/>
      <c r="G601" s="567"/>
      <c r="H601" s="745"/>
      <c r="I601" s="610"/>
      <c r="J601" s="555"/>
      <c r="K601" s="555"/>
      <c r="L601" s="611">
        <f t="shared" si="2"/>
        <v>0</v>
      </c>
      <c r="M601" s="594"/>
    </row>
    <row r="602" spans="1:13" s="754" customFormat="1" ht="15">
      <c r="A602" s="1461">
        <v>595</v>
      </c>
      <c r="B602" s="577"/>
      <c r="C602" s="1465"/>
      <c r="D602" s="542" t="s">
        <v>1067</v>
      </c>
      <c r="E602" s="576"/>
      <c r="F602" s="568"/>
      <c r="G602" s="568"/>
      <c r="H602" s="746"/>
      <c r="I602" s="615">
        <f>SUM(I600:I601)</f>
        <v>0</v>
      </c>
      <c r="J602" s="568">
        <f>SUM(J600:J601)</f>
        <v>1800</v>
      </c>
      <c r="K602" s="568">
        <f>SUM(K600:K601)</f>
        <v>0</v>
      </c>
      <c r="L602" s="608">
        <f t="shared" si="2"/>
        <v>1800</v>
      </c>
      <c r="M602" s="593">
        <v>0</v>
      </c>
    </row>
    <row r="603" spans="1:13" ht="15">
      <c r="A603" s="1461">
        <v>596</v>
      </c>
      <c r="B603" s="811"/>
      <c r="C603" s="545">
        <v>14</v>
      </c>
      <c r="D603" s="539" t="s">
        <v>704</v>
      </c>
      <c r="E603" s="782" t="s">
        <v>799</v>
      </c>
      <c r="F603" s="562">
        <f>SUM(H603,L606)</f>
        <v>713</v>
      </c>
      <c r="G603" s="562">
        <v>0</v>
      </c>
      <c r="H603" s="914">
        <v>0</v>
      </c>
      <c r="I603" s="607"/>
      <c r="J603" s="538"/>
      <c r="K603" s="538"/>
      <c r="L603" s="608"/>
      <c r="M603" s="591"/>
    </row>
    <row r="604" spans="1:13" s="752" customFormat="1" ht="15">
      <c r="A604" s="1461">
        <v>597</v>
      </c>
      <c r="B604" s="811"/>
      <c r="C604" s="545"/>
      <c r="D604" s="539" t="s">
        <v>957</v>
      </c>
      <c r="E604" s="782"/>
      <c r="F604" s="562"/>
      <c r="G604" s="557"/>
      <c r="H604" s="791"/>
      <c r="I604" s="607"/>
      <c r="J604" s="538">
        <v>713</v>
      </c>
      <c r="K604" s="538"/>
      <c r="L604" s="609">
        <f t="shared" si="2"/>
        <v>713</v>
      </c>
      <c r="M604" s="586"/>
    </row>
    <row r="605" spans="1:13" s="753" customFormat="1" ht="15">
      <c r="A605" s="1461">
        <v>598</v>
      </c>
      <c r="B605" s="812"/>
      <c r="C605" s="1464"/>
      <c r="D605" s="541" t="s">
        <v>405</v>
      </c>
      <c r="E605" s="805"/>
      <c r="F605" s="806"/>
      <c r="G605" s="567"/>
      <c r="H605" s="745"/>
      <c r="I605" s="610"/>
      <c r="J605" s="555"/>
      <c r="K605" s="555"/>
      <c r="L605" s="611">
        <f t="shared" si="2"/>
        <v>0</v>
      </c>
      <c r="M605" s="594"/>
    </row>
    <row r="606" spans="1:13" s="754" customFormat="1" ht="15">
      <c r="A606" s="1461">
        <v>599</v>
      </c>
      <c r="B606" s="577"/>
      <c r="C606" s="1465"/>
      <c r="D606" s="542" t="s">
        <v>1067</v>
      </c>
      <c r="E606" s="576"/>
      <c r="F606" s="568"/>
      <c r="G606" s="568"/>
      <c r="H606" s="746"/>
      <c r="I606" s="615">
        <f>SUM(I604:I605)</f>
        <v>0</v>
      </c>
      <c r="J606" s="568">
        <f>SUM(J604:J605)</f>
        <v>713</v>
      </c>
      <c r="K606" s="568">
        <f>SUM(K604:K605)</f>
        <v>0</v>
      </c>
      <c r="L606" s="608">
        <f t="shared" si="2"/>
        <v>713</v>
      </c>
      <c r="M606" s="593">
        <v>0</v>
      </c>
    </row>
    <row r="607" spans="1:13" ht="15">
      <c r="A607" s="1461">
        <v>600</v>
      </c>
      <c r="B607" s="811"/>
      <c r="C607" s="545">
        <v>15</v>
      </c>
      <c r="D607" s="539" t="s">
        <v>706</v>
      </c>
      <c r="E607" s="782" t="s">
        <v>799</v>
      </c>
      <c r="F607" s="562">
        <f>SUM(H607,L610)</f>
        <v>566</v>
      </c>
      <c r="G607" s="562">
        <v>0</v>
      </c>
      <c r="H607" s="914">
        <v>0</v>
      </c>
      <c r="I607" s="607"/>
      <c r="J607" s="538"/>
      <c r="K607" s="538"/>
      <c r="L607" s="608"/>
      <c r="M607" s="591"/>
    </row>
    <row r="608" spans="1:13" s="752" customFormat="1" ht="15">
      <c r="A608" s="1461">
        <v>601</v>
      </c>
      <c r="B608" s="811"/>
      <c r="C608" s="545"/>
      <c r="D608" s="539" t="s">
        <v>957</v>
      </c>
      <c r="E608" s="782"/>
      <c r="F608" s="562"/>
      <c r="G608" s="557"/>
      <c r="H608" s="791"/>
      <c r="I608" s="607"/>
      <c r="J608" s="538">
        <v>566</v>
      </c>
      <c r="K608" s="538"/>
      <c r="L608" s="609">
        <f t="shared" si="2"/>
        <v>566</v>
      </c>
      <c r="M608" s="586"/>
    </row>
    <row r="609" spans="1:13" s="753" customFormat="1" ht="15">
      <c r="A609" s="1461">
        <v>602</v>
      </c>
      <c r="B609" s="812"/>
      <c r="C609" s="1464"/>
      <c r="D609" s="541" t="s">
        <v>405</v>
      </c>
      <c r="E609" s="805"/>
      <c r="F609" s="806"/>
      <c r="G609" s="567"/>
      <c r="H609" s="745"/>
      <c r="I609" s="610"/>
      <c r="J609" s="555"/>
      <c r="K609" s="555"/>
      <c r="L609" s="611">
        <f t="shared" si="2"/>
        <v>0</v>
      </c>
      <c r="M609" s="594"/>
    </row>
    <row r="610" spans="1:13" s="754" customFormat="1" ht="15">
      <c r="A610" s="1461">
        <v>603</v>
      </c>
      <c r="B610" s="577"/>
      <c r="C610" s="1465"/>
      <c r="D610" s="542" t="s">
        <v>1067</v>
      </c>
      <c r="E610" s="576"/>
      <c r="F610" s="568"/>
      <c r="G610" s="568"/>
      <c r="H610" s="746"/>
      <c r="I610" s="615">
        <f>SUM(I608:I609)</f>
        <v>0</v>
      </c>
      <c r="J610" s="568">
        <f>SUM(J608:J609)</f>
        <v>566</v>
      </c>
      <c r="K610" s="568">
        <f>SUM(K608:K609)</f>
        <v>0</v>
      </c>
      <c r="L610" s="608">
        <f t="shared" si="2"/>
        <v>566</v>
      </c>
      <c r="M610" s="593">
        <v>0</v>
      </c>
    </row>
    <row r="611" spans="1:13" ht="15">
      <c r="A611" s="1461">
        <v>604</v>
      </c>
      <c r="B611" s="811"/>
      <c r="C611" s="545">
        <v>16</v>
      </c>
      <c r="D611" s="539" t="s">
        <v>707</v>
      </c>
      <c r="E611" s="782" t="s">
        <v>799</v>
      </c>
      <c r="F611" s="562">
        <f>SUM(H611,L614)</f>
        <v>1000</v>
      </c>
      <c r="G611" s="562">
        <v>0</v>
      </c>
      <c r="H611" s="914">
        <v>0</v>
      </c>
      <c r="I611" s="607"/>
      <c r="J611" s="538"/>
      <c r="K611" s="538"/>
      <c r="L611" s="608"/>
      <c r="M611" s="591"/>
    </row>
    <row r="612" spans="1:13" s="752" customFormat="1" ht="15">
      <c r="A612" s="1461">
        <v>605</v>
      </c>
      <c r="B612" s="811"/>
      <c r="C612" s="545"/>
      <c r="D612" s="539" t="s">
        <v>957</v>
      </c>
      <c r="E612" s="782"/>
      <c r="F612" s="562"/>
      <c r="G612" s="557"/>
      <c r="H612" s="791"/>
      <c r="I612" s="607"/>
      <c r="J612" s="538">
        <v>1000</v>
      </c>
      <c r="K612" s="538"/>
      <c r="L612" s="609">
        <f t="shared" si="2"/>
        <v>1000</v>
      </c>
      <c r="M612" s="586"/>
    </row>
    <row r="613" spans="1:13" s="753" customFormat="1" ht="15">
      <c r="A613" s="1461">
        <v>606</v>
      </c>
      <c r="B613" s="812"/>
      <c r="C613" s="1464"/>
      <c r="D613" s="541" t="s">
        <v>405</v>
      </c>
      <c r="E613" s="805"/>
      <c r="F613" s="806"/>
      <c r="G613" s="567"/>
      <c r="H613" s="745"/>
      <c r="I613" s="610"/>
      <c r="J613" s="555"/>
      <c r="K613" s="555"/>
      <c r="L613" s="611">
        <f t="shared" si="2"/>
        <v>0</v>
      </c>
      <c r="M613" s="594"/>
    </row>
    <row r="614" spans="1:13" s="754" customFormat="1" ht="15">
      <c r="A614" s="1461">
        <v>607</v>
      </c>
      <c r="B614" s="577"/>
      <c r="C614" s="1465"/>
      <c r="D614" s="542" t="s">
        <v>1067</v>
      </c>
      <c r="E614" s="576"/>
      <c r="F614" s="568"/>
      <c r="G614" s="568"/>
      <c r="H614" s="746"/>
      <c r="I614" s="615">
        <f>SUM(I612:I613)</f>
        <v>0</v>
      </c>
      <c r="J614" s="568">
        <f>SUM(J612:J613)</f>
        <v>1000</v>
      </c>
      <c r="K614" s="568">
        <f>SUM(K612:K613)</f>
        <v>0</v>
      </c>
      <c r="L614" s="608">
        <f t="shared" si="2"/>
        <v>1000</v>
      </c>
      <c r="M614" s="593">
        <v>0</v>
      </c>
    </row>
    <row r="615" spans="1:13" ht="15">
      <c r="A615" s="1461">
        <v>608</v>
      </c>
      <c r="B615" s="811"/>
      <c r="C615" s="545">
        <v>17</v>
      </c>
      <c r="D615" s="539" t="s">
        <v>986</v>
      </c>
      <c r="E615" s="782" t="s">
        <v>799</v>
      </c>
      <c r="F615" s="562">
        <f>SUM(H615,L618)</f>
        <v>100</v>
      </c>
      <c r="G615" s="562">
        <v>0</v>
      </c>
      <c r="H615" s="914">
        <v>0</v>
      </c>
      <c r="I615" s="607"/>
      <c r="J615" s="538"/>
      <c r="K615" s="538"/>
      <c r="L615" s="608"/>
      <c r="M615" s="591"/>
    </row>
    <row r="616" spans="1:13" ht="15">
      <c r="A616" s="1461">
        <v>609</v>
      </c>
      <c r="B616" s="811"/>
      <c r="C616" s="545"/>
      <c r="D616" s="539" t="s">
        <v>957</v>
      </c>
      <c r="E616" s="782"/>
      <c r="F616" s="562"/>
      <c r="G616" s="562"/>
      <c r="H616" s="914"/>
      <c r="I616" s="607"/>
      <c r="J616" s="538">
        <v>100</v>
      </c>
      <c r="K616" s="538"/>
      <c r="L616" s="609">
        <f>SUM(I616:K616)</f>
        <v>100</v>
      </c>
      <c r="M616" s="591"/>
    </row>
    <row r="617" spans="1:13" s="753" customFormat="1" ht="15">
      <c r="A617" s="1461">
        <v>610</v>
      </c>
      <c r="B617" s="812"/>
      <c r="C617" s="1464"/>
      <c r="D617" s="541" t="s">
        <v>405</v>
      </c>
      <c r="E617" s="805"/>
      <c r="F617" s="806"/>
      <c r="G617" s="567"/>
      <c r="H617" s="745"/>
      <c r="I617" s="610"/>
      <c r="J617" s="555"/>
      <c r="K617" s="555"/>
      <c r="L617" s="611">
        <f>SUM(I617:K617)</f>
        <v>0</v>
      </c>
      <c r="M617" s="594"/>
    </row>
    <row r="618" spans="1:13" s="754" customFormat="1" ht="15">
      <c r="A618" s="1461">
        <v>611</v>
      </c>
      <c r="B618" s="577"/>
      <c r="C618" s="1465"/>
      <c r="D618" s="542" t="s">
        <v>1067</v>
      </c>
      <c r="E618" s="576"/>
      <c r="F618" s="568"/>
      <c r="G618" s="568"/>
      <c r="H618" s="746"/>
      <c r="I618" s="568">
        <f>SUM(I616:I617)</f>
        <v>0</v>
      </c>
      <c r="J618" s="568">
        <f>SUM(J616:J617)</f>
        <v>100</v>
      </c>
      <c r="K618" s="568">
        <f>SUM(K616:K617)</f>
        <v>0</v>
      </c>
      <c r="L618" s="608">
        <f>SUM(I618:K618)</f>
        <v>100</v>
      </c>
      <c r="M618" s="593">
        <v>0</v>
      </c>
    </row>
    <row r="619" spans="1:13" ht="15">
      <c r="A619" s="1461">
        <v>612</v>
      </c>
      <c r="B619" s="811"/>
      <c r="C619" s="545">
        <v>18</v>
      </c>
      <c r="D619" s="539" t="s">
        <v>708</v>
      </c>
      <c r="E619" s="782" t="s">
        <v>799</v>
      </c>
      <c r="F619" s="562">
        <f>SUM(H619,L622)</f>
        <v>0</v>
      </c>
      <c r="G619" s="562">
        <v>0</v>
      </c>
      <c r="H619" s="914">
        <v>0</v>
      </c>
      <c r="I619" s="607"/>
      <c r="J619" s="538"/>
      <c r="K619" s="538"/>
      <c r="L619" s="608"/>
      <c r="M619" s="591"/>
    </row>
    <row r="620" spans="1:13" s="752" customFormat="1" ht="15">
      <c r="A620" s="1461">
        <v>613</v>
      </c>
      <c r="B620" s="811"/>
      <c r="C620" s="545"/>
      <c r="D620" s="539" t="s">
        <v>957</v>
      </c>
      <c r="E620" s="782"/>
      <c r="F620" s="562"/>
      <c r="G620" s="557"/>
      <c r="H620" s="791"/>
      <c r="I620" s="607"/>
      <c r="J620" s="538">
        <v>0</v>
      </c>
      <c r="K620" s="538"/>
      <c r="L620" s="609">
        <f t="shared" si="2"/>
        <v>0</v>
      </c>
      <c r="M620" s="586"/>
    </row>
    <row r="621" spans="1:13" s="753" customFormat="1" ht="15">
      <c r="A621" s="1461">
        <v>614</v>
      </c>
      <c r="B621" s="812"/>
      <c r="C621" s="1464"/>
      <c r="D621" s="541" t="s">
        <v>405</v>
      </c>
      <c r="E621" s="805"/>
      <c r="F621" s="806"/>
      <c r="G621" s="567"/>
      <c r="H621" s="745"/>
      <c r="I621" s="610"/>
      <c r="J621" s="555"/>
      <c r="K621" s="555"/>
      <c r="L621" s="611">
        <f t="shared" si="2"/>
        <v>0</v>
      </c>
      <c r="M621" s="594"/>
    </row>
    <row r="622" spans="1:13" s="754" customFormat="1" ht="15">
      <c r="A622" s="1461">
        <v>615</v>
      </c>
      <c r="B622" s="577"/>
      <c r="C622" s="1465"/>
      <c r="D622" s="542" t="s">
        <v>1067</v>
      </c>
      <c r="E622" s="576"/>
      <c r="F622" s="568"/>
      <c r="G622" s="568"/>
      <c r="H622" s="746"/>
      <c r="I622" s="615">
        <f>SUM(I620:I621)</f>
        <v>0</v>
      </c>
      <c r="J622" s="568">
        <f>SUM(J620:J621)</f>
        <v>0</v>
      </c>
      <c r="K622" s="568">
        <f>SUM(K620:K621)</f>
        <v>0</v>
      </c>
      <c r="L622" s="608">
        <f t="shared" si="2"/>
        <v>0</v>
      </c>
      <c r="M622" s="593">
        <v>0</v>
      </c>
    </row>
    <row r="623" spans="1:13" ht="15">
      <c r="A623" s="1461">
        <v>616</v>
      </c>
      <c r="B623" s="811"/>
      <c r="C623" s="545">
        <v>19</v>
      </c>
      <c r="D623" s="539" t="s">
        <v>709</v>
      </c>
      <c r="E623" s="782" t="s">
        <v>799</v>
      </c>
      <c r="F623" s="562">
        <f>SUM(H623,L626)</f>
        <v>38</v>
      </c>
      <c r="G623" s="562">
        <v>0</v>
      </c>
      <c r="H623" s="914">
        <v>0</v>
      </c>
      <c r="I623" s="607"/>
      <c r="J623" s="538"/>
      <c r="K623" s="538"/>
      <c r="L623" s="608"/>
      <c r="M623" s="591"/>
    </row>
    <row r="624" spans="1:13" s="752" customFormat="1" ht="15">
      <c r="A624" s="1461">
        <v>617</v>
      </c>
      <c r="B624" s="811"/>
      <c r="C624" s="545"/>
      <c r="D624" s="539" t="s">
        <v>957</v>
      </c>
      <c r="E624" s="782"/>
      <c r="F624" s="562"/>
      <c r="G624" s="557"/>
      <c r="H624" s="791"/>
      <c r="I624" s="607"/>
      <c r="J624" s="538">
        <v>38</v>
      </c>
      <c r="K624" s="538"/>
      <c r="L624" s="609">
        <f t="shared" si="2"/>
        <v>38</v>
      </c>
      <c r="M624" s="586"/>
    </row>
    <row r="625" spans="1:13" s="753" customFormat="1" ht="15">
      <c r="A625" s="1461">
        <v>618</v>
      </c>
      <c r="B625" s="812"/>
      <c r="C625" s="1464"/>
      <c r="D625" s="541" t="s">
        <v>405</v>
      </c>
      <c r="E625" s="805"/>
      <c r="F625" s="806"/>
      <c r="G625" s="567"/>
      <c r="H625" s="745"/>
      <c r="I625" s="610"/>
      <c r="J625" s="555"/>
      <c r="K625" s="555"/>
      <c r="L625" s="611">
        <f t="shared" si="2"/>
        <v>0</v>
      </c>
      <c r="M625" s="594"/>
    </row>
    <row r="626" spans="1:13" s="754" customFormat="1" ht="15">
      <c r="A626" s="1461">
        <v>619</v>
      </c>
      <c r="B626" s="577"/>
      <c r="C626" s="1465"/>
      <c r="D626" s="542" t="s">
        <v>1067</v>
      </c>
      <c r="E626" s="576"/>
      <c r="F626" s="568"/>
      <c r="G626" s="568"/>
      <c r="H626" s="746"/>
      <c r="I626" s="615">
        <f>SUM(I624:I625)</f>
        <v>0</v>
      </c>
      <c r="J626" s="568">
        <f>SUM(J624:J625)</f>
        <v>38</v>
      </c>
      <c r="K626" s="568">
        <f>SUM(K624:K625)</f>
        <v>0</v>
      </c>
      <c r="L626" s="608">
        <f t="shared" si="2"/>
        <v>38</v>
      </c>
      <c r="M626" s="593">
        <v>0</v>
      </c>
    </row>
    <row r="627" spans="1:13" s="752" customFormat="1" ht="15">
      <c r="A627" s="1461">
        <v>620</v>
      </c>
      <c r="B627" s="535"/>
      <c r="C627" s="545">
        <v>20</v>
      </c>
      <c r="D627" s="1303" t="s">
        <v>710</v>
      </c>
      <c r="E627" s="782" t="s">
        <v>799</v>
      </c>
      <c r="F627" s="553">
        <f>SUM(H627,L630)</f>
        <v>211</v>
      </c>
      <c r="G627" s="553">
        <v>0</v>
      </c>
      <c r="H627" s="1304">
        <v>0</v>
      </c>
      <c r="I627" s="607"/>
      <c r="J627" s="538"/>
      <c r="K627" s="538"/>
      <c r="L627" s="608"/>
      <c r="M627" s="591"/>
    </row>
    <row r="628" spans="1:13" s="752" customFormat="1" ht="15">
      <c r="A628" s="1461">
        <v>621</v>
      </c>
      <c r="B628" s="811"/>
      <c r="C628" s="545"/>
      <c r="D628" s="539" t="s">
        <v>957</v>
      </c>
      <c r="E628" s="782"/>
      <c r="F628" s="562"/>
      <c r="G628" s="557"/>
      <c r="H628" s="791"/>
      <c r="I628" s="607"/>
      <c r="J628" s="538">
        <v>211</v>
      </c>
      <c r="K628" s="538"/>
      <c r="L628" s="609">
        <f t="shared" si="2"/>
        <v>211</v>
      </c>
      <c r="M628" s="586"/>
    </row>
    <row r="629" spans="1:13" s="753" customFormat="1" ht="15">
      <c r="A629" s="1461">
        <v>622</v>
      </c>
      <c r="B629" s="812"/>
      <c r="C629" s="1464"/>
      <c r="D629" s="541" t="s">
        <v>405</v>
      </c>
      <c r="E629" s="805"/>
      <c r="F629" s="806"/>
      <c r="G629" s="567"/>
      <c r="H629" s="745"/>
      <c r="I629" s="610"/>
      <c r="J629" s="555"/>
      <c r="K629" s="555"/>
      <c r="L629" s="611">
        <f t="shared" si="2"/>
        <v>0</v>
      </c>
      <c r="M629" s="594"/>
    </row>
    <row r="630" spans="1:13" s="754" customFormat="1" ht="15">
      <c r="A630" s="1461">
        <v>623</v>
      </c>
      <c r="B630" s="577"/>
      <c r="C630" s="1465"/>
      <c r="D630" s="542" t="s">
        <v>1067</v>
      </c>
      <c r="E630" s="576"/>
      <c r="F630" s="568"/>
      <c r="G630" s="568"/>
      <c r="H630" s="746"/>
      <c r="I630" s="615">
        <f>SUM(I628:I629)</f>
        <v>0</v>
      </c>
      <c r="J630" s="568">
        <f>SUM(J628:J629)</f>
        <v>211</v>
      </c>
      <c r="K630" s="568">
        <f>SUM(K628:K629)</f>
        <v>0</v>
      </c>
      <c r="L630" s="608">
        <f t="shared" si="2"/>
        <v>211</v>
      </c>
      <c r="M630" s="593">
        <v>0</v>
      </c>
    </row>
    <row r="631" spans="1:13" s="752" customFormat="1" ht="15">
      <c r="A631" s="1461">
        <v>624</v>
      </c>
      <c r="B631" s="535"/>
      <c r="C631" s="545">
        <v>21</v>
      </c>
      <c r="D631" s="1303" t="s">
        <v>990</v>
      </c>
      <c r="E631" s="782" t="s">
        <v>799</v>
      </c>
      <c r="F631" s="553">
        <f>SUM(H631,L634)</f>
        <v>5</v>
      </c>
      <c r="G631" s="553">
        <v>0</v>
      </c>
      <c r="H631" s="1304">
        <v>0</v>
      </c>
      <c r="I631" s="607"/>
      <c r="J631" s="538"/>
      <c r="K631" s="538"/>
      <c r="L631" s="608"/>
      <c r="M631" s="591"/>
    </row>
    <row r="632" spans="1:13" s="752" customFormat="1" ht="15">
      <c r="A632" s="1461">
        <v>625</v>
      </c>
      <c r="B632" s="811"/>
      <c r="C632" s="545"/>
      <c r="D632" s="539" t="s">
        <v>957</v>
      </c>
      <c r="E632" s="782"/>
      <c r="F632" s="562"/>
      <c r="G632" s="557"/>
      <c r="H632" s="791"/>
      <c r="I632" s="607"/>
      <c r="J632" s="538">
        <v>5</v>
      </c>
      <c r="K632" s="538"/>
      <c r="L632" s="609">
        <f>SUM(I632:K632)</f>
        <v>5</v>
      </c>
      <c r="M632" s="586"/>
    </row>
    <row r="633" spans="1:13" s="753" customFormat="1" ht="15">
      <c r="A633" s="1461">
        <v>626</v>
      </c>
      <c r="B633" s="812"/>
      <c r="C633" s="1464"/>
      <c r="D633" s="541" t="s">
        <v>405</v>
      </c>
      <c r="E633" s="805"/>
      <c r="F633" s="806"/>
      <c r="G633" s="567"/>
      <c r="H633" s="745"/>
      <c r="I633" s="610"/>
      <c r="J633" s="555"/>
      <c r="K633" s="555"/>
      <c r="L633" s="611">
        <f>SUM(I633:K633)</f>
        <v>0</v>
      </c>
      <c r="M633" s="594"/>
    </row>
    <row r="634" spans="1:13" s="754" customFormat="1" ht="15">
      <c r="A634" s="1461">
        <v>627</v>
      </c>
      <c r="B634" s="577"/>
      <c r="C634" s="1465"/>
      <c r="D634" s="542" t="s">
        <v>1067</v>
      </c>
      <c r="E634" s="576"/>
      <c r="F634" s="568"/>
      <c r="G634" s="568"/>
      <c r="H634" s="746"/>
      <c r="I634" s="615">
        <f>SUM(I632:I633)</f>
        <v>0</v>
      </c>
      <c r="J634" s="568">
        <f>SUM(J632:J633)</f>
        <v>5</v>
      </c>
      <c r="K634" s="568">
        <f>SUM(K632:K633)</f>
        <v>0</v>
      </c>
      <c r="L634" s="608">
        <f>SUM(I634:K634)</f>
        <v>5</v>
      </c>
      <c r="M634" s="593">
        <v>0</v>
      </c>
    </row>
    <row r="635" spans="1:13" s="752" customFormat="1" ht="15">
      <c r="A635" s="1461">
        <v>628</v>
      </c>
      <c r="B635" s="535"/>
      <c r="C635" s="545">
        <v>22</v>
      </c>
      <c r="D635" s="1303" t="s">
        <v>1032</v>
      </c>
      <c r="E635" s="782" t="s">
        <v>799</v>
      </c>
      <c r="F635" s="553">
        <f>SUM(H635,L638)</f>
        <v>280</v>
      </c>
      <c r="G635" s="553">
        <v>0</v>
      </c>
      <c r="H635" s="1304">
        <v>0</v>
      </c>
      <c r="I635" s="607"/>
      <c r="J635" s="538"/>
      <c r="K635" s="538"/>
      <c r="L635" s="608"/>
      <c r="M635" s="591"/>
    </row>
    <row r="636" spans="1:13" s="752" customFormat="1" ht="15">
      <c r="A636" s="1461">
        <v>629</v>
      </c>
      <c r="B636" s="811"/>
      <c r="C636" s="545"/>
      <c r="D636" s="539" t="s">
        <v>957</v>
      </c>
      <c r="E636" s="782"/>
      <c r="F636" s="562"/>
      <c r="G636" s="557"/>
      <c r="H636" s="791"/>
      <c r="I636" s="607"/>
      <c r="J636" s="538">
        <v>280</v>
      </c>
      <c r="K636" s="538"/>
      <c r="L636" s="609">
        <f>SUM(I636:K636)</f>
        <v>280</v>
      </c>
      <c r="M636" s="586"/>
    </row>
    <row r="637" spans="1:13" s="753" customFormat="1" ht="15">
      <c r="A637" s="1461">
        <v>630</v>
      </c>
      <c r="B637" s="812"/>
      <c r="C637" s="1464"/>
      <c r="D637" s="541" t="s">
        <v>405</v>
      </c>
      <c r="E637" s="805"/>
      <c r="F637" s="806"/>
      <c r="G637" s="567"/>
      <c r="H637" s="745"/>
      <c r="I637" s="610"/>
      <c r="J637" s="555"/>
      <c r="K637" s="555"/>
      <c r="L637" s="611">
        <f aca="true" t="shared" si="3" ref="L637:L650">SUM(I637:K637)</f>
        <v>0</v>
      </c>
      <c r="M637" s="594"/>
    </row>
    <row r="638" spans="1:13" s="754" customFormat="1" ht="15">
      <c r="A638" s="1461">
        <v>631</v>
      </c>
      <c r="B638" s="577"/>
      <c r="C638" s="1465"/>
      <c r="D638" s="542" t="s">
        <v>1067</v>
      </c>
      <c r="E638" s="576"/>
      <c r="F638" s="568"/>
      <c r="G638" s="568"/>
      <c r="H638" s="746"/>
      <c r="I638" s="615">
        <f>SUM(I636:I637)</f>
        <v>0</v>
      </c>
      <c r="J638" s="568">
        <f>SUM(J636:J637)</f>
        <v>280</v>
      </c>
      <c r="K638" s="568">
        <f>SUM(K636:K637)</f>
        <v>0</v>
      </c>
      <c r="L638" s="608">
        <f t="shared" si="3"/>
        <v>280</v>
      </c>
      <c r="M638" s="593">
        <v>0</v>
      </c>
    </row>
    <row r="639" spans="1:13" s="752" customFormat="1" ht="15">
      <c r="A639" s="1461">
        <v>632</v>
      </c>
      <c r="B639" s="535"/>
      <c r="C639" s="545">
        <v>23</v>
      </c>
      <c r="D639" s="1303" t="s">
        <v>1033</v>
      </c>
      <c r="E639" s="782" t="s">
        <v>799</v>
      </c>
      <c r="F639" s="553">
        <f>SUM(H639,L642)</f>
        <v>580</v>
      </c>
      <c r="G639" s="553">
        <v>0</v>
      </c>
      <c r="H639" s="1304">
        <v>0</v>
      </c>
      <c r="I639" s="607"/>
      <c r="J639" s="538"/>
      <c r="K639" s="538"/>
      <c r="L639" s="608"/>
      <c r="M639" s="591"/>
    </row>
    <row r="640" spans="1:13" s="752" customFormat="1" ht="15">
      <c r="A640" s="1461">
        <v>633</v>
      </c>
      <c r="B640" s="811"/>
      <c r="C640" s="545"/>
      <c r="D640" s="539" t="s">
        <v>957</v>
      </c>
      <c r="E640" s="782"/>
      <c r="F640" s="562"/>
      <c r="G640" s="557"/>
      <c r="H640" s="791"/>
      <c r="I640" s="607"/>
      <c r="J640" s="538">
        <v>580</v>
      </c>
      <c r="K640" s="538"/>
      <c r="L640" s="609">
        <f t="shared" si="3"/>
        <v>580</v>
      </c>
      <c r="M640" s="586"/>
    </row>
    <row r="641" spans="1:13" s="753" customFormat="1" ht="15">
      <c r="A641" s="1461">
        <v>634</v>
      </c>
      <c r="B641" s="812"/>
      <c r="C641" s="1464"/>
      <c r="D641" s="541" t="s">
        <v>405</v>
      </c>
      <c r="E641" s="805"/>
      <c r="F641" s="806"/>
      <c r="G641" s="567"/>
      <c r="H641" s="745"/>
      <c r="I641" s="610"/>
      <c r="J641" s="555"/>
      <c r="K641" s="555"/>
      <c r="L641" s="611">
        <f t="shared" si="3"/>
        <v>0</v>
      </c>
      <c r="M641" s="594"/>
    </row>
    <row r="642" spans="1:13" s="754" customFormat="1" ht="15">
      <c r="A642" s="1461">
        <v>635</v>
      </c>
      <c r="B642" s="577"/>
      <c r="C642" s="1465"/>
      <c r="D642" s="542" t="s">
        <v>1067</v>
      </c>
      <c r="E642" s="576"/>
      <c r="F642" s="568"/>
      <c r="G642" s="568"/>
      <c r="H642" s="746"/>
      <c r="I642" s="615">
        <f>SUM(I640:I641)</f>
        <v>0</v>
      </c>
      <c r="J642" s="568">
        <f>SUM(J640:J641)</f>
        <v>580</v>
      </c>
      <c r="K642" s="568">
        <f>SUM(K640:K641)</f>
        <v>0</v>
      </c>
      <c r="L642" s="608">
        <f t="shared" si="3"/>
        <v>580</v>
      </c>
      <c r="M642" s="593">
        <v>0</v>
      </c>
    </row>
    <row r="643" spans="1:13" s="752" customFormat="1" ht="15">
      <c r="A643" s="1461">
        <v>636</v>
      </c>
      <c r="B643" s="535"/>
      <c r="C643" s="545">
        <v>24</v>
      </c>
      <c r="D643" s="1303" t="s">
        <v>1034</v>
      </c>
      <c r="E643" s="782" t="s">
        <v>799</v>
      </c>
      <c r="F643" s="553">
        <f>SUM(H643,L646)</f>
        <v>220</v>
      </c>
      <c r="G643" s="553">
        <v>0</v>
      </c>
      <c r="H643" s="1304">
        <v>0</v>
      </c>
      <c r="I643" s="607"/>
      <c r="J643" s="538"/>
      <c r="K643" s="538"/>
      <c r="L643" s="608"/>
      <c r="M643" s="591"/>
    </row>
    <row r="644" spans="1:13" s="752" customFormat="1" ht="15">
      <c r="A644" s="1461">
        <v>637</v>
      </c>
      <c r="B644" s="811"/>
      <c r="C644" s="545"/>
      <c r="D644" s="539" t="s">
        <v>957</v>
      </c>
      <c r="E644" s="782"/>
      <c r="F644" s="562"/>
      <c r="G644" s="557"/>
      <c r="H644" s="791"/>
      <c r="I644" s="607"/>
      <c r="J644" s="538">
        <v>220</v>
      </c>
      <c r="K644" s="538"/>
      <c r="L644" s="609">
        <f t="shared" si="3"/>
        <v>220</v>
      </c>
      <c r="M644" s="586"/>
    </row>
    <row r="645" spans="1:13" s="753" customFormat="1" ht="15">
      <c r="A645" s="1461">
        <v>638</v>
      </c>
      <c r="B645" s="812"/>
      <c r="C645" s="1464"/>
      <c r="D645" s="541" t="s">
        <v>405</v>
      </c>
      <c r="E645" s="805"/>
      <c r="F645" s="806"/>
      <c r="G645" s="567"/>
      <c r="H645" s="745"/>
      <c r="I645" s="610"/>
      <c r="J645" s="555"/>
      <c r="K645" s="555"/>
      <c r="L645" s="611">
        <f t="shared" si="3"/>
        <v>0</v>
      </c>
      <c r="M645" s="594"/>
    </row>
    <row r="646" spans="1:13" s="754" customFormat="1" ht="15">
      <c r="A646" s="1461">
        <v>639</v>
      </c>
      <c r="B646" s="577"/>
      <c r="C646" s="1465"/>
      <c r="D646" s="542" t="s">
        <v>1067</v>
      </c>
      <c r="E646" s="576"/>
      <c r="F646" s="568"/>
      <c r="G646" s="568"/>
      <c r="H646" s="746"/>
      <c r="I646" s="615">
        <f>SUM(I644:I645)</f>
        <v>0</v>
      </c>
      <c r="J646" s="568">
        <f>SUM(J644:J645)</f>
        <v>220</v>
      </c>
      <c r="K646" s="568">
        <f>SUM(K644:K645)</f>
        <v>0</v>
      </c>
      <c r="L646" s="608">
        <f t="shared" si="3"/>
        <v>220</v>
      </c>
      <c r="M646" s="593">
        <v>0</v>
      </c>
    </row>
    <row r="647" spans="1:13" s="752" customFormat="1" ht="15">
      <c r="A647" s="1461">
        <v>640</v>
      </c>
      <c r="B647" s="535"/>
      <c r="C647" s="545">
        <v>25</v>
      </c>
      <c r="D647" s="1303" t="s">
        <v>1035</v>
      </c>
      <c r="E647" s="782" t="s">
        <v>799</v>
      </c>
      <c r="F647" s="553">
        <f>SUM(H647,L650)</f>
        <v>82</v>
      </c>
      <c r="G647" s="553">
        <v>0</v>
      </c>
      <c r="H647" s="1304">
        <v>0</v>
      </c>
      <c r="I647" s="607"/>
      <c r="J647" s="538"/>
      <c r="K647" s="538"/>
      <c r="L647" s="608"/>
      <c r="M647" s="591"/>
    </row>
    <row r="648" spans="1:13" s="752" customFormat="1" ht="15">
      <c r="A648" s="1461">
        <v>641</v>
      </c>
      <c r="B648" s="811"/>
      <c r="C648" s="545"/>
      <c r="D648" s="539" t="s">
        <v>957</v>
      </c>
      <c r="E648" s="782"/>
      <c r="F648" s="562"/>
      <c r="G648" s="557"/>
      <c r="H648" s="791"/>
      <c r="I648" s="607"/>
      <c r="J648" s="538">
        <v>82</v>
      </c>
      <c r="K648" s="538"/>
      <c r="L648" s="609">
        <f t="shared" si="3"/>
        <v>82</v>
      </c>
      <c r="M648" s="586"/>
    </row>
    <row r="649" spans="1:13" s="753" customFormat="1" ht="15">
      <c r="A649" s="1461">
        <v>642</v>
      </c>
      <c r="B649" s="812"/>
      <c r="C649" s="1464"/>
      <c r="D649" s="541" t="s">
        <v>405</v>
      </c>
      <c r="E649" s="805"/>
      <c r="F649" s="806"/>
      <c r="G649" s="567"/>
      <c r="H649" s="745"/>
      <c r="I649" s="610"/>
      <c r="J649" s="555"/>
      <c r="K649" s="555"/>
      <c r="L649" s="611">
        <f t="shared" si="3"/>
        <v>0</v>
      </c>
      <c r="M649" s="594"/>
    </row>
    <row r="650" spans="1:13" s="754" customFormat="1" ht="15">
      <c r="A650" s="1461">
        <v>643</v>
      </c>
      <c r="B650" s="577"/>
      <c r="C650" s="1465"/>
      <c r="D650" s="542" t="s">
        <v>1067</v>
      </c>
      <c r="E650" s="576"/>
      <c r="F650" s="568"/>
      <c r="G650" s="568"/>
      <c r="H650" s="746"/>
      <c r="I650" s="615">
        <f>SUM(I648:I649)</f>
        <v>0</v>
      </c>
      <c r="J650" s="568">
        <f>SUM(J648:J649)</f>
        <v>82</v>
      </c>
      <c r="K650" s="568">
        <f>SUM(K648:K649)</f>
        <v>0</v>
      </c>
      <c r="L650" s="608">
        <f t="shared" si="3"/>
        <v>82</v>
      </c>
      <c r="M650" s="593">
        <v>0</v>
      </c>
    </row>
    <row r="651" spans="1:13" s="752" customFormat="1" ht="15">
      <c r="A651" s="1461">
        <v>644</v>
      </c>
      <c r="B651" s="535"/>
      <c r="C651" s="545">
        <v>26</v>
      </c>
      <c r="D651" s="1303" t="s">
        <v>1105</v>
      </c>
      <c r="E651" s="782" t="s">
        <v>799</v>
      </c>
      <c r="F651" s="553">
        <v>500</v>
      </c>
      <c r="G651" s="553">
        <v>0</v>
      </c>
      <c r="H651" s="1304">
        <v>0</v>
      </c>
      <c r="I651" s="607"/>
      <c r="J651" s="538"/>
      <c r="K651" s="538"/>
      <c r="L651" s="608"/>
      <c r="M651" s="591"/>
    </row>
    <row r="652" spans="1:13" s="753" customFormat="1" ht="15">
      <c r="A652" s="1461">
        <v>645</v>
      </c>
      <c r="B652" s="812"/>
      <c r="C652" s="1464"/>
      <c r="D652" s="541" t="s">
        <v>234</v>
      </c>
      <c r="E652" s="805"/>
      <c r="F652" s="806"/>
      <c r="G652" s="567"/>
      <c r="H652" s="745"/>
      <c r="I652" s="610"/>
      <c r="J652" s="555">
        <v>500</v>
      </c>
      <c r="K652" s="555"/>
      <c r="L652" s="611">
        <f>SUM(I652:K652)</f>
        <v>500</v>
      </c>
      <c r="M652" s="594"/>
    </row>
    <row r="653" spans="1:13" s="754" customFormat="1" ht="15">
      <c r="A653" s="1461">
        <v>646</v>
      </c>
      <c r="B653" s="577"/>
      <c r="C653" s="1465"/>
      <c r="D653" s="542" t="s">
        <v>1067</v>
      </c>
      <c r="E653" s="576"/>
      <c r="F653" s="568"/>
      <c r="G653" s="568"/>
      <c r="H653" s="746"/>
      <c r="I653" s="615">
        <f>SUM(I652)</f>
        <v>0</v>
      </c>
      <c r="J653" s="568">
        <f>SUM(J652)</f>
        <v>500</v>
      </c>
      <c r="K653" s="568">
        <f>SUM(K652)</f>
        <v>0</v>
      </c>
      <c r="L653" s="608">
        <f>SUM(L652)</f>
        <v>500</v>
      </c>
      <c r="M653" s="593">
        <v>0</v>
      </c>
    </row>
    <row r="654" spans="1:13" s="752" customFormat="1" ht="15">
      <c r="A654" s="1461">
        <v>647</v>
      </c>
      <c r="B654" s="535">
        <v>2</v>
      </c>
      <c r="C654" s="545"/>
      <c r="D654" s="536" t="s">
        <v>307</v>
      </c>
      <c r="E654" s="782"/>
      <c r="F654" s="564"/>
      <c r="G654" s="564"/>
      <c r="H654" s="912"/>
      <c r="I654" s="607"/>
      <c r="J654" s="538"/>
      <c r="K654" s="538"/>
      <c r="L654" s="609"/>
      <c r="M654" s="589"/>
    </row>
    <row r="655" spans="1:13" s="752" customFormat="1" ht="15">
      <c r="A655" s="1461">
        <v>648</v>
      </c>
      <c r="B655" s="811"/>
      <c r="C655" s="545">
        <v>27</v>
      </c>
      <c r="D655" s="557" t="s">
        <v>308</v>
      </c>
      <c r="E655" s="782" t="s">
        <v>799</v>
      </c>
      <c r="F655" s="562">
        <f>SUM(H655,L659)</f>
        <v>120</v>
      </c>
      <c r="G655" s="557">
        <v>0</v>
      </c>
      <c r="H655" s="913">
        <v>0</v>
      </c>
      <c r="I655" s="607"/>
      <c r="J655" s="538"/>
      <c r="K655" s="538"/>
      <c r="L655" s="609"/>
      <c r="M655" s="586"/>
    </row>
    <row r="656" spans="1:13" ht="15">
      <c r="A656" s="1461">
        <v>649</v>
      </c>
      <c r="B656" s="811"/>
      <c r="C656" s="545"/>
      <c r="D656" s="539" t="s">
        <v>403</v>
      </c>
      <c r="E656" s="788"/>
      <c r="F656" s="796"/>
      <c r="G656" s="562"/>
      <c r="H656" s="914"/>
      <c r="I656" s="607"/>
      <c r="J656" s="538">
        <v>120</v>
      </c>
      <c r="K656" s="538"/>
      <c r="L656" s="609">
        <f>SUM(I656:K656)</f>
        <v>120</v>
      </c>
      <c r="M656" s="591"/>
    </row>
    <row r="657" spans="1:13" ht="15">
      <c r="A657" s="1461">
        <v>650</v>
      </c>
      <c r="B657" s="811"/>
      <c r="C657" s="545"/>
      <c r="D657" s="539" t="s">
        <v>957</v>
      </c>
      <c r="E657" s="788"/>
      <c r="F657" s="796"/>
      <c r="G657" s="562"/>
      <c r="H657" s="914"/>
      <c r="I657" s="607"/>
      <c r="J657" s="538">
        <v>120</v>
      </c>
      <c r="K657" s="538"/>
      <c r="L657" s="609">
        <f>SUM(I657:K657)</f>
        <v>120</v>
      </c>
      <c r="M657" s="591"/>
    </row>
    <row r="658" spans="1:13" s="753" customFormat="1" ht="15">
      <c r="A658" s="1461">
        <v>651</v>
      </c>
      <c r="B658" s="812"/>
      <c r="C658" s="1464"/>
      <c r="D658" s="541" t="s">
        <v>405</v>
      </c>
      <c r="E658" s="782"/>
      <c r="F658" s="567"/>
      <c r="G658" s="567"/>
      <c r="H658" s="915"/>
      <c r="I658" s="610"/>
      <c r="J658" s="555"/>
      <c r="K658" s="555"/>
      <c r="L658" s="611">
        <f>SUM(I658:K658)</f>
        <v>0</v>
      </c>
      <c r="M658" s="594"/>
    </row>
    <row r="659" spans="1:13" s="754" customFormat="1" ht="15">
      <c r="A659" s="1461">
        <v>652</v>
      </c>
      <c r="B659" s="577"/>
      <c r="C659" s="1465"/>
      <c r="D659" s="542" t="s">
        <v>1067</v>
      </c>
      <c r="E659" s="576"/>
      <c r="F659" s="568"/>
      <c r="G659" s="568"/>
      <c r="H659" s="911"/>
      <c r="I659" s="615">
        <f>SUM(I657:I658)</f>
        <v>0</v>
      </c>
      <c r="J659" s="568">
        <f>SUM(J657:J658)</f>
        <v>120</v>
      </c>
      <c r="K659" s="568">
        <f>SUM(K657:K658)</f>
        <v>0</v>
      </c>
      <c r="L659" s="608">
        <f>SUM(I659:K659)</f>
        <v>120</v>
      </c>
      <c r="M659" s="593">
        <f>SUM(M656:M658)</f>
        <v>0</v>
      </c>
    </row>
    <row r="660" spans="1:13" s="752" customFormat="1" ht="15">
      <c r="A660" s="1461">
        <v>653</v>
      </c>
      <c r="B660" s="535"/>
      <c r="C660" s="545">
        <v>28</v>
      </c>
      <c r="D660" s="1303" t="s">
        <v>761</v>
      </c>
      <c r="E660" s="782" t="s">
        <v>799</v>
      </c>
      <c r="F660" s="553">
        <f>SUM(H660,L663)</f>
        <v>0</v>
      </c>
      <c r="G660" s="553">
        <v>0</v>
      </c>
      <c r="H660" s="1304">
        <v>0</v>
      </c>
      <c r="I660" s="607"/>
      <c r="J660" s="538"/>
      <c r="K660" s="538"/>
      <c r="L660" s="609"/>
      <c r="M660" s="591"/>
    </row>
    <row r="661" spans="1:13" ht="15">
      <c r="A661" s="1461">
        <v>654</v>
      </c>
      <c r="B661" s="811"/>
      <c r="C661" s="545"/>
      <c r="D661" s="539" t="s">
        <v>957</v>
      </c>
      <c r="E661" s="782"/>
      <c r="F661" s="562"/>
      <c r="G661" s="562"/>
      <c r="H661" s="914"/>
      <c r="I661" s="607"/>
      <c r="J661" s="538">
        <v>0</v>
      </c>
      <c r="K661" s="538"/>
      <c r="L661" s="609">
        <f>SUM(I661:K661)</f>
        <v>0</v>
      </c>
      <c r="M661" s="591"/>
    </row>
    <row r="662" spans="1:13" s="753" customFormat="1" ht="15">
      <c r="A662" s="1461">
        <v>655</v>
      </c>
      <c r="B662" s="812"/>
      <c r="C662" s="1464"/>
      <c r="D662" s="541" t="s">
        <v>405</v>
      </c>
      <c r="E662" s="806"/>
      <c r="F662" s="567"/>
      <c r="G662" s="567"/>
      <c r="H662" s="915"/>
      <c r="I662" s="610"/>
      <c r="J662" s="555"/>
      <c r="K662" s="555"/>
      <c r="L662" s="611">
        <f>SUM(I662:K662)</f>
        <v>0</v>
      </c>
      <c r="M662" s="594"/>
    </row>
    <row r="663" spans="1:13" s="754" customFormat="1" ht="15">
      <c r="A663" s="1461">
        <v>656</v>
      </c>
      <c r="B663" s="577"/>
      <c r="C663" s="1465"/>
      <c r="D663" s="542" t="s">
        <v>1067</v>
      </c>
      <c r="E663" s="780"/>
      <c r="F663" s="568"/>
      <c r="G663" s="568"/>
      <c r="H663" s="911"/>
      <c r="I663" s="615">
        <f>SUM(I661:I662)</f>
        <v>0</v>
      </c>
      <c r="J663" s="568">
        <f>SUM(J661:J662)</f>
        <v>0</v>
      </c>
      <c r="K663" s="568">
        <f>SUM(K661:K662)</f>
        <v>0</v>
      </c>
      <c r="L663" s="608">
        <f>SUM(I663:K663)</f>
        <v>0</v>
      </c>
      <c r="M663" s="593">
        <f>SUM(M662)</f>
        <v>0</v>
      </c>
    </row>
    <row r="664" spans="1:13" s="752" customFormat="1" ht="15">
      <c r="A664" s="1461">
        <v>657</v>
      </c>
      <c r="B664" s="535"/>
      <c r="C664" s="545">
        <v>29</v>
      </c>
      <c r="D664" s="1303" t="s">
        <v>705</v>
      </c>
      <c r="E664" s="782" t="s">
        <v>799</v>
      </c>
      <c r="F664" s="553">
        <f>SUM(H664,L667)</f>
        <v>900</v>
      </c>
      <c r="G664" s="553">
        <v>0</v>
      </c>
      <c r="H664" s="1304">
        <v>0</v>
      </c>
      <c r="I664" s="607"/>
      <c r="J664" s="538"/>
      <c r="K664" s="538"/>
      <c r="L664" s="608"/>
      <c r="M664" s="591"/>
    </row>
    <row r="665" spans="1:13" s="752" customFormat="1" ht="15">
      <c r="A665" s="1461">
        <v>658</v>
      </c>
      <c r="B665" s="811"/>
      <c r="C665" s="545"/>
      <c r="D665" s="539" t="s">
        <v>957</v>
      </c>
      <c r="E665" s="782"/>
      <c r="F665" s="562"/>
      <c r="G665" s="557"/>
      <c r="H665" s="791"/>
      <c r="I665" s="607"/>
      <c r="J665" s="538">
        <v>900</v>
      </c>
      <c r="K665" s="538"/>
      <c r="L665" s="609">
        <f aca="true" t="shared" si="4" ref="L665:L711">SUM(I665:K665)</f>
        <v>900</v>
      </c>
      <c r="M665" s="586"/>
    </row>
    <row r="666" spans="1:13" s="753" customFormat="1" ht="15">
      <c r="A666" s="1461">
        <v>659</v>
      </c>
      <c r="B666" s="812"/>
      <c r="C666" s="1464"/>
      <c r="D666" s="541" t="s">
        <v>405</v>
      </c>
      <c r="E666" s="805"/>
      <c r="F666" s="806"/>
      <c r="G666" s="567"/>
      <c r="H666" s="745"/>
      <c r="I666" s="610"/>
      <c r="J666" s="555"/>
      <c r="K666" s="555"/>
      <c r="L666" s="611">
        <f t="shared" si="4"/>
        <v>0</v>
      </c>
      <c r="M666" s="594"/>
    </row>
    <row r="667" spans="1:13" s="754" customFormat="1" ht="15">
      <c r="A667" s="1461">
        <v>660</v>
      </c>
      <c r="B667" s="577"/>
      <c r="C667" s="1465"/>
      <c r="D667" s="542" t="s">
        <v>1067</v>
      </c>
      <c r="E667" s="576"/>
      <c r="F667" s="568"/>
      <c r="G667" s="568"/>
      <c r="H667" s="746"/>
      <c r="I667" s="615">
        <f>SUM(I665:I666)</f>
        <v>0</v>
      </c>
      <c r="J667" s="568">
        <f>SUM(J665:J666)</f>
        <v>900</v>
      </c>
      <c r="K667" s="568">
        <f>SUM(K665:K666)</f>
        <v>0</v>
      </c>
      <c r="L667" s="608">
        <f t="shared" si="4"/>
        <v>900</v>
      </c>
      <c r="M667" s="593">
        <v>0</v>
      </c>
    </row>
    <row r="668" spans="1:13" s="752" customFormat="1" ht="15">
      <c r="A668" s="1461">
        <v>661</v>
      </c>
      <c r="B668" s="535"/>
      <c r="C668" s="545">
        <v>30</v>
      </c>
      <c r="D668" s="1303" t="s">
        <v>706</v>
      </c>
      <c r="E668" s="782" t="s">
        <v>799</v>
      </c>
      <c r="F668" s="553">
        <f>SUM(H668,L671)</f>
        <v>89</v>
      </c>
      <c r="G668" s="553">
        <v>0</v>
      </c>
      <c r="H668" s="1304">
        <v>0</v>
      </c>
      <c r="I668" s="607"/>
      <c r="J668" s="538"/>
      <c r="K668" s="538"/>
      <c r="L668" s="608"/>
      <c r="M668" s="591"/>
    </row>
    <row r="669" spans="1:13" s="752" customFormat="1" ht="15">
      <c r="A669" s="1461">
        <v>662</v>
      </c>
      <c r="B669" s="811"/>
      <c r="C669" s="545"/>
      <c r="D669" s="539" t="s">
        <v>957</v>
      </c>
      <c r="E669" s="782"/>
      <c r="F669" s="562"/>
      <c r="G669" s="557"/>
      <c r="H669" s="791"/>
      <c r="I669" s="607"/>
      <c r="J669" s="538">
        <v>89</v>
      </c>
      <c r="K669" s="538"/>
      <c r="L669" s="609">
        <f t="shared" si="4"/>
        <v>89</v>
      </c>
      <c r="M669" s="586"/>
    </row>
    <row r="670" spans="1:13" s="753" customFormat="1" ht="15">
      <c r="A670" s="1461">
        <v>663</v>
      </c>
      <c r="B670" s="812"/>
      <c r="C670" s="1464"/>
      <c r="D670" s="541" t="s">
        <v>405</v>
      </c>
      <c r="E670" s="805"/>
      <c r="F670" s="806"/>
      <c r="G670" s="567"/>
      <c r="H670" s="745"/>
      <c r="I670" s="610"/>
      <c r="J670" s="555"/>
      <c r="K670" s="555"/>
      <c r="L670" s="611">
        <f t="shared" si="4"/>
        <v>0</v>
      </c>
      <c r="M670" s="594"/>
    </row>
    <row r="671" spans="1:13" s="754" customFormat="1" ht="15">
      <c r="A671" s="1461">
        <v>664</v>
      </c>
      <c r="B671" s="577"/>
      <c r="C671" s="1465"/>
      <c r="D671" s="542" t="s">
        <v>1067</v>
      </c>
      <c r="E671" s="576"/>
      <c r="F671" s="568"/>
      <c r="G671" s="568"/>
      <c r="H671" s="746"/>
      <c r="I671" s="615">
        <f>SUM(I669:I670)</f>
        <v>0</v>
      </c>
      <c r="J671" s="568">
        <f>SUM(J669:J670)</f>
        <v>89</v>
      </c>
      <c r="K671" s="568">
        <f>SUM(K669:K670)</f>
        <v>0</v>
      </c>
      <c r="L671" s="608">
        <f t="shared" si="4"/>
        <v>89</v>
      </c>
      <c r="M671" s="593">
        <v>0</v>
      </c>
    </row>
    <row r="672" spans="1:13" ht="15">
      <c r="A672" s="1461">
        <v>665</v>
      </c>
      <c r="B672" s="811"/>
      <c r="C672" s="545">
        <v>31</v>
      </c>
      <c r="D672" s="539" t="s">
        <v>707</v>
      </c>
      <c r="E672" s="782" t="s">
        <v>799</v>
      </c>
      <c r="F672" s="562">
        <f>SUM(H672,L675)</f>
        <v>254</v>
      </c>
      <c r="G672" s="562">
        <v>0</v>
      </c>
      <c r="H672" s="914">
        <v>0</v>
      </c>
      <c r="I672" s="607"/>
      <c r="J672" s="538"/>
      <c r="K672" s="538"/>
      <c r="L672" s="608"/>
      <c r="M672" s="591"/>
    </row>
    <row r="673" spans="1:13" s="752" customFormat="1" ht="15">
      <c r="A673" s="1461">
        <v>666</v>
      </c>
      <c r="B673" s="811"/>
      <c r="C673" s="545"/>
      <c r="D673" s="539" t="s">
        <v>957</v>
      </c>
      <c r="E673" s="782"/>
      <c r="F673" s="562"/>
      <c r="G673" s="557"/>
      <c r="H673" s="791"/>
      <c r="I673" s="607"/>
      <c r="J673" s="538">
        <v>254</v>
      </c>
      <c r="K673" s="538"/>
      <c r="L673" s="609">
        <f t="shared" si="4"/>
        <v>254</v>
      </c>
      <c r="M673" s="586"/>
    </row>
    <row r="674" spans="1:13" s="753" customFormat="1" ht="15">
      <c r="A674" s="1461">
        <v>667</v>
      </c>
      <c r="B674" s="812"/>
      <c r="C674" s="1464"/>
      <c r="D674" s="541" t="s">
        <v>405</v>
      </c>
      <c r="E674" s="805"/>
      <c r="F674" s="806"/>
      <c r="G674" s="567"/>
      <c r="H674" s="745"/>
      <c r="I674" s="610"/>
      <c r="J674" s="555"/>
      <c r="K674" s="555"/>
      <c r="L674" s="611">
        <f t="shared" si="4"/>
        <v>0</v>
      </c>
      <c r="M674" s="594"/>
    </row>
    <row r="675" spans="1:13" s="754" customFormat="1" ht="15">
      <c r="A675" s="1461">
        <v>668</v>
      </c>
      <c r="B675" s="577"/>
      <c r="C675" s="1465"/>
      <c r="D675" s="542" t="s">
        <v>1067</v>
      </c>
      <c r="E675" s="576"/>
      <c r="F675" s="568"/>
      <c r="G675" s="568"/>
      <c r="H675" s="746"/>
      <c r="I675" s="615">
        <f>SUM(I673:I674)</f>
        <v>0</v>
      </c>
      <c r="J675" s="568">
        <f>SUM(J673:J674)</f>
        <v>254</v>
      </c>
      <c r="K675" s="568">
        <f>SUM(K673:K674)</f>
        <v>0</v>
      </c>
      <c r="L675" s="608">
        <f t="shared" si="4"/>
        <v>254</v>
      </c>
      <c r="M675" s="593">
        <v>0</v>
      </c>
    </row>
    <row r="676" spans="1:13" ht="15">
      <c r="A676" s="1461">
        <v>669</v>
      </c>
      <c r="B676" s="811"/>
      <c r="C676" s="545">
        <v>32</v>
      </c>
      <c r="D676" s="539" t="s">
        <v>1002</v>
      </c>
      <c r="E676" s="782" t="s">
        <v>799</v>
      </c>
      <c r="F676" s="562">
        <f>SUM(H676,L679)</f>
        <v>300</v>
      </c>
      <c r="G676" s="562">
        <v>0</v>
      </c>
      <c r="H676" s="914">
        <v>0</v>
      </c>
      <c r="I676" s="607"/>
      <c r="J676" s="538"/>
      <c r="K676" s="538"/>
      <c r="L676" s="608"/>
      <c r="M676" s="591"/>
    </row>
    <row r="677" spans="1:13" s="752" customFormat="1" ht="15">
      <c r="A677" s="1461">
        <v>670</v>
      </c>
      <c r="B677" s="811"/>
      <c r="C677" s="545"/>
      <c r="D677" s="539" t="s">
        <v>957</v>
      </c>
      <c r="E677" s="782"/>
      <c r="F677" s="562"/>
      <c r="G677" s="557"/>
      <c r="H677" s="791"/>
      <c r="I677" s="607"/>
      <c r="J677" s="538">
        <v>300</v>
      </c>
      <c r="K677" s="538"/>
      <c r="L677" s="609">
        <f t="shared" si="4"/>
        <v>300</v>
      </c>
      <c r="M677" s="586"/>
    </row>
    <row r="678" spans="1:13" s="753" customFormat="1" ht="15">
      <c r="A678" s="1461">
        <v>671</v>
      </c>
      <c r="B678" s="812"/>
      <c r="C678" s="1464"/>
      <c r="D678" s="541" t="s">
        <v>405</v>
      </c>
      <c r="E678" s="805"/>
      <c r="F678" s="806"/>
      <c r="G678" s="567"/>
      <c r="H678" s="745"/>
      <c r="I678" s="610"/>
      <c r="J678" s="555"/>
      <c r="K678" s="555"/>
      <c r="L678" s="611">
        <f t="shared" si="4"/>
        <v>0</v>
      </c>
      <c r="M678" s="594"/>
    </row>
    <row r="679" spans="1:13" s="754" customFormat="1" ht="15">
      <c r="A679" s="1461">
        <v>672</v>
      </c>
      <c r="B679" s="577"/>
      <c r="C679" s="1465"/>
      <c r="D679" s="542" t="s">
        <v>1067</v>
      </c>
      <c r="E679" s="576"/>
      <c r="F679" s="568"/>
      <c r="G679" s="568"/>
      <c r="H679" s="746"/>
      <c r="I679" s="615">
        <f>SUM(I677:I678)</f>
        <v>0</v>
      </c>
      <c r="J679" s="568">
        <f>SUM(J677:J678)</f>
        <v>300</v>
      </c>
      <c r="K679" s="568">
        <f>SUM(K677:K678)</f>
        <v>0</v>
      </c>
      <c r="L679" s="608">
        <f t="shared" si="4"/>
        <v>300</v>
      </c>
      <c r="M679" s="593">
        <v>0</v>
      </c>
    </row>
    <row r="680" spans="1:13" ht="15">
      <c r="A680" s="1461">
        <v>673</v>
      </c>
      <c r="B680" s="811"/>
      <c r="C680" s="545">
        <v>33</v>
      </c>
      <c r="D680" s="539" t="s">
        <v>989</v>
      </c>
      <c r="E680" s="782" t="s">
        <v>799</v>
      </c>
      <c r="F680" s="562">
        <f>SUM(H680,L683)</f>
        <v>89</v>
      </c>
      <c r="G680" s="562">
        <v>0</v>
      </c>
      <c r="H680" s="914">
        <v>0</v>
      </c>
      <c r="I680" s="607"/>
      <c r="J680" s="538"/>
      <c r="K680" s="538"/>
      <c r="L680" s="608"/>
      <c r="M680" s="591"/>
    </row>
    <row r="681" spans="1:13" s="752" customFormat="1" ht="15">
      <c r="A681" s="1461">
        <v>674</v>
      </c>
      <c r="B681" s="811"/>
      <c r="C681" s="545"/>
      <c r="D681" s="539" t="s">
        <v>957</v>
      </c>
      <c r="E681" s="782"/>
      <c r="F681" s="562"/>
      <c r="G681" s="557"/>
      <c r="H681" s="791"/>
      <c r="I681" s="607"/>
      <c r="J681" s="538">
        <v>89</v>
      </c>
      <c r="K681" s="538"/>
      <c r="L681" s="609">
        <f t="shared" si="4"/>
        <v>89</v>
      </c>
      <c r="M681" s="586"/>
    </row>
    <row r="682" spans="1:14" s="753" customFormat="1" ht="15">
      <c r="A682" s="1461">
        <v>675</v>
      </c>
      <c r="B682" s="812"/>
      <c r="C682" s="1464"/>
      <c r="D682" s="541" t="s">
        <v>405</v>
      </c>
      <c r="E682" s="805"/>
      <c r="F682" s="806"/>
      <c r="G682" s="567"/>
      <c r="H682" s="745"/>
      <c r="I682" s="610"/>
      <c r="J682" s="555"/>
      <c r="K682" s="555"/>
      <c r="L682" s="611">
        <f t="shared" si="4"/>
        <v>0</v>
      </c>
      <c r="M682" s="594"/>
      <c r="N682" s="753">
        <f>L682+L678+L674+L670+L666+L658+L629+L625+L621+L613+L609+L605+L601+L574+L544</f>
        <v>0</v>
      </c>
    </row>
    <row r="683" spans="1:13" s="754" customFormat="1" ht="15">
      <c r="A683" s="1461">
        <v>676</v>
      </c>
      <c r="B683" s="577"/>
      <c r="C683" s="1465"/>
      <c r="D683" s="542" t="s">
        <v>1067</v>
      </c>
      <c r="E683" s="576"/>
      <c r="F683" s="568"/>
      <c r="G683" s="568"/>
      <c r="H683" s="746"/>
      <c r="I683" s="615">
        <f>SUM(I681:I682)</f>
        <v>0</v>
      </c>
      <c r="J683" s="568">
        <f>SUM(J681:J682)</f>
        <v>89</v>
      </c>
      <c r="K683" s="568">
        <f>SUM(K681:K682)</f>
        <v>0</v>
      </c>
      <c r="L683" s="608">
        <f t="shared" si="4"/>
        <v>89</v>
      </c>
      <c r="M683" s="593">
        <v>0</v>
      </c>
    </row>
    <row r="684" spans="1:13" ht="15">
      <c r="A684" s="1461">
        <v>677</v>
      </c>
      <c r="B684" s="811"/>
      <c r="C684" s="545">
        <v>34</v>
      </c>
      <c r="D684" s="539" t="s">
        <v>704</v>
      </c>
      <c r="E684" s="782" t="s">
        <v>799</v>
      </c>
      <c r="F684" s="562">
        <f>SUM(H684,L687)</f>
        <v>28</v>
      </c>
      <c r="G684" s="562">
        <v>0</v>
      </c>
      <c r="H684" s="914">
        <v>0</v>
      </c>
      <c r="I684" s="607"/>
      <c r="J684" s="538"/>
      <c r="K684" s="538"/>
      <c r="L684" s="608">
        <f t="shared" si="4"/>
        <v>0</v>
      </c>
      <c r="M684" s="591"/>
    </row>
    <row r="685" spans="1:13" s="752" customFormat="1" ht="15">
      <c r="A685" s="1461">
        <v>678</v>
      </c>
      <c r="B685" s="811"/>
      <c r="C685" s="545"/>
      <c r="D685" s="539" t="s">
        <v>957</v>
      </c>
      <c r="E685" s="782"/>
      <c r="F685" s="562"/>
      <c r="G685" s="557"/>
      <c r="H685" s="791"/>
      <c r="I685" s="607"/>
      <c r="J685" s="538">
        <v>28</v>
      </c>
      <c r="K685" s="538"/>
      <c r="L685" s="609">
        <f t="shared" si="4"/>
        <v>28</v>
      </c>
      <c r="M685" s="586"/>
    </row>
    <row r="686" spans="1:13" s="753" customFormat="1" ht="15">
      <c r="A686" s="1461">
        <v>679</v>
      </c>
      <c r="B686" s="812"/>
      <c r="C686" s="1464"/>
      <c r="D686" s="541" t="s">
        <v>405</v>
      </c>
      <c r="E686" s="805"/>
      <c r="F686" s="806"/>
      <c r="G686" s="567"/>
      <c r="H686" s="745"/>
      <c r="I686" s="610"/>
      <c r="J686" s="555"/>
      <c r="K686" s="555"/>
      <c r="L686" s="611">
        <f t="shared" si="4"/>
        <v>0</v>
      </c>
      <c r="M686" s="594"/>
    </row>
    <row r="687" spans="1:13" s="754" customFormat="1" ht="15">
      <c r="A687" s="1461">
        <v>680</v>
      </c>
      <c r="B687" s="577"/>
      <c r="C687" s="1465"/>
      <c r="D687" s="542" t="s">
        <v>1067</v>
      </c>
      <c r="E687" s="576"/>
      <c r="F687" s="568"/>
      <c r="G687" s="568"/>
      <c r="H687" s="746"/>
      <c r="I687" s="615">
        <f>SUM(I685:I686)</f>
        <v>0</v>
      </c>
      <c r="J687" s="568">
        <f>SUM(J685:J686)</f>
        <v>28</v>
      </c>
      <c r="K687" s="568">
        <f>SUM(K685:K686)</f>
        <v>0</v>
      </c>
      <c r="L687" s="608">
        <f t="shared" si="4"/>
        <v>28</v>
      </c>
      <c r="M687" s="593">
        <v>0</v>
      </c>
    </row>
    <row r="688" spans="1:13" ht="15">
      <c r="A688" s="1461">
        <v>681</v>
      </c>
      <c r="B688" s="811"/>
      <c r="C688" s="545">
        <v>35</v>
      </c>
      <c r="D688" s="539" t="s">
        <v>987</v>
      </c>
      <c r="E688" s="782" t="s">
        <v>799</v>
      </c>
      <c r="F688" s="562">
        <f>SUM(H688,L691)</f>
        <v>29</v>
      </c>
      <c r="G688" s="562">
        <v>0</v>
      </c>
      <c r="H688" s="914">
        <v>0</v>
      </c>
      <c r="I688" s="607"/>
      <c r="J688" s="538"/>
      <c r="K688" s="538"/>
      <c r="L688" s="608"/>
      <c r="M688" s="591"/>
    </row>
    <row r="689" spans="1:13" s="752" customFormat="1" ht="15">
      <c r="A689" s="1461">
        <v>682</v>
      </c>
      <c r="B689" s="811"/>
      <c r="C689" s="545"/>
      <c r="D689" s="539" t="s">
        <v>957</v>
      </c>
      <c r="E689" s="782"/>
      <c r="F689" s="562"/>
      <c r="G689" s="557"/>
      <c r="H689" s="791"/>
      <c r="I689" s="607"/>
      <c r="J689" s="538">
        <v>29</v>
      </c>
      <c r="K689" s="538"/>
      <c r="L689" s="609">
        <f t="shared" si="4"/>
        <v>29</v>
      </c>
      <c r="M689" s="586"/>
    </row>
    <row r="690" spans="1:13" s="753" customFormat="1" ht="15">
      <c r="A690" s="1461">
        <v>683</v>
      </c>
      <c r="B690" s="812"/>
      <c r="C690" s="1464"/>
      <c r="D690" s="541" t="s">
        <v>405</v>
      </c>
      <c r="E690" s="805"/>
      <c r="F690" s="806"/>
      <c r="G690" s="567"/>
      <c r="H690" s="745"/>
      <c r="I690" s="610"/>
      <c r="J690" s="555"/>
      <c r="K690" s="555"/>
      <c r="L690" s="611">
        <f t="shared" si="4"/>
        <v>0</v>
      </c>
      <c r="M690" s="594"/>
    </row>
    <row r="691" spans="1:13" s="754" customFormat="1" ht="15">
      <c r="A691" s="1461">
        <v>684</v>
      </c>
      <c r="B691" s="577"/>
      <c r="C691" s="1465"/>
      <c r="D691" s="542" t="s">
        <v>1067</v>
      </c>
      <c r="E691" s="576"/>
      <c r="F691" s="568"/>
      <c r="G691" s="568"/>
      <c r="H691" s="746"/>
      <c r="I691" s="615">
        <f>SUM(I689:I690)</f>
        <v>0</v>
      </c>
      <c r="J691" s="568">
        <f>SUM(J689:J690)</f>
        <v>29</v>
      </c>
      <c r="K691" s="568">
        <f>SUM(K689:K690)</f>
        <v>0</v>
      </c>
      <c r="L691" s="608">
        <f t="shared" si="4"/>
        <v>29</v>
      </c>
      <c r="M691" s="593">
        <v>0</v>
      </c>
    </row>
    <row r="692" spans="1:13" ht="15">
      <c r="A692" s="1461">
        <v>685</v>
      </c>
      <c r="B692" s="811"/>
      <c r="C692" s="545">
        <v>36</v>
      </c>
      <c r="D692" s="539" t="s">
        <v>988</v>
      </c>
      <c r="E692" s="782" t="s">
        <v>799</v>
      </c>
      <c r="F692" s="562">
        <f>SUM(H692,L695)</f>
        <v>16</v>
      </c>
      <c r="G692" s="562">
        <v>0</v>
      </c>
      <c r="H692" s="914">
        <v>0</v>
      </c>
      <c r="I692" s="607"/>
      <c r="J692" s="538"/>
      <c r="K692" s="538"/>
      <c r="L692" s="608"/>
      <c r="M692" s="591"/>
    </row>
    <row r="693" spans="1:13" s="752" customFormat="1" ht="15">
      <c r="A693" s="1461">
        <v>686</v>
      </c>
      <c r="B693" s="811"/>
      <c r="C693" s="545"/>
      <c r="D693" s="539" t="s">
        <v>957</v>
      </c>
      <c r="E693" s="782"/>
      <c r="F693" s="562"/>
      <c r="G693" s="557"/>
      <c r="H693" s="791"/>
      <c r="I693" s="607"/>
      <c r="J693" s="538">
        <v>16</v>
      </c>
      <c r="K693" s="538"/>
      <c r="L693" s="609">
        <f t="shared" si="4"/>
        <v>16</v>
      </c>
      <c r="M693" s="586"/>
    </row>
    <row r="694" spans="1:13" s="753" customFormat="1" ht="15">
      <c r="A694" s="1461">
        <v>687</v>
      </c>
      <c r="B694" s="812"/>
      <c r="C694" s="1464"/>
      <c r="D694" s="541" t="s">
        <v>405</v>
      </c>
      <c r="E694" s="805"/>
      <c r="F694" s="806"/>
      <c r="G694" s="567"/>
      <c r="H694" s="745"/>
      <c r="I694" s="610"/>
      <c r="J694" s="555"/>
      <c r="K694" s="555"/>
      <c r="L694" s="611">
        <f t="shared" si="4"/>
        <v>0</v>
      </c>
      <c r="M694" s="594"/>
    </row>
    <row r="695" spans="1:13" s="754" customFormat="1" ht="15">
      <c r="A695" s="1461">
        <v>688</v>
      </c>
      <c r="B695" s="577"/>
      <c r="C695" s="1465"/>
      <c r="D695" s="542" t="s">
        <v>1067</v>
      </c>
      <c r="E695" s="576"/>
      <c r="F695" s="568"/>
      <c r="G695" s="568"/>
      <c r="H695" s="746"/>
      <c r="I695" s="615">
        <f>SUM(I693:I694)</f>
        <v>0</v>
      </c>
      <c r="J695" s="568">
        <f>SUM(J693:J694)</f>
        <v>16</v>
      </c>
      <c r="K695" s="568">
        <f>SUM(K693:K694)</f>
        <v>0</v>
      </c>
      <c r="L695" s="608">
        <f t="shared" si="4"/>
        <v>16</v>
      </c>
      <c r="M695" s="593">
        <v>0</v>
      </c>
    </row>
    <row r="696" spans="1:13" ht="15">
      <c r="A696" s="1461">
        <v>689</v>
      </c>
      <c r="B696" s="811"/>
      <c r="C696" s="545">
        <v>37</v>
      </c>
      <c r="D696" s="539" t="s">
        <v>991</v>
      </c>
      <c r="E696" s="782" t="s">
        <v>799</v>
      </c>
      <c r="F696" s="562">
        <f>SUM(H696,L699)</f>
        <v>60</v>
      </c>
      <c r="G696" s="562">
        <v>0</v>
      </c>
      <c r="H696" s="914">
        <v>0</v>
      </c>
      <c r="I696" s="607"/>
      <c r="J696" s="538"/>
      <c r="K696" s="538"/>
      <c r="L696" s="608"/>
      <c r="M696" s="591"/>
    </row>
    <row r="697" spans="1:13" s="752" customFormat="1" ht="15">
      <c r="A697" s="1461">
        <v>690</v>
      </c>
      <c r="B697" s="811"/>
      <c r="C697" s="545"/>
      <c r="D697" s="539" t="s">
        <v>957</v>
      </c>
      <c r="E697" s="782"/>
      <c r="F697" s="562"/>
      <c r="G697" s="557"/>
      <c r="H697" s="791"/>
      <c r="I697" s="607"/>
      <c r="J697" s="538">
        <v>60</v>
      </c>
      <c r="K697" s="538"/>
      <c r="L697" s="609">
        <f t="shared" si="4"/>
        <v>60</v>
      </c>
      <c r="M697" s="586"/>
    </row>
    <row r="698" spans="1:13" s="753" customFormat="1" ht="15">
      <c r="A698" s="1461">
        <v>691</v>
      </c>
      <c r="B698" s="812"/>
      <c r="C698" s="1464"/>
      <c r="D698" s="541" t="s">
        <v>405</v>
      </c>
      <c r="E698" s="805"/>
      <c r="F698" s="806"/>
      <c r="G698" s="567"/>
      <c r="H698" s="745"/>
      <c r="I698" s="610"/>
      <c r="J698" s="555"/>
      <c r="K698" s="555"/>
      <c r="L698" s="611">
        <f t="shared" si="4"/>
        <v>0</v>
      </c>
      <c r="M698" s="594"/>
    </row>
    <row r="699" spans="1:13" s="754" customFormat="1" ht="15">
      <c r="A699" s="1461">
        <v>692</v>
      </c>
      <c r="B699" s="577"/>
      <c r="C699" s="1465"/>
      <c r="D699" s="542" t="s">
        <v>1067</v>
      </c>
      <c r="E699" s="576"/>
      <c r="F699" s="568"/>
      <c r="G699" s="568"/>
      <c r="H699" s="746"/>
      <c r="I699" s="615">
        <f>SUM(I697:I698)</f>
        <v>0</v>
      </c>
      <c r="J699" s="568">
        <f>SUM(J697:J698)</f>
        <v>60</v>
      </c>
      <c r="K699" s="568">
        <f>SUM(K697:K698)</f>
        <v>0</v>
      </c>
      <c r="L699" s="608">
        <f t="shared" si="4"/>
        <v>60</v>
      </c>
      <c r="M699" s="593">
        <v>0</v>
      </c>
    </row>
    <row r="700" spans="1:13" s="752" customFormat="1" ht="15">
      <c r="A700" s="1461">
        <v>693</v>
      </c>
      <c r="B700" s="811"/>
      <c r="C700" s="545">
        <v>38</v>
      </c>
      <c r="D700" s="557" t="s">
        <v>992</v>
      </c>
      <c r="E700" s="782" t="s">
        <v>799</v>
      </c>
      <c r="F700" s="562">
        <f>SUM(H700,L703)</f>
        <v>16</v>
      </c>
      <c r="G700" s="557">
        <v>0</v>
      </c>
      <c r="H700" s="913">
        <v>0</v>
      </c>
      <c r="I700" s="607"/>
      <c r="J700" s="538"/>
      <c r="K700" s="538"/>
      <c r="L700" s="609"/>
      <c r="M700" s="586"/>
    </row>
    <row r="701" spans="1:13" s="752" customFormat="1" ht="15">
      <c r="A701" s="1461">
        <v>694</v>
      </c>
      <c r="B701" s="811"/>
      <c r="C701" s="545"/>
      <c r="D701" s="539" t="s">
        <v>957</v>
      </c>
      <c r="E701" s="782"/>
      <c r="F701" s="562"/>
      <c r="G701" s="557"/>
      <c r="H701" s="791"/>
      <c r="I701" s="607"/>
      <c r="J701" s="538">
        <v>16</v>
      </c>
      <c r="K701" s="538"/>
      <c r="L701" s="609">
        <f t="shared" si="4"/>
        <v>16</v>
      </c>
      <c r="M701" s="586"/>
    </row>
    <row r="702" spans="1:13" s="753" customFormat="1" ht="15">
      <c r="A702" s="1461">
        <v>695</v>
      </c>
      <c r="B702" s="812"/>
      <c r="C702" s="1464"/>
      <c r="D702" s="541" t="s">
        <v>405</v>
      </c>
      <c r="E702" s="805"/>
      <c r="F702" s="806"/>
      <c r="G702" s="567"/>
      <c r="H702" s="745"/>
      <c r="I702" s="610"/>
      <c r="J702" s="555"/>
      <c r="K702" s="555"/>
      <c r="L702" s="611">
        <f t="shared" si="4"/>
        <v>0</v>
      </c>
      <c r="M702" s="594"/>
    </row>
    <row r="703" spans="1:13" s="754" customFormat="1" ht="15">
      <c r="A703" s="1461">
        <v>696</v>
      </c>
      <c r="B703" s="577"/>
      <c r="C703" s="1465"/>
      <c r="D703" s="542" t="s">
        <v>1067</v>
      </c>
      <c r="E703" s="576"/>
      <c r="F703" s="568"/>
      <c r="G703" s="568"/>
      <c r="H703" s="746"/>
      <c r="I703" s="615">
        <f>SUM(I701:I702)</f>
        <v>0</v>
      </c>
      <c r="J703" s="568">
        <f>SUM(J701:J702)</f>
        <v>16</v>
      </c>
      <c r="K703" s="568">
        <f>SUM(K701:K702)</f>
        <v>0</v>
      </c>
      <c r="L703" s="608">
        <f t="shared" si="4"/>
        <v>16</v>
      </c>
      <c r="M703" s="593">
        <v>0</v>
      </c>
    </row>
    <row r="704" spans="1:13" s="752" customFormat="1" ht="15">
      <c r="A704" s="1461">
        <v>697</v>
      </c>
      <c r="B704" s="811"/>
      <c r="C704" s="545">
        <v>39</v>
      </c>
      <c r="D704" s="557" t="s">
        <v>993</v>
      </c>
      <c r="E704" s="782" t="s">
        <v>799</v>
      </c>
      <c r="F704" s="562">
        <f>SUM(H704,L707)</f>
        <v>48</v>
      </c>
      <c r="G704" s="557">
        <v>0</v>
      </c>
      <c r="H704" s="913">
        <v>0</v>
      </c>
      <c r="I704" s="607"/>
      <c r="J704" s="538"/>
      <c r="K704" s="538"/>
      <c r="L704" s="609"/>
      <c r="M704" s="586"/>
    </row>
    <row r="705" spans="1:13" s="752" customFormat="1" ht="15">
      <c r="A705" s="1461">
        <v>698</v>
      </c>
      <c r="B705" s="811"/>
      <c r="C705" s="545"/>
      <c r="D705" s="539" t="s">
        <v>957</v>
      </c>
      <c r="E705" s="782"/>
      <c r="F705" s="562"/>
      <c r="G705" s="557"/>
      <c r="H705" s="791"/>
      <c r="I705" s="607"/>
      <c r="J705" s="538">
        <v>48</v>
      </c>
      <c r="K705" s="538"/>
      <c r="L705" s="609">
        <f t="shared" si="4"/>
        <v>48</v>
      </c>
      <c r="M705" s="586"/>
    </row>
    <row r="706" spans="1:13" s="753" customFormat="1" ht="15">
      <c r="A706" s="1461">
        <v>699</v>
      </c>
      <c r="B706" s="812"/>
      <c r="C706" s="1464"/>
      <c r="D706" s="541" t="s">
        <v>405</v>
      </c>
      <c r="E706" s="805"/>
      <c r="F706" s="806"/>
      <c r="G706" s="567"/>
      <c r="H706" s="745"/>
      <c r="I706" s="610"/>
      <c r="J706" s="555"/>
      <c r="K706" s="555"/>
      <c r="L706" s="611">
        <f t="shared" si="4"/>
        <v>0</v>
      </c>
      <c r="M706" s="594"/>
    </row>
    <row r="707" spans="1:13" s="754" customFormat="1" ht="15">
      <c r="A707" s="1461">
        <v>700</v>
      </c>
      <c r="B707" s="577"/>
      <c r="C707" s="1465"/>
      <c r="D707" s="542" t="s">
        <v>1067</v>
      </c>
      <c r="E707" s="576"/>
      <c r="F707" s="568"/>
      <c r="G707" s="568"/>
      <c r="H707" s="746"/>
      <c r="I707" s="615">
        <f>SUM(I705:I706)</f>
        <v>0</v>
      </c>
      <c r="J707" s="568">
        <f>SUM(J705:J706)</f>
        <v>48</v>
      </c>
      <c r="K707" s="568">
        <f>SUM(K705:K706)</f>
        <v>0</v>
      </c>
      <c r="L707" s="608">
        <f t="shared" si="4"/>
        <v>48</v>
      </c>
      <c r="M707" s="593">
        <v>0</v>
      </c>
    </row>
    <row r="708" spans="1:13" s="752" customFormat="1" ht="15">
      <c r="A708" s="1461">
        <v>701</v>
      </c>
      <c r="B708" s="811"/>
      <c r="C708" s="545">
        <v>40</v>
      </c>
      <c r="D708" s="557" t="s">
        <v>986</v>
      </c>
      <c r="E708" s="782" t="s">
        <v>799</v>
      </c>
      <c r="F708" s="562">
        <f>SUM(H708,L711)</f>
        <v>60</v>
      </c>
      <c r="G708" s="557">
        <v>0</v>
      </c>
      <c r="H708" s="913">
        <v>0</v>
      </c>
      <c r="I708" s="607"/>
      <c r="J708" s="538"/>
      <c r="K708" s="538"/>
      <c r="L708" s="609"/>
      <c r="M708" s="586"/>
    </row>
    <row r="709" spans="1:13" s="752" customFormat="1" ht="15">
      <c r="A709" s="1461">
        <v>702</v>
      </c>
      <c r="B709" s="811"/>
      <c r="C709" s="545"/>
      <c r="D709" s="539" t="s">
        <v>957</v>
      </c>
      <c r="E709" s="782"/>
      <c r="F709" s="562"/>
      <c r="G709" s="557"/>
      <c r="H709" s="791"/>
      <c r="I709" s="607"/>
      <c r="J709" s="538">
        <v>60</v>
      </c>
      <c r="K709" s="538"/>
      <c r="L709" s="609">
        <f t="shared" si="4"/>
        <v>60</v>
      </c>
      <c r="M709" s="586"/>
    </row>
    <row r="710" spans="1:13" s="753" customFormat="1" ht="15">
      <c r="A710" s="1461">
        <v>703</v>
      </c>
      <c r="B710" s="812"/>
      <c r="C710" s="1464"/>
      <c r="D710" s="541" t="s">
        <v>405</v>
      </c>
      <c r="E710" s="805"/>
      <c r="F710" s="806"/>
      <c r="G710" s="567"/>
      <c r="H710" s="745"/>
      <c r="I710" s="610"/>
      <c r="J710" s="555"/>
      <c r="K710" s="555"/>
      <c r="L710" s="611">
        <f t="shared" si="4"/>
        <v>0</v>
      </c>
      <c r="M710" s="594"/>
    </row>
    <row r="711" spans="1:15" s="754" customFormat="1" ht="15">
      <c r="A711" s="1461">
        <v>704</v>
      </c>
      <c r="B711" s="577"/>
      <c r="C711" s="1465"/>
      <c r="D711" s="542" t="s">
        <v>1067</v>
      </c>
      <c r="E711" s="576"/>
      <c r="F711" s="568"/>
      <c r="G711" s="568"/>
      <c r="H711" s="746"/>
      <c r="I711" s="615">
        <f>SUM(I709:I710)</f>
        <v>0</v>
      </c>
      <c r="J711" s="568">
        <f>SUM(J709:J710)</f>
        <v>60</v>
      </c>
      <c r="K711" s="568">
        <f>SUM(K709:K710)</f>
        <v>0</v>
      </c>
      <c r="L711" s="608">
        <f t="shared" si="4"/>
        <v>60</v>
      </c>
      <c r="M711" s="593">
        <v>0</v>
      </c>
      <c r="O711" s="754">
        <f>J710+J706+J702+J698+J694+J690+J686+J682+J678+J674+J670+J666+J658+J633+J621+J617+J613+J609+J605+J601+J593+J584+J579+J574+J569+J564+J559+J554+J549+J544+J662</f>
        <v>0</v>
      </c>
    </row>
    <row r="712" spans="1:13" s="752" customFormat="1" ht="15">
      <c r="A712" s="1461">
        <v>705</v>
      </c>
      <c r="B712" s="535">
        <v>3</v>
      </c>
      <c r="C712" s="545"/>
      <c r="D712" s="536" t="s">
        <v>421</v>
      </c>
      <c r="E712" s="782"/>
      <c r="F712" s="564"/>
      <c r="G712" s="564"/>
      <c r="H712" s="912"/>
      <c r="I712" s="607"/>
      <c r="J712" s="538"/>
      <c r="K712" s="538"/>
      <c r="L712" s="609"/>
      <c r="M712" s="589"/>
    </row>
    <row r="713" spans="1:13" s="752" customFormat="1" ht="15">
      <c r="A713" s="1461">
        <v>706</v>
      </c>
      <c r="B713" s="811"/>
      <c r="C713" s="545">
        <v>1</v>
      </c>
      <c r="D713" s="557" t="s">
        <v>309</v>
      </c>
      <c r="E713" s="782" t="s">
        <v>799</v>
      </c>
      <c r="F713" s="562">
        <f>SUM(H713,L717)</f>
        <v>500</v>
      </c>
      <c r="G713" s="557">
        <v>0</v>
      </c>
      <c r="H713" s="913">
        <v>0</v>
      </c>
      <c r="I713" s="607"/>
      <c r="J713" s="538"/>
      <c r="K713" s="538"/>
      <c r="L713" s="609"/>
      <c r="M713" s="586"/>
    </row>
    <row r="714" spans="1:13" ht="15">
      <c r="A714" s="1461">
        <v>707</v>
      </c>
      <c r="B714" s="811"/>
      <c r="C714" s="545"/>
      <c r="D714" s="539" t="s">
        <v>403</v>
      </c>
      <c r="E714" s="782"/>
      <c r="F714" s="567"/>
      <c r="G714" s="562"/>
      <c r="H714" s="914"/>
      <c r="I714" s="607"/>
      <c r="J714" s="538">
        <v>500</v>
      </c>
      <c r="K714" s="538"/>
      <c r="L714" s="609">
        <f>SUM(I714:K714)</f>
        <v>500</v>
      </c>
      <c r="M714" s="591"/>
    </row>
    <row r="715" spans="1:13" ht="15">
      <c r="A715" s="1461">
        <v>708</v>
      </c>
      <c r="B715" s="811"/>
      <c r="C715" s="545"/>
      <c r="D715" s="539" t="s">
        <v>957</v>
      </c>
      <c r="E715" s="782"/>
      <c r="F715" s="567"/>
      <c r="G715" s="562"/>
      <c r="H715" s="914"/>
      <c r="I715" s="607"/>
      <c r="J715" s="538">
        <v>500</v>
      </c>
      <c r="K715" s="538"/>
      <c r="L715" s="609">
        <f>SUM(I715:K715)</f>
        <v>500</v>
      </c>
      <c r="M715" s="591"/>
    </row>
    <row r="716" spans="1:13" s="753" customFormat="1" ht="15">
      <c r="A716" s="1461">
        <v>709</v>
      </c>
      <c r="B716" s="812"/>
      <c r="C716" s="1464"/>
      <c r="D716" s="541" t="s">
        <v>405</v>
      </c>
      <c r="E716" s="576"/>
      <c r="F716" s="568"/>
      <c r="G716" s="567"/>
      <c r="H716" s="915"/>
      <c r="I716" s="610"/>
      <c r="J716" s="555"/>
      <c r="K716" s="555"/>
      <c r="L716" s="611">
        <f>SUM(I716:K716)</f>
        <v>0</v>
      </c>
      <c r="M716" s="594"/>
    </row>
    <row r="717" spans="1:13" s="754" customFormat="1" ht="15">
      <c r="A717" s="1461">
        <v>710</v>
      </c>
      <c r="B717" s="577"/>
      <c r="C717" s="1465"/>
      <c r="D717" s="542" t="s">
        <v>1067</v>
      </c>
      <c r="E717" s="779"/>
      <c r="F717" s="557"/>
      <c r="G717" s="568"/>
      <c r="H717" s="911"/>
      <c r="I717" s="615">
        <f>SUM(I715:I716)</f>
        <v>0</v>
      </c>
      <c r="J717" s="568">
        <f>SUM(J715:J716)</f>
        <v>500</v>
      </c>
      <c r="K717" s="568">
        <f>SUM(K715:K716)</f>
        <v>0</v>
      </c>
      <c r="L717" s="608">
        <f>SUM(I717:K717)</f>
        <v>500</v>
      </c>
      <c r="M717" s="593">
        <f>SUM(M714:M716)</f>
        <v>0</v>
      </c>
    </row>
    <row r="718" spans="1:13" s="752" customFormat="1" ht="15">
      <c r="A718" s="1461">
        <v>711</v>
      </c>
      <c r="B718" s="811"/>
      <c r="C718" s="545">
        <v>2</v>
      </c>
      <c r="D718" s="557" t="s">
        <v>556</v>
      </c>
      <c r="E718" s="782" t="s">
        <v>799</v>
      </c>
      <c r="F718" s="562">
        <f>SUM(H718,L722)</f>
        <v>270</v>
      </c>
      <c r="G718" s="557">
        <v>0</v>
      </c>
      <c r="H718" s="913">
        <v>0</v>
      </c>
      <c r="I718" s="607"/>
      <c r="J718" s="538"/>
      <c r="K718" s="538"/>
      <c r="L718" s="609"/>
      <c r="M718" s="586"/>
    </row>
    <row r="719" spans="1:13" ht="15">
      <c r="A719" s="1461">
        <v>712</v>
      </c>
      <c r="B719" s="811"/>
      <c r="C719" s="545"/>
      <c r="D719" s="539" t="s">
        <v>403</v>
      </c>
      <c r="E719" s="782"/>
      <c r="F719" s="567"/>
      <c r="G719" s="562"/>
      <c r="H719" s="914"/>
      <c r="I719" s="607"/>
      <c r="J719" s="538">
        <v>315</v>
      </c>
      <c r="K719" s="538"/>
      <c r="L719" s="609">
        <f>SUM(I719:K719)</f>
        <v>315</v>
      </c>
      <c r="M719" s="591"/>
    </row>
    <row r="720" spans="1:13" ht="15">
      <c r="A720" s="1461">
        <v>713</v>
      </c>
      <c r="B720" s="811"/>
      <c r="C720" s="545"/>
      <c r="D720" s="539" t="s">
        <v>957</v>
      </c>
      <c r="E720" s="782"/>
      <c r="F720" s="567"/>
      <c r="G720" s="562"/>
      <c r="H720" s="914"/>
      <c r="I720" s="607"/>
      <c r="J720" s="538">
        <v>270</v>
      </c>
      <c r="K720" s="538"/>
      <c r="L720" s="609">
        <f>SUM(I720:K720)</f>
        <v>270</v>
      </c>
      <c r="M720" s="591"/>
    </row>
    <row r="721" spans="1:13" s="753" customFormat="1" ht="15">
      <c r="A721" s="1461">
        <v>714</v>
      </c>
      <c r="B721" s="812"/>
      <c r="C721" s="1464"/>
      <c r="D721" s="541" t="s">
        <v>405</v>
      </c>
      <c r="E721" s="576"/>
      <c r="F721" s="568"/>
      <c r="G721" s="567"/>
      <c r="H721" s="915"/>
      <c r="I721" s="610"/>
      <c r="J721" s="555"/>
      <c r="K721" s="555"/>
      <c r="L721" s="611">
        <f>SUM(I721:K721)</f>
        <v>0</v>
      </c>
      <c r="M721" s="594"/>
    </row>
    <row r="722" spans="1:13" s="754" customFormat="1" ht="15">
      <c r="A722" s="1461">
        <v>715</v>
      </c>
      <c r="B722" s="577"/>
      <c r="C722" s="1465"/>
      <c r="D722" s="542" t="s">
        <v>1067</v>
      </c>
      <c r="E722" s="779"/>
      <c r="F722" s="557"/>
      <c r="G722" s="568"/>
      <c r="H722" s="911"/>
      <c r="I722" s="615">
        <f>SUM(I720:I721)</f>
        <v>0</v>
      </c>
      <c r="J722" s="568">
        <f>SUM(J720:J721)</f>
        <v>270</v>
      </c>
      <c r="K722" s="568">
        <f>SUM(K720:K721)</f>
        <v>0</v>
      </c>
      <c r="L722" s="608">
        <f>SUM(I722:K722)</f>
        <v>270</v>
      </c>
      <c r="M722" s="593">
        <f>SUM(M719:M721)</f>
        <v>0</v>
      </c>
    </row>
    <row r="723" spans="1:13" s="752" customFormat="1" ht="15">
      <c r="A723" s="1461">
        <v>716</v>
      </c>
      <c r="B723" s="811"/>
      <c r="C723" s="545">
        <v>3</v>
      </c>
      <c r="D723" s="557" t="s">
        <v>557</v>
      </c>
      <c r="E723" s="782" t="s">
        <v>799</v>
      </c>
      <c r="F723" s="562">
        <f>SUM(H723,L727)</f>
        <v>70</v>
      </c>
      <c r="G723" s="557">
        <v>0</v>
      </c>
      <c r="H723" s="913">
        <v>0</v>
      </c>
      <c r="I723" s="607"/>
      <c r="J723" s="538"/>
      <c r="K723" s="538"/>
      <c r="L723" s="609"/>
      <c r="M723" s="586"/>
    </row>
    <row r="724" spans="1:13" ht="15">
      <c r="A724" s="1461">
        <v>717</v>
      </c>
      <c r="B724" s="811"/>
      <c r="C724" s="545"/>
      <c r="D724" s="539" t="s">
        <v>403</v>
      </c>
      <c r="E724" s="782"/>
      <c r="F724" s="567"/>
      <c r="G724" s="562"/>
      <c r="H724" s="914"/>
      <c r="I724" s="607"/>
      <c r="J724" s="538">
        <v>100</v>
      </c>
      <c r="K724" s="538"/>
      <c r="L724" s="609">
        <f>SUM(I724:K724)</f>
        <v>100</v>
      </c>
      <c r="M724" s="591"/>
    </row>
    <row r="725" spans="1:13" ht="15">
      <c r="A725" s="1461">
        <v>718</v>
      </c>
      <c r="B725" s="811"/>
      <c r="C725" s="545"/>
      <c r="D725" s="539" t="s">
        <v>957</v>
      </c>
      <c r="E725" s="782"/>
      <c r="F725" s="567"/>
      <c r="G725" s="562"/>
      <c r="H725" s="914"/>
      <c r="I725" s="607"/>
      <c r="J725" s="538">
        <v>70</v>
      </c>
      <c r="K725" s="538"/>
      <c r="L725" s="609">
        <f>SUM(I725:K725)</f>
        <v>70</v>
      </c>
      <c r="M725" s="591"/>
    </row>
    <row r="726" spans="1:13" s="753" customFormat="1" ht="15">
      <c r="A726" s="1461">
        <v>719</v>
      </c>
      <c r="B726" s="812"/>
      <c r="C726" s="1464"/>
      <c r="D726" s="541" t="s">
        <v>405</v>
      </c>
      <c r="E726" s="576"/>
      <c r="F726" s="568"/>
      <c r="G726" s="567"/>
      <c r="H726" s="915"/>
      <c r="I726" s="610"/>
      <c r="J726" s="555"/>
      <c r="K726" s="555"/>
      <c r="L726" s="611">
        <f>SUM(I726:K726)</f>
        <v>0</v>
      </c>
      <c r="M726" s="594"/>
    </row>
    <row r="727" spans="1:13" s="754" customFormat="1" ht="15">
      <c r="A727" s="1461">
        <v>720</v>
      </c>
      <c r="B727" s="577"/>
      <c r="C727" s="1465"/>
      <c r="D727" s="542" t="s">
        <v>1067</v>
      </c>
      <c r="E727" s="779"/>
      <c r="F727" s="557"/>
      <c r="G727" s="568"/>
      <c r="H727" s="911"/>
      <c r="I727" s="615">
        <f>SUM(I725:I726)</f>
        <v>0</v>
      </c>
      <c r="J727" s="568">
        <f>SUM(J725:J726)</f>
        <v>70</v>
      </c>
      <c r="K727" s="568">
        <f>SUM(K725:K726)</f>
        <v>0</v>
      </c>
      <c r="L727" s="608">
        <f>SUM(I727:K727)</f>
        <v>70</v>
      </c>
      <c r="M727" s="593">
        <f>SUM(M724:M726)</f>
        <v>0</v>
      </c>
    </row>
    <row r="728" spans="1:13" s="752" customFormat="1" ht="15">
      <c r="A728" s="1461">
        <v>721</v>
      </c>
      <c r="B728" s="811"/>
      <c r="C728" s="545">
        <v>4</v>
      </c>
      <c r="D728" s="557" t="s">
        <v>558</v>
      </c>
      <c r="E728" s="782" t="s">
        <v>799</v>
      </c>
      <c r="F728" s="562">
        <f>SUM(H728,L732)</f>
        <v>180</v>
      </c>
      <c r="G728" s="557">
        <v>0</v>
      </c>
      <c r="H728" s="913">
        <v>0</v>
      </c>
      <c r="I728" s="607"/>
      <c r="J728" s="538"/>
      <c r="K728" s="538"/>
      <c r="L728" s="609"/>
      <c r="M728" s="586"/>
    </row>
    <row r="729" spans="1:13" ht="15">
      <c r="A729" s="1461">
        <v>722</v>
      </c>
      <c r="B729" s="811"/>
      <c r="C729" s="545"/>
      <c r="D729" s="539" t="s">
        <v>403</v>
      </c>
      <c r="E729" s="788"/>
      <c r="F729" s="796"/>
      <c r="G729" s="562"/>
      <c r="H729" s="914"/>
      <c r="I729" s="607"/>
      <c r="J729" s="538">
        <v>150</v>
      </c>
      <c r="K729" s="538"/>
      <c r="L729" s="609">
        <f>SUM(I729:K729)</f>
        <v>150</v>
      </c>
      <c r="M729" s="591"/>
    </row>
    <row r="730" spans="1:13" ht="15">
      <c r="A730" s="1461">
        <v>723</v>
      </c>
      <c r="B730" s="811"/>
      <c r="C730" s="545"/>
      <c r="D730" s="539" t="s">
        <v>957</v>
      </c>
      <c r="E730" s="788"/>
      <c r="F730" s="796"/>
      <c r="G730" s="562"/>
      <c r="H730" s="914"/>
      <c r="I730" s="607"/>
      <c r="J730" s="538">
        <v>180</v>
      </c>
      <c r="K730" s="538"/>
      <c r="L730" s="609">
        <f>SUM(I730:K730)</f>
        <v>180</v>
      </c>
      <c r="M730" s="591"/>
    </row>
    <row r="731" spans="1:13" s="753" customFormat="1" ht="15">
      <c r="A731" s="1461">
        <v>724</v>
      </c>
      <c r="B731" s="812"/>
      <c r="C731" s="1464"/>
      <c r="D731" s="541" t="s">
        <v>405</v>
      </c>
      <c r="E731" s="782"/>
      <c r="F731" s="567"/>
      <c r="G731" s="567"/>
      <c r="H731" s="915"/>
      <c r="I731" s="610"/>
      <c r="J731" s="555"/>
      <c r="K731" s="555"/>
      <c r="L731" s="611">
        <f>SUM(I731:K731)</f>
        <v>0</v>
      </c>
      <c r="M731" s="594"/>
    </row>
    <row r="732" spans="1:13" s="754" customFormat="1" ht="15">
      <c r="A732" s="1461">
        <v>725</v>
      </c>
      <c r="B732" s="577"/>
      <c r="C732" s="1465"/>
      <c r="D732" s="542" t="s">
        <v>1067</v>
      </c>
      <c r="E732" s="576"/>
      <c r="F732" s="568"/>
      <c r="G732" s="568"/>
      <c r="H732" s="911"/>
      <c r="I732" s="615">
        <f>SUM(I730:I731)</f>
        <v>0</v>
      </c>
      <c r="J732" s="568">
        <f>SUM(J730:J731)</f>
        <v>180</v>
      </c>
      <c r="K732" s="568">
        <f>SUM(K730:K731)</f>
        <v>0</v>
      </c>
      <c r="L732" s="608">
        <f>SUM(I732:K732)</f>
        <v>180</v>
      </c>
      <c r="M732" s="593">
        <f>SUM(M729:M731)</f>
        <v>0</v>
      </c>
    </row>
    <row r="733" spans="1:13" s="752" customFormat="1" ht="15">
      <c r="A733" s="1461">
        <v>726</v>
      </c>
      <c r="B733" s="535"/>
      <c r="C733" s="545">
        <v>5</v>
      </c>
      <c r="D733" s="557" t="s">
        <v>1045</v>
      </c>
      <c r="E733" s="782" t="s">
        <v>799</v>
      </c>
      <c r="F733" s="562">
        <f>SUM(H733,L737)</f>
        <v>0</v>
      </c>
      <c r="G733" s="557">
        <v>0</v>
      </c>
      <c r="H733" s="913">
        <v>0</v>
      </c>
      <c r="I733" s="607"/>
      <c r="J733" s="538"/>
      <c r="K733" s="538"/>
      <c r="L733" s="609"/>
      <c r="M733" s="586"/>
    </row>
    <row r="734" spans="1:13" ht="15">
      <c r="A734" s="1461">
        <v>727</v>
      </c>
      <c r="B734" s="811"/>
      <c r="C734" s="545"/>
      <c r="D734" s="539" t="s">
        <v>403</v>
      </c>
      <c r="E734" s="782"/>
      <c r="F734" s="567"/>
      <c r="G734" s="562"/>
      <c r="H734" s="914"/>
      <c r="I734" s="607"/>
      <c r="J734" s="538">
        <v>300</v>
      </c>
      <c r="K734" s="538"/>
      <c r="L734" s="609">
        <f>SUM(I734:K734)</f>
        <v>300</v>
      </c>
      <c r="M734" s="591"/>
    </row>
    <row r="735" spans="1:13" ht="15">
      <c r="A735" s="1461">
        <v>728</v>
      </c>
      <c r="B735" s="811"/>
      <c r="C735" s="545"/>
      <c r="D735" s="539" t="s">
        <v>957</v>
      </c>
      <c r="E735" s="782"/>
      <c r="F735" s="567"/>
      <c r="G735" s="562"/>
      <c r="H735" s="914"/>
      <c r="I735" s="607"/>
      <c r="J735" s="538">
        <v>0</v>
      </c>
      <c r="K735" s="538"/>
      <c r="L735" s="609">
        <f>SUM(I735:K735)</f>
        <v>0</v>
      </c>
      <c r="M735" s="591"/>
    </row>
    <row r="736" spans="1:13" s="753" customFormat="1" ht="15">
      <c r="A736" s="1461">
        <v>729</v>
      </c>
      <c r="B736" s="812"/>
      <c r="C736" s="1464"/>
      <c r="D736" s="541" t="s">
        <v>405</v>
      </c>
      <c r="E736" s="576"/>
      <c r="F736" s="568"/>
      <c r="G736" s="567"/>
      <c r="H736" s="915"/>
      <c r="I736" s="610"/>
      <c r="J736" s="555"/>
      <c r="K736" s="555"/>
      <c r="L736" s="611">
        <f>SUM(I736:K736)</f>
        <v>0</v>
      </c>
      <c r="M736" s="594"/>
    </row>
    <row r="737" spans="1:13" s="754" customFormat="1" ht="15">
      <c r="A737" s="1461">
        <v>730</v>
      </c>
      <c r="B737" s="577"/>
      <c r="C737" s="1465"/>
      <c r="D737" s="542" t="s">
        <v>1067</v>
      </c>
      <c r="E737" s="779"/>
      <c r="F737" s="557"/>
      <c r="G737" s="568"/>
      <c r="H737" s="911"/>
      <c r="I737" s="615">
        <f>SUM(I735:I736)</f>
        <v>0</v>
      </c>
      <c r="J737" s="568">
        <f>SUM(J735:J736)</f>
        <v>0</v>
      </c>
      <c r="K737" s="568">
        <f>SUM(K735:K736)</f>
        <v>0</v>
      </c>
      <c r="L737" s="608">
        <f>SUM(I737:K737)</f>
        <v>0</v>
      </c>
      <c r="M737" s="593">
        <f>SUM(M734:M736)</f>
        <v>0</v>
      </c>
    </row>
    <row r="738" spans="1:13" ht="15">
      <c r="A738" s="1461">
        <v>731</v>
      </c>
      <c r="B738" s="811"/>
      <c r="C738" s="545">
        <v>6</v>
      </c>
      <c r="D738" s="539" t="s">
        <v>997</v>
      </c>
      <c r="E738" s="782" t="s">
        <v>799</v>
      </c>
      <c r="F738" s="562">
        <f>SUM(H738,L741)</f>
        <v>60</v>
      </c>
      <c r="G738" s="562">
        <v>0</v>
      </c>
      <c r="H738" s="914">
        <v>0</v>
      </c>
      <c r="I738" s="607"/>
      <c r="J738" s="538"/>
      <c r="K738" s="538"/>
      <c r="L738" s="608">
        <f aca="true" t="shared" si="5" ref="L738:L757">SUM(I738:K738)</f>
        <v>0</v>
      </c>
      <c r="M738" s="591"/>
    </row>
    <row r="739" spans="1:13" s="752" customFormat="1" ht="15">
      <c r="A739" s="1461">
        <v>732</v>
      </c>
      <c r="B739" s="811"/>
      <c r="C739" s="545"/>
      <c r="D739" s="539" t="s">
        <v>957</v>
      </c>
      <c r="E739" s="782"/>
      <c r="F739" s="562"/>
      <c r="G739" s="557"/>
      <c r="H739" s="791"/>
      <c r="I739" s="607"/>
      <c r="J739" s="538">
        <v>60</v>
      </c>
      <c r="K739" s="538"/>
      <c r="L739" s="609">
        <f t="shared" si="5"/>
        <v>60</v>
      </c>
      <c r="M739" s="586"/>
    </row>
    <row r="740" spans="1:13" s="753" customFormat="1" ht="15">
      <c r="A740" s="1461">
        <v>733</v>
      </c>
      <c r="B740" s="812"/>
      <c r="C740" s="1464"/>
      <c r="D740" s="541" t="s">
        <v>405</v>
      </c>
      <c r="E740" s="805"/>
      <c r="F740" s="806"/>
      <c r="G740" s="567"/>
      <c r="H740" s="745"/>
      <c r="I740" s="610"/>
      <c r="J740" s="555"/>
      <c r="K740" s="555"/>
      <c r="L740" s="611">
        <f t="shared" si="5"/>
        <v>0</v>
      </c>
      <c r="M740" s="594"/>
    </row>
    <row r="741" spans="1:13" s="754" customFormat="1" ht="15">
      <c r="A741" s="1461">
        <v>734</v>
      </c>
      <c r="B741" s="577"/>
      <c r="C741" s="1465"/>
      <c r="D741" s="542" t="s">
        <v>1067</v>
      </c>
      <c r="E741" s="576"/>
      <c r="F741" s="568"/>
      <c r="G741" s="568"/>
      <c r="H741" s="746"/>
      <c r="I741" s="615">
        <f>SUM(I739:I740)</f>
        <v>0</v>
      </c>
      <c r="J741" s="568">
        <f>SUM(J739:J740)</f>
        <v>60</v>
      </c>
      <c r="K741" s="568">
        <f>SUM(K739:K740)</f>
        <v>0</v>
      </c>
      <c r="L741" s="608">
        <f t="shared" si="5"/>
        <v>60</v>
      </c>
      <c r="M741" s="593">
        <v>0</v>
      </c>
    </row>
    <row r="742" spans="1:13" ht="15">
      <c r="A742" s="1461">
        <v>735</v>
      </c>
      <c r="B742" s="811"/>
      <c r="C742" s="545">
        <v>7</v>
      </c>
      <c r="D742" s="539" t="s">
        <v>998</v>
      </c>
      <c r="E742" s="782" t="s">
        <v>799</v>
      </c>
      <c r="F742" s="562">
        <f>SUM(H742,L745)</f>
        <v>44</v>
      </c>
      <c r="G742" s="562">
        <v>0</v>
      </c>
      <c r="H742" s="914">
        <v>0</v>
      </c>
      <c r="I742" s="607"/>
      <c r="J742" s="538"/>
      <c r="K742" s="538"/>
      <c r="L742" s="608"/>
      <c r="M742" s="591"/>
    </row>
    <row r="743" spans="1:13" s="752" customFormat="1" ht="15">
      <c r="A743" s="1461">
        <v>736</v>
      </c>
      <c r="B743" s="811"/>
      <c r="C743" s="545"/>
      <c r="D743" s="539" t="s">
        <v>957</v>
      </c>
      <c r="E743" s="782"/>
      <c r="F743" s="562"/>
      <c r="G743" s="557"/>
      <c r="H743" s="791"/>
      <c r="I743" s="607"/>
      <c r="J743" s="538">
        <v>44</v>
      </c>
      <c r="K743" s="538"/>
      <c r="L743" s="609">
        <f t="shared" si="5"/>
        <v>44</v>
      </c>
      <c r="M743" s="586"/>
    </row>
    <row r="744" spans="1:13" s="753" customFormat="1" ht="15">
      <c r="A744" s="1461">
        <v>737</v>
      </c>
      <c r="B744" s="812"/>
      <c r="C744" s="1464"/>
      <c r="D744" s="541" t="s">
        <v>405</v>
      </c>
      <c r="E744" s="805"/>
      <c r="F744" s="806"/>
      <c r="G744" s="567"/>
      <c r="H744" s="745"/>
      <c r="I744" s="610"/>
      <c r="J744" s="555"/>
      <c r="K744" s="555"/>
      <c r="L744" s="611">
        <f t="shared" si="5"/>
        <v>0</v>
      </c>
      <c r="M744" s="594"/>
    </row>
    <row r="745" spans="1:13" s="754" customFormat="1" ht="15">
      <c r="A745" s="1461">
        <v>738</v>
      </c>
      <c r="B745" s="577"/>
      <c r="C745" s="1465"/>
      <c r="D745" s="542" t="s">
        <v>1067</v>
      </c>
      <c r="E745" s="576"/>
      <c r="F745" s="568"/>
      <c r="G745" s="568"/>
      <c r="H745" s="746"/>
      <c r="I745" s="615">
        <f>SUM(I743:I744)</f>
        <v>0</v>
      </c>
      <c r="J745" s="568">
        <f>SUM(J743:J744)</f>
        <v>44</v>
      </c>
      <c r="K745" s="568">
        <f>SUM(K743:K744)</f>
        <v>0</v>
      </c>
      <c r="L745" s="608">
        <f t="shared" si="5"/>
        <v>44</v>
      </c>
      <c r="M745" s="593">
        <v>0</v>
      </c>
    </row>
    <row r="746" spans="1:13" ht="15">
      <c r="A746" s="1461">
        <v>739</v>
      </c>
      <c r="B746" s="811"/>
      <c r="C746" s="545">
        <v>8</v>
      </c>
      <c r="D746" s="539" t="s">
        <v>999</v>
      </c>
      <c r="E746" s="782" t="s">
        <v>799</v>
      </c>
      <c r="F746" s="562">
        <f>SUM(H746,L749)</f>
        <v>17</v>
      </c>
      <c r="G746" s="562">
        <v>0</v>
      </c>
      <c r="H746" s="914">
        <v>0</v>
      </c>
      <c r="I746" s="607"/>
      <c r="J746" s="538"/>
      <c r="K746" s="538"/>
      <c r="L746" s="608"/>
      <c r="M746" s="591"/>
    </row>
    <row r="747" spans="1:13" s="752" customFormat="1" ht="15">
      <c r="A747" s="1461">
        <v>740</v>
      </c>
      <c r="B747" s="811"/>
      <c r="C747" s="545"/>
      <c r="D747" s="539" t="s">
        <v>957</v>
      </c>
      <c r="E747" s="782"/>
      <c r="F747" s="562"/>
      <c r="G747" s="557"/>
      <c r="H747" s="791"/>
      <c r="I747" s="607"/>
      <c r="J747" s="538">
        <v>17</v>
      </c>
      <c r="K747" s="538"/>
      <c r="L747" s="609">
        <f t="shared" si="5"/>
        <v>17</v>
      </c>
      <c r="M747" s="586"/>
    </row>
    <row r="748" spans="1:13" s="753" customFormat="1" ht="15">
      <c r="A748" s="1461">
        <v>741</v>
      </c>
      <c r="B748" s="812"/>
      <c r="C748" s="1464"/>
      <c r="D748" s="541" t="s">
        <v>405</v>
      </c>
      <c r="E748" s="805"/>
      <c r="F748" s="806"/>
      <c r="G748" s="567"/>
      <c r="H748" s="745"/>
      <c r="I748" s="610"/>
      <c r="J748" s="555"/>
      <c r="K748" s="555"/>
      <c r="L748" s="611">
        <f t="shared" si="5"/>
        <v>0</v>
      </c>
      <c r="M748" s="594"/>
    </row>
    <row r="749" spans="1:13" s="754" customFormat="1" ht="15">
      <c r="A749" s="1461">
        <v>742</v>
      </c>
      <c r="B749" s="577"/>
      <c r="C749" s="1465"/>
      <c r="D749" s="542" t="s">
        <v>1067</v>
      </c>
      <c r="E749" s="576"/>
      <c r="F749" s="568"/>
      <c r="G749" s="568"/>
      <c r="H749" s="746"/>
      <c r="I749" s="615">
        <f>SUM(I747:I748)</f>
        <v>0</v>
      </c>
      <c r="J749" s="568">
        <f>SUM(J747:J748)</f>
        <v>17</v>
      </c>
      <c r="K749" s="568">
        <f>SUM(K747:K748)</f>
        <v>0</v>
      </c>
      <c r="L749" s="608">
        <f t="shared" si="5"/>
        <v>17</v>
      </c>
      <c r="M749" s="593">
        <v>0</v>
      </c>
    </row>
    <row r="750" spans="1:13" ht="15">
      <c r="A750" s="1461">
        <v>743</v>
      </c>
      <c r="B750" s="811"/>
      <c r="C750" s="545">
        <v>9</v>
      </c>
      <c r="D750" s="539" t="s">
        <v>1000</v>
      </c>
      <c r="E750" s="782" t="s">
        <v>799</v>
      </c>
      <c r="F750" s="562">
        <f>SUM(H750,L753)</f>
        <v>55</v>
      </c>
      <c r="G750" s="562">
        <v>0</v>
      </c>
      <c r="H750" s="914">
        <v>0</v>
      </c>
      <c r="I750" s="607"/>
      <c r="J750" s="538"/>
      <c r="K750" s="538"/>
      <c r="L750" s="608"/>
      <c r="M750" s="591"/>
    </row>
    <row r="751" spans="1:13" s="752" customFormat="1" ht="15">
      <c r="A751" s="1461">
        <v>744</v>
      </c>
      <c r="B751" s="811"/>
      <c r="C751" s="545"/>
      <c r="D751" s="539" t="s">
        <v>957</v>
      </c>
      <c r="E751" s="782"/>
      <c r="F751" s="562"/>
      <c r="G751" s="557"/>
      <c r="H751" s="791"/>
      <c r="I751" s="607"/>
      <c r="J751" s="538">
        <v>55</v>
      </c>
      <c r="K751" s="538"/>
      <c r="L751" s="609">
        <f t="shared" si="5"/>
        <v>55</v>
      </c>
      <c r="M751" s="586"/>
    </row>
    <row r="752" spans="1:13" s="753" customFormat="1" ht="15">
      <c r="A752" s="1461">
        <v>745</v>
      </c>
      <c r="B752" s="812"/>
      <c r="C752" s="1464"/>
      <c r="D752" s="541" t="s">
        <v>405</v>
      </c>
      <c r="E752" s="805"/>
      <c r="F752" s="806"/>
      <c r="G752" s="567"/>
      <c r="H752" s="745"/>
      <c r="I752" s="610"/>
      <c r="J752" s="555"/>
      <c r="K752" s="555"/>
      <c r="L752" s="611">
        <f t="shared" si="5"/>
        <v>0</v>
      </c>
      <c r="M752" s="594"/>
    </row>
    <row r="753" spans="1:13" s="754" customFormat="1" ht="15">
      <c r="A753" s="1461">
        <v>746</v>
      </c>
      <c r="B753" s="577"/>
      <c r="C753" s="1465"/>
      <c r="D753" s="542" t="s">
        <v>1067</v>
      </c>
      <c r="E753" s="576"/>
      <c r="F753" s="568"/>
      <c r="G753" s="568"/>
      <c r="H753" s="746"/>
      <c r="I753" s="615">
        <f>SUM(I751:I752)</f>
        <v>0</v>
      </c>
      <c r="J753" s="568">
        <f>SUM(J751:J752)</f>
        <v>55</v>
      </c>
      <c r="K753" s="568">
        <f>SUM(K751:K752)</f>
        <v>0</v>
      </c>
      <c r="L753" s="608">
        <f t="shared" si="5"/>
        <v>55</v>
      </c>
      <c r="M753" s="593">
        <v>0</v>
      </c>
    </row>
    <row r="754" spans="1:13" ht="15">
      <c r="A754" s="1461">
        <v>747</v>
      </c>
      <c r="B754" s="811"/>
      <c r="C754" s="545">
        <v>10</v>
      </c>
      <c r="D754" s="539" t="s">
        <v>1001</v>
      </c>
      <c r="E754" s="782" t="s">
        <v>799</v>
      </c>
      <c r="F754" s="562">
        <f>SUM(H754,L757)</f>
        <v>124</v>
      </c>
      <c r="G754" s="562">
        <v>0</v>
      </c>
      <c r="H754" s="914">
        <v>0</v>
      </c>
      <c r="I754" s="607"/>
      <c r="J754" s="538"/>
      <c r="K754" s="538"/>
      <c r="L754" s="608"/>
      <c r="M754" s="591"/>
    </row>
    <row r="755" spans="1:13" s="752" customFormat="1" ht="15">
      <c r="A755" s="1461">
        <v>748</v>
      </c>
      <c r="B755" s="811"/>
      <c r="C755" s="545"/>
      <c r="D755" s="539" t="s">
        <v>957</v>
      </c>
      <c r="E755" s="782"/>
      <c r="F755" s="562"/>
      <c r="G755" s="557"/>
      <c r="H755" s="791"/>
      <c r="I755" s="607"/>
      <c r="J755" s="538">
        <v>124</v>
      </c>
      <c r="K755" s="538"/>
      <c r="L755" s="609">
        <f t="shared" si="5"/>
        <v>124</v>
      </c>
      <c r="M755" s="586"/>
    </row>
    <row r="756" spans="1:13" s="753" customFormat="1" ht="15">
      <c r="A756" s="1461">
        <v>749</v>
      </c>
      <c r="B756" s="812"/>
      <c r="C756" s="1464"/>
      <c r="D756" s="541" t="s">
        <v>405</v>
      </c>
      <c r="E756" s="805"/>
      <c r="F756" s="806"/>
      <c r="G756" s="567"/>
      <c r="H756" s="745"/>
      <c r="I756" s="610"/>
      <c r="J756" s="555"/>
      <c r="K756" s="555"/>
      <c r="L756" s="611">
        <f t="shared" si="5"/>
        <v>0</v>
      </c>
      <c r="M756" s="594"/>
    </row>
    <row r="757" spans="1:13" s="754" customFormat="1" ht="15">
      <c r="A757" s="1461">
        <v>750</v>
      </c>
      <c r="B757" s="577"/>
      <c r="C757" s="1465"/>
      <c r="D757" s="542" t="s">
        <v>1067</v>
      </c>
      <c r="E757" s="576"/>
      <c r="F757" s="568"/>
      <c r="G757" s="568"/>
      <c r="H757" s="746"/>
      <c r="I757" s="615">
        <f>SUM(I755:I756)</f>
        <v>0</v>
      </c>
      <c r="J757" s="568">
        <f>SUM(J755:J756)</f>
        <v>124</v>
      </c>
      <c r="K757" s="568">
        <f>SUM(K755:K756)</f>
        <v>0</v>
      </c>
      <c r="L757" s="608">
        <f t="shared" si="5"/>
        <v>124</v>
      </c>
      <c r="M757" s="593">
        <v>0</v>
      </c>
    </row>
    <row r="758" spans="1:13" s="752" customFormat="1" ht="15">
      <c r="A758" s="1461">
        <v>751</v>
      </c>
      <c r="B758" s="811"/>
      <c r="C758" s="545">
        <v>11</v>
      </c>
      <c r="D758" s="557" t="s">
        <v>310</v>
      </c>
      <c r="E758" s="782" t="s">
        <v>799</v>
      </c>
      <c r="F758" s="562">
        <f>SUM(H758,L762)</f>
        <v>265</v>
      </c>
      <c r="G758" s="557">
        <v>0</v>
      </c>
      <c r="H758" s="913">
        <v>0</v>
      </c>
      <c r="I758" s="607"/>
      <c r="J758" s="538"/>
      <c r="K758" s="538"/>
      <c r="L758" s="609"/>
      <c r="M758" s="586"/>
    </row>
    <row r="759" spans="1:13" ht="15">
      <c r="A759" s="1461">
        <v>752</v>
      </c>
      <c r="B759" s="811"/>
      <c r="C759" s="545"/>
      <c r="D759" s="539" t="s">
        <v>403</v>
      </c>
      <c r="E759" s="782"/>
      <c r="F759" s="567"/>
      <c r="G759" s="562"/>
      <c r="H759" s="914"/>
      <c r="I759" s="607"/>
      <c r="J759" s="538">
        <v>400</v>
      </c>
      <c r="K759" s="538"/>
      <c r="L759" s="609">
        <f>SUM(I759:K759)</f>
        <v>400</v>
      </c>
      <c r="M759" s="591"/>
    </row>
    <row r="760" spans="1:13" ht="15">
      <c r="A760" s="1461">
        <v>753</v>
      </c>
      <c r="B760" s="811"/>
      <c r="C760" s="545"/>
      <c r="D760" s="539" t="s">
        <v>957</v>
      </c>
      <c r="E760" s="782"/>
      <c r="F760" s="567"/>
      <c r="G760" s="562"/>
      <c r="H760" s="914"/>
      <c r="I760" s="607"/>
      <c r="J760" s="538">
        <v>265</v>
      </c>
      <c r="K760" s="538"/>
      <c r="L760" s="609">
        <f>SUM(I760:K760)</f>
        <v>265</v>
      </c>
      <c r="M760" s="591"/>
    </row>
    <row r="761" spans="1:13" s="753" customFormat="1" ht="15">
      <c r="A761" s="1461">
        <v>754</v>
      </c>
      <c r="B761" s="812"/>
      <c r="C761" s="1464"/>
      <c r="D761" s="541" t="s">
        <v>405</v>
      </c>
      <c r="E761" s="576"/>
      <c r="F761" s="568"/>
      <c r="G761" s="567"/>
      <c r="H761" s="915"/>
      <c r="I761" s="610"/>
      <c r="J761" s="555"/>
      <c r="K761" s="555"/>
      <c r="L761" s="611">
        <f>SUM(I761:K761)</f>
        <v>0</v>
      </c>
      <c r="M761" s="594"/>
    </row>
    <row r="762" spans="1:13" s="754" customFormat="1" ht="15">
      <c r="A762" s="1461">
        <v>755</v>
      </c>
      <c r="B762" s="577"/>
      <c r="C762" s="1465"/>
      <c r="D762" s="542" t="s">
        <v>1067</v>
      </c>
      <c r="E762" s="782"/>
      <c r="F762" s="537"/>
      <c r="G762" s="568"/>
      <c r="H762" s="911"/>
      <c r="I762" s="615">
        <f>SUM(I760:I761)</f>
        <v>0</v>
      </c>
      <c r="J762" s="568">
        <f>SUM(J760:J761)</f>
        <v>265</v>
      </c>
      <c r="K762" s="568">
        <f>SUM(K760:K761)</f>
        <v>0</v>
      </c>
      <c r="L762" s="608">
        <f>SUM(I762:K762)</f>
        <v>265</v>
      </c>
      <c r="M762" s="593">
        <f>SUM(M759:M761)</f>
        <v>0</v>
      </c>
    </row>
    <row r="763" spans="1:13" ht="15">
      <c r="A763" s="1461">
        <v>756</v>
      </c>
      <c r="B763" s="811"/>
      <c r="C763" s="545">
        <v>12</v>
      </c>
      <c r="D763" s="539" t="s">
        <v>729</v>
      </c>
      <c r="E763" s="782" t="s">
        <v>799</v>
      </c>
      <c r="F763" s="562">
        <f>SUM(H763,L766)</f>
        <v>20</v>
      </c>
      <c r="G763" s="562">
        <v>0</v>
      </c>
      <c r="H763" s="914">
        <v>0</v>
      </c>
      <c r="I763" s="607"/>
      <c r="J763" s="538"/>
      <c r="K763" s="538"/>
      <c r="L763" s="608"/>
      <c r="M763" s="591"/>
    </row>
    <row r="764" spans="1:13" s="752" customFormat="1" ht="15">
      <c r="A764" s="1461">
        <v>757</v>
      </c>
      <c r="B764" s="811"/>
      <c r="C764" s="545"/>
      <c r="D764" s="539" t="s">
        <v>957</v>
      </c>
      <c r="E764" s="782"/>
      <c r="F764" s="562"/>
      <c r="G764" s="557"/>
      <c r="H764" s="791"/>
      <c r="I764" s="607"/>
      <c r="J764" s="538">
        <v>20</v>
      </c>
      <c r="K764" s="538"/>
      <c r="L764" s="609">
        <f aca="true" t="shared" si="6" ref="L764:L786">SUM(I764:K764)</f>
        <v>20</v>
      </c>
      <c r="M764" s="586"/>
    </row>
    <row r="765" spans="1:13" s="753" customFormat="1" ht="15">
      <c r="A765" s="1461">
        <v>758</v>
      </c>
      <c r="B765" s="812"/>
      <c r="C765" s="1464"/>
      <c r="D765" s="541" t="s">
        <v>234</v>
      </c>
      <c r="E765" s="805"/>
      <c r="F765" s="806"/>
      <c r="G765" s="567"/>
      <c r="H765" s="745"/>
      <c r="I765" s="610"/>
      <c r="J765" s="555"/>
      <c r="K765" s="555"/>
      <c r="L765" s="611">
        <f t="shared" si="6"/>
        <v>0</v>
      </c>
      <c r="M765" s="594"/>
    </row>
    <row r="766" spans="1:13" s="754" customFormat="1" ht="15">
      <c r="A766" s="1461">
        <v>759</v>
      </c>
      <c r="B766" s="577"/>
      <c r="C766" s="1465"/>
      <c r="D766" s="542" t="s">
        <v>1067</v>
      </c>
      <c r="E766" s="576"/>
      <c r="F766" s="568"/>
      <c r="G766" s="568"/>
      <c r="H766" s="746"/>
      <c r="I766" s="615">
        <f>SUM(I764:I765)</f>
        <v>0</v>
      </c>
      <c r="J766" s="568">
        <f>SUM(J764:J765)</f>
        <v>20</v>
      </c>
      <c r="K766" s="568">
        <f>SUM(K764:K765)</f>
        <v>0</v>
      </c>
      <c r="L766" s="608">
        <f t="shared" si="6"/>
        <v>20</v>
      </c>
      <c r="M766" s="593">
        <v>0</v>
      </c>
    </row>
    <row r="767" spans="1:13" ht="15">
      <c r="A767" s="1461">
        <v>760</v>
      </c>
      <c r="B767" s="811"/>
      <c r="C767" s="545">
        <v>13</v>
      </c>
      <c r="D767" s="539" t="s">
        <v>730</v>
      </c>
      <c r="E767" s="782" t="s">
        <v>799</v>
      </c>
      <c r="F767" s="562">
        <f>SUM(H767,L770)</f>
        <v>16</v>
      </c>
      <c r="G767" s="562">
        <v>0</v>
      </c>
      <c r="H767" s="914">
        <v>0</v>
      </c>
      <c r="I767" s="607"/>
      <c r="J767" s="538"/>
      <c r="K767" s="538"/>
      <c r="L767" s="608"/>
      <c r="M767" s="591"/>
    </row>
    <row r="768" spans="1:13" s="752" customFormat="1" ht="15">
      <c r="A768" s="1461">
        <v>761</v>
      </c>
      <c r="B768" s="811"/>
      <c r="C768" s="545"/>
      <c r="D768" s="539" t="s">
        <v>957</v>
      </c>
      <c r="E768" s="782"/>
      <c r="F768" s="562"/>
      <c r="G768" s="557"/>
      <c r="H768" s="791"/>
      <c r="I768" s="607"/>
      <c r="J768" s="538">
        <v>16</v>
      </c>
      <c r="K768" s="538"/>
      <c r="L768" s="609">
        <f t="shared" si="6"/>
        <v>16</v>
      </c>
      <c r="M768" s="586"/>
    </row>
    <row r="769" spans="1:13" s="753" customFormat="1" ht="15">
      <c r="A769" s="1461">
        <v>762</v>
      </c>
      <c r="B769" s="812"/>
      <c r="C769" s="1464"/>
      <c r="D769" s="541" t="s">
        <v>234</v>
      </c>
      <c r="E769" s="805"/>
      <c r="F769" s="806"/>
      <c r="G769" s="567"/>
      <c r="H769" s="745"/>
      <c r="I769" s="610"/>
      <c r="J769" s="555"/>
      <c r="K769" s="555"/>
      <c r="L769" s="611">
        <f t="shared" si="6"/>
        <v>0</v>
      </c>
      <c r="M769" s="594"/>
    </row>
    <row r="770" spans="1:13" s="754" customFormat="1" ht="15">
      <c r="A770" s="1461">
        <v>763</v>
      </c>
      <c r="B770" s="577"/>
      <c r="C770" s="1465"/>
      <c r="D770" s="542" t="s">
        <v>1067</v>
      </c>
      <c r="E770" s="576"/>
      <c r="F770" s="568"/>
      <c r="G770" s="568"/>
      <c r="H770" s="746"/>
      <c r="I770" s="615">
        <f>SUM(I768:I769)</f>
        <v>0</v>
      </c>
      <c r="J770" s="568">
        <f>SUM(J768:J769)</f>
        <v>16</v>
      </c>
      <c r="K770" s="568">
        <f>SUM(K768:K769)</f>
        <v>0</v>
      </c>
      <c r="L770" s="608">
        <f t="shared" si="6"/>
        <v>16</v>
      </c>
      <c r="M770" s="593">
        <v>0</v>
      </c>
    </row>
    <row r="771" spans="1:13" ht="15">
      <c r="A771" s="1461">
        <v>764</v>
      </c>
      <c r="B771" s="811"/>
      <c r="C771" s="545">
        <v>14</v>
      </c>
      <c r="D771" s="539" t="s">
        <v>731</v>
      </c>
      <c r="E771" s="782" t="s">
        <v>799</v>
      </c>
      <c r="F771" s="562">
        <f>SUM(H771,L774)</f>
        <v>16</v>
      </c>
      <c r="G771" s="562">
        <v>0</v>
      </c>
      <c r="H771" s="914">
        <v>0</v>
      </c>
      <c r="I771" s="607"/>
      <c r="J771" s="538"/>
      <c r="K771" s="538"/>
      <c r="L771" s="608"/>
      <c r="M771" s="591"/>
    </row>
    <row r="772" spans="1:13" s="752" customFormat="1" ht="15">
      <c r="A772" s="1461">
        <v>765</v>
      </c>
      <c r="B772" s="811"/>
      <c r="C772" s="545"/>
      <c r="D772" s="539" t="s">
        <v>957</v>
      </c>
      <c r="E772" s="782"/>
      <c r="F772" s="562"/>
      <c r="G772" s="557"/>
      <c r="H772" s="791"/>
      <c r="I772" s="607"/>
      <c r="J772" s="538">
        <v>16</v>
      </c>
      <c r="K772" s="538"/>
      <c r="L772" s="609">
        <f t="shared" si="6"/>
        <v>16</v>
      </c>
      <c r="M772" s="586"/>
    </row>
    <row r="773" spans="1:13" s="753" customFormat="1" ht="15">
      <c r="A773" s="1461">
        <v>766</v>
      </c>
      <c r="B773" s="812"/>
      <c r="C773" s="1464"/>
      <c r="D773" s="541" t="s">
        <v>234</v>
      </c>
      <c r="E773" s="805"/>
      <c r="F773" s="806"/>
      <c r="G773" s="567"/>
      <c r="H773" s="745"/>
      <c r="I773" s="610"/>
      <c r="J773" s="555"/>
      <c r="K773" s="555"/>
      <c r="L773" s="611">
        <f t="shared" si="6"/>
        <v>0</v>
      </c>
      <c r="M773" s="594"/>
    </row>
    <row r="774" spans="1:14" s="754" customFormat="1" ht="15">
      <c r="A774" s="1461">
        <v>767</v>
      </c>
      <c r="B774" s="577"/>
      <c r="C774" s="1465"/>
      <c r="D774" s="542" t="s">
        <v>1067</v>
      </c>
      <c r="E774" s="576"/>
      <c r="F774" s="568"/>
      <c r="G774" s="568"/>
      <c r="H774" s="746"/>
      <c r="I774" s="615">
        <f>SUM(I772:I773)</f>
        <v>0</v>
      </c>
      <c r="J774" s="568">
        <f>SUM(J772:J773)</f>
        <v>16</v>
      </c>
      <c r="K774" s="568">
        <f>SUM(K772:K773)</f>
        <v>0</v>
      </c>
      <c r="L774" s="608">
        <f t="shared" si="6"/>
        <v>16</v>
      </c>
      <c r="M774" s="593">
        <v>0</v>
      </c>
      <c r="N774" s="754">
        <f>J773+J769+J765+J761+J731+J726+J721+J796+J777+J781+J785+J825</f>
        <v>0</v>
      </c>
    </row>
    <row r="775" spans="1:13" ht="28.5">
      <c r="A775" s="1461">
        <v>768</v>
      </c>
      <c r="B775" s="566"/>
      <c r="C775" s="1463">
        <v>15</v>
      </c>
      <c r="D775" s="573" t="s">
        <v>954</v>
      </c>
      <c r="E775" s="782" t="s">
        <v>799</v>
      </c>
      <c r="F775" s="562">
        <f>SUM(H775,L778)</f>
        <v>139</v>
      </c>
      <c r="G775" s="562">
        <v>0</v>
      </c>
      <c r="H775" s="914">
        <v>0</v>
      </c>
      <c r="I775" s="607"/>
      <c r="J775" s="538"/>
      <c r="K775" s="538"/>
      <c r="L775" s="608"/>
      <c r="M775" s="591"/>
    </row>
    <row r="776" spans="1:13" s="752" customFormat="1" ht="15">
      <c r="A776" s="1461">
        <v>769</v>
      </c>
      <c r="B776" s="811"/>
      <c r="C776" s="545"/>
      <c r="D776" s="539" t="s">
        <v>957</v>
      </c>
      <c r="E776" s="782"/>
      <c r="F776" s="562"/>
      <c r="G776" s="557"/>
      <c r="H776" s="791"/>
      <c r="I776" s="607"/>
      <c r="J776" s="538">
        <v>139</v>
      </c>
      <c r="K776" s="538"/>
      <c r="L776" s="609">
        <f t="shared" si="6"/>
        <v>139</v>
      </c>
      <c r="M776" s="586"/>
    </row>
    <row r="777" spans="1:13" s="753" customFormat="1" ht="15">
      <c r="A777" s="1461">
        <v>770</v>
      </c>
      <c r="B777" s="812"/>
      <c r="C777" s="1464"/>
      <c r="D777" s="541" t="s">
        <v>234</v>
      </c>
      <c r="E777" s="805"/>
      <c r="F777" s="806"/>
      <c r="G777" s="567"/>
      <c r="H777" s="745"/>
      <c r="I777" s="610"/>
      <c r="J777" s="555"/>
      <c r="K777" s="555"/>
      <c r="L777" s="611">
        <f t="shared" si="6"/>
        <v>0</v>
      </c>
      <c r="M777" s="594"/>
    </row>
    <row r="778" spans="1:13" s="754" customFormat="1" ht="15">
      <c r="A778" s="1461">
        <v>771</v>
      </c>
      <c r="B778" s="577"/>
      <c r="C778" s="1465"/>
      <c r="D778" s="542" t="s">
        <v>1067</v>
      </c>
      <c r="E778" s="576"/>
      <c r="F778" s="568"/>
      <c r="G778" s="568"/>
      <c r="H778" s="746"/>
      <c r="I778" s="615">
        <f>SUM(I776:I777)</f>
        <v>0</v>
      </c>
      <c r="J778" s="568">
        <f>SUM(J776:J777)</f>
        <v>139</v>
      </c>
      <c r="K778" s="568">
        <f>SUM(K776:K777)</f>
        <v>0</v>
      </c>
      <c r="L778" s="608">
        <f t="shared" si="6"/>
        <v>139</v>
      </c>
      <c r="M778" s="593">
        <v>0</v>
      </c>
    </row>
    <row r="779" spans="1:13" ht="15">
      <c r="A779" s="1461">
        <v>772</v>
      </c>
      <c r="B779" s="811"/>
      <c r="C779" s="545">
        <v>16</v>
      </c>
      <c r="D779" s="539" t="s">
        <v>459</v>
      </c>
      <c r="E779" s="782" t="s">
        <v>799</v>
      </c>
      <c r="F779" s="562">
        <f>SUM(H779,L782)</f>
        <v>1905</v>
      </c>
      <c r="G779" s="562">
        <v>0</v>
      </c>
      <c r="H779" s="914">
        <v>0</v>
      </c>
      <c r="I779" s="607"/>
      <c r="J779" s="538"/>
      <c r="K779" s="538"/>
      <c r="L779" s="608"/>
      <c r="M779" s="591"/>
    </row>
    <row r="780" spans="1:13" s="752" customFormat="1" ht="15">
      <c r="A780" s="1461">
        <v>773</v>
      </c>
      <c r="B780" s="811"/>
      <c r="C780" s="545"/>
      <c r="D780" s="539" t="s">
        <v>957</v>
      </c>
      <c r="E780" s="782"/>
      <c r="F780" s="562"/>
      <c r="G780" s="557"/>
      <c r="H780" s="791"/>
      <c r="I780" s="607"/>
      <c r="J780" s="538">
        <v>1905</v>
      </c>
      <c r="K780" s="538"/>
      <c r="L780" s="609">
        <f t="shared" si="6"/>
        <v>1905</v>
      </c>
      <c r="M780" s="586"/>
    </row>
    <row r="781" spans="1:13" s="753" customFormat="1" ht="15">
      <c r="A781" s="1461">
        <v>774</v>
      </c>
      <c r="B781" s="812"/>
      <c r="C781" s="1464"/>
      <c r="D781" s="541" t="s">
        <v>234</v>
      </c>
      <c r="E781" s="805"/>
      <c r="F781" s="806"/>
      <c r="G781" s="567"/>
      <c r="H781" s="745"/>
      <c r="I781" s="610"/>
      <c r="J781" s="555"/>
      <c r="K781" s="555"/>
      <c r="L781" s="611">
        <f t="shared" si="6"/>
        <v>0</v>
      </c>
      <c r="M781" s="594"/>
    </row>
    <row r="782" spans="1:13" s="754" customFormat="1" ht="15">
      <c r="A782" s="1461">
        <v>775</v>
      </c>
      <c r="B782" s="577"/>
      <c r="C782" s="1465"/>
      <c r="D782" s="542" t="s">
        <v>1067</v>
      </c>
      <c r="E782" s="576"/>
      <c r="F782" s="568"/>
      <c r="G782" s="568"/>
      <c r="H782" s="746"/>
      <c r="I782" s="615">
        <f>SUM(I780:I781)</f>
        <v>0</v>
      </c>
      <c r="J782" s="568">
        <f>SUM(J780:J781)</f>
        <v>1905</v>
      </c>
      <c r="K782" s="568">
        <f>SUM(K780:K781)</f>
        <v>0</v>
      </c>
      <c r="L782" s="608">
        <f t="shared" si="6"/>
        <v>1905</v>
      </c>
      <c r="M782" s="593">
        <v>0</v>
      </c>
    </row>
    <row r="783" spans="1:13" ht="15">
      <c r="A783" s="1461">
        <v>776</v>
      </c>
      <c r="B783" s="811"/>
      <c r="C783" s="545">
        <v>17</v>
      </c>
      <c r="D783" s="539" t="s">
        <v>732</v>
      </c>
      <c r="E783" s="782" t="s">
        <v>799</v>
      </c>
      <c r="F783" s="562">
        <f>SUM(H783,L786)</f>
        <v>80</v>
      </c>
      <c r="G783" s="562">
        <v>0</v>
      </c>
      <c r="H783" s="914">
        <v>0</v>
      </c>
      <c r="I783" s="607"/>
      <c r="J783" s="538"/>
      <c r="K783" s="538"/>
      <c r="L783" s="608"/>
      <c r="M783" s="591"/>
    </row>
    <row r="784" spans="1:13" s="752" customFormat="1" ht="15">
      <c r="A784" s="1461">
        <v>777</v>
      </c>
      <c r="B784" s="811"/>
      <c r="C784" s="545"/>
      <c r="D784" s="539" t="s">
        <v>957</v>
      </c>
      <c r="E784" s="782"/>
      <c r="F784" s="562"/>
      <c r="G784" s="557"/>
      <c r="H784" s="791"/>
      <c r="I784" s="607"/>
      <c r="J784" s="538">
        <v>80</v>
      </c>
      <c r="K784" s="538"/>
      <c r="L784" s="609">
        <f t="shared" si="6"/>
        <v>80</v>
      </c>
      <c r="M784" s="586"/>
    </row>
    <row r="785" spans="1:13" s="753" customFormat="1" ht="15">
      <c r="A785" s="1461">
        <v>778</v>
      </c>
      <c r="B785" s="812"/>
      <c r="C785" s="1464"/>
      <c r="D785" s="541" t="s">
        <v>234</v>
      </c>
      <c r="E785" s="805"/>
      <c r="F785" s="806"/>
      <c r="G785" s="567"/>
      <c r="H785" s="745"/>
      <c r="I785" s="610"/>
      <c r="J785" s="555"/>
      <c r="K785" s="555"/>
      <c r="L785" s="611">
        <f t="shared" si="6"/>
        <v>0</v>
      </c>
      <c r="M785" s="594"/>
    </row>
    <row r="786" spans="1:13" s="754" customFormat="1" ht="15">
      <c r="A786" s="1461">
        <v>779</v>
      </c>
      <c r="B786" s="577"/>
      <c r="C786" s="1465"/>
      <c r="D786" s="542" t="s">
        <v>1067</v>
      </c>
      <c r="E786" s="576"/>
      <c r="F786" s="568"/>
      <c r="G786" s="568"/>
      <c r="H786" s="746"/>
      <c r="I786" s="615">
        <f>SUM(I784:I785)</f>
        <v>0</v>
      </c>
      <c r="J786" s="568">
        <f>SUM(J784:J785)</f>
        <v>80</v>
      </c>
      <c r="K786" s="568">
        <f>SUM(K784:K785)</f>
        <v>0</v>
      </c>
      <c r="L786" s="608">
        <f t="shared" si="6"/>
        <v>80</v>
      </c>
      <c r="M786" s="593">
        <v>0</v>
      </c>
    </row>
    <row r="787" spans="1:13" s="752" customFormat="1" ht="15">
      <c r="A787" s="1461">
        <v>780</v>
      </c>
      <c r="B787" s="535">
        <v>3</v>
      </c>
      <c r="C787" s="545"/>
      <c r="D787" s="536" t="s">
        <v>311</v>
      </c>
      <c r="E787" s="557"/>
      <c r="F787" s="557"/>
      <c r="G787" s="564"/>
      <c r="H787" s="912"/>
      <c r="I787" s="607"/>
      <c r="J787" s="538"/>
      <c r="K787" s="538"/>
      <c r="L787" s="609"/>
      <c r="M787" s="589"/>
    </row>
    <row r="788" spans="1:13" s="752" customFormat="1" ht="15">
      <c r="A788" s="1461">
        <v>781</v>
      </c>
      <c r="B788" s="811"/>
      <c r="C788" s="545">
        <v>18</v>
      </c>
      <c r="D788" s="557" t="s">
        <v>309</v>
      </c>
      <c r="E788" s="782" t="s">
        <v>799</v>
      </c>
      <c r="F788" s="562">
        <f>SUM(H788,L792)</f>
        <v>500</v>
      </c>
      <c r="G788" s="557">
        <v>0</v>
      </c>
      <c r="H788" s="913">
        <v>0</v>
      </c>
      <c r="I788" s="607"/>
      <c r="J788" s="538"/>
      <c r="K788" s="538"/>
      <c r="L788" s="609">
        <f>SUM(I788:K788)</f>
        <v>0</v>
      </c>
      <c r="M788" s="586"/>
    </row>
    <row r="789" spans="1:13" ht="15">
      <c r="A789" s="1461">
        <v>782</v>
      </c>
      <c r="B789" s="811"/>
      <c r="C789" s="545"/>
      <c r="D789" s="539" t="s">
        <v>403</v>
      </c>
      <c r="E789" s="782"/>
      <c r="F789" s="567"/>
      <c r="G789" s="562"/>
      <c r="H789" s="914"/>
      <c r="I789" s="607"/>
      <c r="J789" s="538">
        <v>500</v>
      </c>
      <c r="K789" s="538"/>
      <c r="L789" s="609">
        <f>SUM(I789:K789)</f>
        <v>500</v>
      </c>
      <c r="M789" s="591"/>
    </row>
    <row r="790" spans="1:13" ht="15">
      <c r="A790" s="1461">
        <v>783</v>
      </c>
      <c r="B790" s="811"/>
      <c r="C790" s="545"/>
      <c r="D790" s="539" t="s">
        <v>957</v>
      </c>
      <c r="E790" s="782"/>
      <c r="F790" s="567"/>
      <c r="G790" s="562"/>
      <c r="H790" s="914"/>
      <c r="I790" s="607"/>
      <c r="J790" s="538">
        <v>500</v>
      </c>
      <c r="K790" s="538"/>
      <c r="L790" s="609">
        <f>SUM(I790:K790)</f>
        <v>500</v>
      </c>
      <c r="M790" s="591"/>
    </row>
    <row r="791" spans="1:13" s="753" customFormat="1" ht="15">
      <c r="A791" s="1461">
        <v>784</v>
      </c>
      <c r="B791" s="812"/>
      <c r="C791" s="1464"/>
      <c r="D791" s="541" t="s">
        <v>405</v>
      </c>
      <c r="E791" s="576"/>
      <c r="F791" s="568"/>
      <c r="G791" s="567"/>
      <c r="H791" s="915"/>
      <c r="I791" s="610"/>
      <c r="J791" s="555"/>
      <c r="K791" s="555"/>
      <c r="L791" s="611">
        <f>SUM(I791:K791)</f>
        <v>0</v>
      </c>
      <c r="M791" s="594"/>
    </row>
    <row r="792" spans="1:13" s="754" customFormat="1" ht="15">
      <c r="A792" s="1461">
        <v>785</v>
      </c>
      <c r="B792" s="577"/>
      <c r="C792" s="1465"/>
      <c r="D792" s="542" t="s">
        <v>1067</v>
      </c>
      <c r="E792" s="779"/>
      <c r="F792" s="557"/>
      <c r="G792" s="568"/>
      <c r="H792" s="911"/>
      <c r="I792" s="615">
        <f>SUM(I790:I791)</f>
        <v>0</v>
      </c>
      <c r="J792" s="568">
        <f>SUM(J790:J791)</f>
        <v>500</v>
      </c>
      <c r="K792" s="568">
        <f>SUM(K790:K791)</f>
        <v>0</v>
      </c>
      <c r="L792" s="608">
        <f>SUM(I792:K792)</f>
        <v>500</v>
      </c>
      <c r="M792" s="593">
        <f>SUM(M789:M791)</f>
        <v>0</v>
      </c>
    </row>
    <row r="793" spans="1:13" s="752" customFormat="1" ht="15">
      <c r="A793" s="1461">
        <v>786</v>
      </c>
      <c r="B793" s="811"/>
      <c r="C793" s="545">
        <v>19</v>
      </c>
      <c r="D793" s="557" t="s">
        <v>312</v>
      </c>
      <c r="E793" s="782" t="s">
        <v>799</v>
      </c>
      <c r="F793" s="562">
        <f>SUM(H793,L797)</f>
        <v>145</v>
      </c>
      <c r="G793" s="557">
        <v>0</v>
      </c>
      <c r="H793" s="913">
        <v>0</v>
      </c>
      <c r="I793" s="607"/>
      <c r="J793" s="538"/>
      <c r="K793" s="538"/>
      <c r="L793" s="609"/>
      <c r="M793" s="586"/>
    </row>
    <row r="794" spans="1:13" ht="15">
      <c r="A794" s="1461">
        <v>787</v>
      </c>
      <c r="B794" s="811"/>
      <c r="C794" s="545"/>
      <c r="D794" s="539" t="s">
        <v>403</v>
      </c>
      <c r="E794" s="788"/>
      <c r="F794" s="796"/>
      <c r="G794" s="562"/>
      <c r="H794" s="914"/>
      <c r="I794" s="607"/>
      <c r="J794" s="538">
        <v>105</v>
      </c>
      <c r="K794" s="538"/>
      <c r="L794" s="609">
        <f>SUM(I794:K794)</f>
        <v>105</v>
      </c>
      <c r="M794" s="591"/>
    </row>
    <row r="795" spans="1:13" ht="15">
      <c r="A795" s="1461">
        <v>788</v>
      </c>
      <c r="B795" s="811"/>
      <c r="C795" s="545"/>
      <c r="D795" s="539" t="s">
        <v>957</v>
      </c>
      <c r="E795" s="788"/>
      <c r="F795" s="796"/>
      <c r="G795" s="562"/>
      <c r="H795" s="914"/>
      <c r="I795" s="607"/>
      <c r="J795" s="538">
        <v>145</v>
      </c>
      <c r="K795" s="538"/>
      <c r="L795" s="609">
        <f>SUM(I795:K795)</f>
        <v>145</v>
      </c>
      <c r="M795" s="591"/>
    </row>
    <row r="796" spans="1:13" s="753" customFormat="1" ht="15">
      <c r="A796" s="1461">
        <v>789</v>
      </c>
      <c r="B796" s="812"/>
      <c r="C796" s="1464"/>
      <c r="D796" s="541" t="s">
        <v>405</v>
      </c>
      <c r="E796" s="782"/>
      <c r="F796" s="567"/>
      <c r="G796" s="567"/>
      <c r="H796" s="915"/>
      <c r="I796" s="610"/>
      <c r="J796" s="555"/>
      <c r="K796" s="555"/>
      <c r="L796" s="611">
        <f>SUM(I796:K796)</f>
        <v>0</v>
      </c>
      <c r="M796" s="594"/>
    </row>
    <row r="797" spans="1:13" s="754" customFormat="1" ht="15">
      <c r="A797" s="1461">
        <v>790</v>
      </c>
      <c r="B797" s="577"/>
      <c r="C797" s="1465"/>
      <c r="D797" s="542" t="s">
        <v>1067</v>
      </c>
      <c r="E797" s="576"/>
      <c r="F797" s="568"/>
      <c r="G797" s="568"/>
      <c r="H797" s="911"/>
      <c r="I797" s="615">
        <f>SUM(I795:I796)</f>
        <v>0</v>
      </c>
      <c r="J797" s="568">
        <f>SUM(J795:J796)</f>
        <v>145</v>
      </c>
      <c r="K797" s="568">
        <f>SUM(K795:K796)</f>
        <v>0</v>
      </c>
      <c r="L797" s="608">
        <f>SUM(I797:K797)</f>
        <v>145</v>
      </c>
      <c r="M797" s="593">
        <f>SUM(M794:M796)</f>
        <v>0</v>
      </c>
    </row>
    <row r="798" spans="1:13" s="752" customFormat="1" ht="15">
      <c r="A798" s="1461">
        <v>791</v>
      </c>
      <c r="B798" s="811"/>
      <c r="C798" s="545">
        <v>20</v>
      </c>
      <c r="D798" s="557" t="s">
        <v>557</v>
      </c>
      <c r="E798" s="782" t="s">
        <v>799</v>
      </c>
      <c r="F798" s="562">
        <f>SUM(H798,L802)</f>
        <v>100</v>
      </c>
      <c r="G798" s="557">
        <v>0</v>
      </c>
      <c r="H798" s="913">
        <v>0</v>
      </c>
      <c r="I798" s="607"/>
      <c r="J798" s="538"/>
      <c r="K798" s="538"/>
      <c r="L798" s="609"/>
      <c r="M798" s="586"/>
    </row>
    <row r="799" spans="1:13" ht="15">
      <c r="A799" s="1461">
        <v>792</v>
      </c>
      <c r="B799" s="811"/>
      <c r="C799" s="545"/>
      <c r="D799" s="539" t="s">
        <v>403</v>
      </c>
      <c r="E799" s="782"/>
      <c r="F799" s="567"/>
      <c r="G799" s="562"/>
      <c r="H799" s="914"/>
      <c r="I799" s="607"/>
      <c r="J799" s="538">
        <v>100</v>
      </c>
      <c r="K799" s="538"/>
      <c r="L799" s="609">
        <f>SUM(I799:K799)</f>
        <v>100</v>
      </c>
      <c r="M799" s="591"/>
    </row>
    <row r="800" spans="1:13" ht="15">
      <c r="A800" s="1461">
        <v>793</v>
      </c>
      <c r="B800" s="811"/>
      <c r="C800" s="545"/>
      <c r="D800" s="539" t="s">
        <v>957</v>
      </c>
      <c r="E800" s="782"/>
      <c r="F800" s="567"/>
      <c r="G800" s="562"/>
      <c r="H800" s="914"/>
      <c r="I800" s="607"/>
      <c r="J800" s="538">
        <v>100</v>
      </c>
      <c r="K800" s="538"/>
      <c r="L800" s="609">
        <f>SUM(I800:K800)</f>
        <v>100</v>
      </c>
      <c r="M800" s="591"/>
    </row>
    <row r="801" spans="1:13" s="753" customFormat="1" ht="15">
      <c r="A801" s="1461">
        <v>794</v>
      </c>
      <c r="B801" s="812"/>
      <c r="C801" s="1464"/>
      <c r="D801" s="541" t="s">
        <v>405</v>
      </c>
      <c r="E801" s="576"/>
      <c r="F801" s="568"/>
      <c r="G801" s="567"/>
      <c r="H801" s="915"/>
      <c r="I801" s="610"/>
      <c r="J801" s="555"/>
      <c r="K801" s="555"/>
      <c r="L801" s="611">
        <f>SUM(I801:K801)</f>
        <v>0</v>
      </c>
      <c r="M801" s="594"/>
    </row>
    <row r="802" spans="1:13" s="754" customFormat="1" ht="15">
      <c r="A802" s="1461">
        <v>795</v>
      </c>
      <c r="B802" s="577"/>
      <c r="C802" s="1465"/>
      <c r="D802" s="542" t="s">
        <v>1067</v>
      </c>
      <c r="E802" s="782"/>
      <c r="F802" s="537"/>
      <c r="G802" s="568"/>
      <c r="H802" s="911"/>
      <c r="I802" s="615">
        <f>SUM(I800:I801)</f>
        <v>0</v>
      </c>
      <c r="J802" s="568">
        <f>SUM(J800:J801)</f>
        <v>100</v>
      </c>
      <c r="K802" s="568">
        <f>SUM(K800:K801)</f>
        <v>0</v>
      </c>
      <c r="L802" s="608">
        <f>SUM(I802:K802)</f>
        <v>100</v>
      </c>
      <c r="M802" s="593">
        <f>SUM(M799:M801)</f>
        <v>0</v>
      </c>
    </row>
    <row r="803" spans="1:13" ht="28.5">
      <c r="A803" s="1461">
        <v>796</v>
      </c>
      <c r="B803" s="811"/>
      <c r="C803" s="545">
        <v>21</v>
      </c>
      <c r="D803" s="539" t="s">
        <v>954</v>
      </c>
      <c r="E803" s="782" t="s">
        <v>799</v>
      </c>
      <c r="F803" s="562">
        <f>SUM(H803,L806)</f>
        <v>140</v>
      </c>
      <c r="G803" s="562">
        <v>0</v>
      </c>
      <c r="H803" s="914">
        <v>0</v>
      </c>
      <c r="I803" s="607"/>
      <c r="J803" s="538"/>
      <c r="K803" s="538"/>
      <c r="L803" s="608"/>
      <c r="M803" s="591"/>
    </row>
    <row r="804" spans="1:13" s="752" customFormat="1" ht="15">
      <c r="A804" s="1461">
        <v>797</v>
      </c>
      <c r="B804" s="811"/>
      <c r="C804" s="545"/>
      <c r="D804" s="539" t="s">
        <v>957</v>
      </c>
      <c r="E804" s="782"/>
      <c r="F804" s="562"/>
      <c r="G804" s="557"/>
      <c r="H804" s="791"/>
      <c r="I804" s="607"/>
      <c r="J804" s="538">
        <v>140</v>
      </c>
      <c r="K804" s="538"/>
      <c r="L804" s="609">
        <f aca="true" t="shared" si="7" ref="L804:L826">SUM(I804:K804)</f>
        <v>140</v>
      </c>
      <c r="M804" s="586"/>
    </row>
    <row r="805" spans="1:13" s="753" customFormat="1" ht="15">
      <c r="A805" s="1461">
        <v>798</v>
      </c>
      <c r="B805" s="812"/>
      <c r="C805" s="1464"/>
      <c r="D805" s="541" t="s">
        <v>234</v>
      </c>
      <c r="E805" s="805"/>
      <c r="F805" s="806"/>
      <c r="G805" s="567"/>
      <c r="H805" s="745"/>
      <c r="I805" s="610"/>
      <c r="J805" s="555"/>
      <c r="K805" s="555"/>
      <c r="L805" s="611">
        <f t="shared" si="7"/>
        <v>0</v>
      </c>
      <c r="M805" s="594"/>
    </row>
    <row r="806" spans="1:13" s="754" customFormat="1" ht="15">
      <c r="A806" s="1461">
        <v>799</v>
      </c>
      <c r="B806" s="577"/>
      <c r="C806" s="1465"/>
      <c r="D806" s="542" t="s">
        <v>1067</v>
      </c>
      <c r="E806" s="576"/>
      <c r="F806" s="568"/>
      <c r="G806" s="568"/>
      <c r="H806" s="746"/>
      <c r="I806" s="615">
        <f>SUM(I804:I805)</f>
        <v>0</v>
      </c>
      <c r="J806" s="568">
        <f>SUM(J804:J805)</f>
        <v>140</v>
      </c>
      <c r="K806" s="568">
        <f>SUM(K804:K805)</f>
        <v>0</v>
      </c>
      <c r="L806" s="608">
        <f t="shared" si="7"/>
        <v>140</v>
      </c>
      <c r="M806" s="593">
        <v>0</v>
      </c>
    </row>
    <row r="807" spans="1:13" ht="15">
      <c r="A807" s="1461">
        <v>800</v>
      </c>
      <c r="B807" s="811"/>
      <c r="C807" s="545">
        <v>22</v>
      </c>
      <c r="D807" s="539" t="s">
        <v>459</v>
      </c>
      <c r="E807" s="782" t="s">
        <v>799</v>
      </c>
      <c r="F807" s="562">
        <f>SUM(H807,L810)</f>
        <v>1744</v>
      </c>
      <c r="G807" s="562">
        <v>0</v>
      </c>
      <c r="H807" s="914">
        <v>0</v>
      </c>
      <c r="I807" s="607"/>
      <c r="J807" s="538"/>
      <c r="K807" s="538"/>
      <c r="L807" s="608"/>
      <c r="M807" s="591"/>
    </row>
    <row r="808" spans="1:13" s="752" customFormat="1" ht="15">
      <c r="A808" s="1461">
        <v>801</v>
      </c>
      <c r="B808" s="811"/>
      <c r="C808" s="545"/>
      <c r="D808" s="539" t="s">
        <v>957</v>
      </c>
      <c r="E808" s="782"/>
      <c r="F808" s="562"/>
      <c r="G808" s="557"/>
      <c r="H808" s="791"/>
      <c r="I808" s="607"/>
      <c r="J808" s="538">
        <v>1744</v>
      </c>
      <c r="K808" s="538"/>
      <c r="L808" s="609">
        <f t="shared" si="7"/>
        <v>1744</v>
      </c>
      <c r="M808" s="586"/>
    </row>
    <row r="809" spans="1:13" s="753" customFormat="1" ht="15">
      <c r="A809" s="1461">
        <v>802</v>
      </c>
      <c r="B809" s="812"/>
      <c r="C809" s="1464"/>
      <c r="D809" s="541" t="s">
        <v>405</v>
      </c>
      <c r="E809" s="805"/>
      <c r="F809" s="806"/>
      <c r="G809" s="567"/>
      <c r="H809" s="745"/>
      <c r="I809" s="610"/>
      <c r="J809" s="555"/>
      <c r="K809" s="555"/>
      <c r="L809" s="611">
        <f t="shared" si="7"/>
        <v>0</v>
      </c>
      <c r="M809" s="594"/>
    </row>
    <row r="810" spans="1:13" s="754" customFormat="1" ht="15">
      <c r="A810" s="1461">
        <v>803</v>
      </c>
      <c r="B810" s="577"/>
      <c r="C810" s="1465"/>
      <c r="D810" s="542" t="s">
        <v>1067</v>
      </c>
      <c r="E810" s="576"/>
      <c r="F810" s="568"/>
      <c r="G810" s="568"/>
      <c r="H810" s="746"/>
      <c r="I810" s="615">
        <f>SUM(I808:I809)</f>
        <v>0</v>
      </c>
      <c r="J810" s="568">
        <f>SUM(J808:J809)</f>
        <v>1744</v>
      </c>
      <c r="K810" s="568">
        <f>SUM(K808:K809)</f>
        <v>0</v>
      </c>
      <c r="L810" s="608">
        <f t="shared" si="7"/>
        <v>1744</v>
      </c>
      <c r="M810" s="593">
        <v>0</v>
      </c>
    </row>
    <row r="811" spans="1:13" ht="15">
      <c r="A811" s="1461">
        <v>804</v>
      </c>
      <c r="B811" s="811"/>
      <c r="C811" s="545">
        <v>23</v>
      </c>
      <c r="D811" s="539" t="s">
        <v>994</v>
      </c>
      <c r="E811" s="782" t="s">
        <v>799</v>
      </c>
      <c r="F811" s="562">
        <f>SUM(H811,L814)</f>
        <v>109</v>
      </c>
      <c r="G811" s="562">
        <v>0</v>
      </c>
      <c r="H811" s="914">
        <v>0</v>
      </c>
      <c r="I811" s="607"/>
      <c r="J811" s="538"/>
      <c r="K811" s="538"/>
      <c r="L811" s="608">
        <f t="shared" si="7"/>
        <v>0</v>
      </c>
      <c r="M811" s="591"/>
    </row>
    <row r="812" spans="1:13" s="752" customFormat="1" ht="15">
      <c r="A812" s="1461">
        <v>805</v>
      </c>
      <c r="B812" s="811"/>
      <c r="C812" s="545"/>
      <c r="D812" s="539" t="s">
        <v>957</v>
      </c>
      <c r="E812" s="782"/>
      <c r="F812" s="562"/>
      <c r="G812" s="557"/>
      <c r="H812" s="791"/>
      <c r="I812" s="607"/>
      <c r="J812" s="538">
        <v>109</v>
      </c>
      <c r="K812" s="538"/>
      <c r="L812" s="609">
        <f t="shared" si="7"/>
        <v>109</v>
      </c>
      <c r="M812" s="586"/>
    </row>
    <row r="813" spans="1:13" s="753" customFormat="1" ht="15">
      <c r="A813" s="1461">
        <v>806</v>
      </c>
      <c r="B813" s="812"/>
      <c r="C813" s="1464"/>
      <c r="D813" s="541" t="s">
        <v>405</v>
      </c>
      <c r="E813" s="805"/>
      <c r="F813" s="806"/>
      <c r="G813" s="567"/>
      <c r="H813" s="745"/>
      <c r="I813" s="610"/>
      <c r="J813" s="555"/>
      <c r="K813" s="555"/>
      <c r="L813" s="611">
        <f t="shared" si="7"/>
        <v>0</v>
      </c>
      <c r="M813" s="594"/>
    </row>
    <row r="814" spans="1:13" s="754" customFormat="1" ht="15">
      <c r="A814" s="1461">
        <v>807</v>
      </c>
      <c r="B814" s="577"/>
      <c r="C814" s="1465"/>
      <c r="D814" s="542" t="s">
        <v>1067</v>
      </c>
      <c r="E814" s="576"/>
      <c r="F814" s="568"/>
      <c r="G814" s="568"/>
      <c r="H814" s="746"/>
      <c r="I814" s="568">
        <f>SUM(I812:I813)</f>
        <v>0</v>
      </c>
      <c r="J814" s="568">
        <f>SUM(J812:J813)</f>
        <v>109</v>
      </c>
      <c r="K814" s="568">
        <f>SUM(K812:K813)</f>
        <v>0</v>
      </c>
      <c r="L814" s="608">
        <f t="shared" si="7"/>
        <v>109</v>
      </c>
      <c r="M814" s="593">
        <v>0</v>
      </c>
    </row>
    <row r="815" spans="1:13" ht="15">
      <c r="A815" s="1461">
        <v>808</v>
      </c>
      <c r="B815" s="811"/>
      <c r="C815" s="545">
        <v>24</v>
      </c>
      <c r="D815" s="539" t="s">
        <v>995</v>
      </c>
      <c r="E815" s="782" t="s">
        <v>799</v>
      </c>
      <c r="F815" s="562">
        <f>SUM(H815,L818)</f>
        <v>40</v>
      </c>
      <c r="G815" s="562">
        <v>0</v>
      </c>
      <c r="H815" s="914">
        <v>0</v>
      </c>
      <c r="I815" s="607"/>
      <c r="J815" s="538"/>
      <c r="K815" s="538"/>
      <c r="L815" s="608"/>
      <c r="M815" s="591"/>
    </row>
    <row r="816" spans="1:13" s="752" customFormat="1" ht="15">
      <c r="A816" s="1461">
        <v>809</v>
      </c>
      <c r="B816" s="811"/>
      <c r="C816" s="545"/>
      <c r="D816" s="539" t="s">
        <v>957</v>
      </c>
      <c r="E816" s="782"/>
      <c r="F816" s="562"/>
      <c r="G816" s="557"/>
      <c r="H816" s="791"/>
      <c r="I816" s="607"/>
      <c r="J816" s="538">
        <v>40</v>
      </c>
      <c r="K816" s="538"/>
      <c r="L816" s="609">
        <f t="shared" si="7"/>
        <v>40</v>
      </c>
      <c r="M816" s="586"/>
    </row>
    <row r="817" spans="1:13" s="753" customFormat="1" ht="15">
      <c r="A817" s="1461">
        <v>810</v>
      </c>
      <c r="B817" s="812"/>
      <c r="C817" s="1464"/>
      <c r="D817" s="541" t="s">
        <v>405</v>
      </c>
      <c r="E817" s="805"/>
      <c r="F817" s="806"/>
      <c r="G817" s="567"/>
      <c r="H817" s="745"/>
      <c r="I817" s="610"/>
      <c r="J817" s="555"/>
      <c r="K817" s="555"/>
      <c r="L817" s="611">
        <f t="shared" si="7"/>
        <v>0</v>
      </c>
      <c r="M817" s="594"/>
    </row>
    <row r="818" spans="1:13" s="754" customFormat="1" ht="15">
      <c r="A818" s="1461">
        <v>811</v>
      </c>
      <c r="B818" s="577"/>
      <c r="C818" s="1465"/>
      <c r="D818" s="542" t="s">
        <v>1067</v>
      </c>
      <c r="E818" s="576"/>
      <c r="F818" s="568"/>
      <c r="G818" s="568"/>
      <c r="H818" s="746"/>
      <c r="I818" s="568">
        <f>SUM(I816:I817)</f>
        <v>0</v>
      </c>
      <c r="J818" s="568">
        <f>SUM(J816:J817)</f>
        <v>40</v>
      </c>
      <c r="K818" s="568">
        <f>SUM(K816:K817)</f>
        <v>0</v>
      </c>
      <c r="L818" s="608">
        <f t="shared" si="7"/>
        <v>40</v>
      </c>
      <c r="M818" s="593">
        <v>0</v>
      </c>
    </row>
    <row r="819" spans="1:13" ht="15">
      <c r="A819" s="1461">
        <v>812</v>
      </c>
      <c r="B819" s="811"/>
      <c r="C819" s="545">
        <v>25</v>
      </c>
      <c r="D819" s="539" t="s">
        <v>996</v>
      </c>
      <c r="E819" s="782" t="s">
        <v>799</v>
      </c>
      <c r="F819" s="562">
        <f>SUM(H819,L822)</f>
        <v>12</v>
      </c>
      <c r="G819" s="562">
        <v>0</v>
      </c>
      <c r="H819" s="914">
        <v>0</v>
      </c>
      <c r="I819" s="607"/>
      <c r="J819" s="538"/>
      <c r="K819" s="538"/>
      <c r="L819" s="608"/>
      <c r="M819" s="591"/>
    </row>
    <row r="820" spans="1:13" s="752" customFormat="1" ht="15">
      <c r="A820" s="1461">
        <v>813</v>
      </c>
      <c r="B820" s="811"/>
      <c r="C820" s="545"/>
      <c r="D820" s="539" t="s">
        <v>957</v>
      </c>
      <c r="E820" s="782"/>
      <c r="F820" s="562"/>
      <c r="G820" s="557"/>
      <c r="H820" s="791"/>
      <c r="I820" s="607"/>
      <c r="J820" s="538">
        <v>12</v>
      </c>
      <c r="K820" s="538"/>
      <c r="L820" s="609">
        <f t="shared" si="7"/>
        <v>12</v>
      </c>
      <c r="M820" s="586"/>
    </row>
    <row r="821" spans="1:13" s="753" customFormat="1" ht="15">
      <c r="A821" s="1461">
        <v>814</v>
      </c>
      <c r="B821" s="812"/>
      <c r="C821" s="1464"/>
      <c r="D821" s="541" t="s">
        <v>405</v>
      </c>
      <c r="E821" s="805"/>
      <c r="F821" s="806"/>
      <c r="G821" s="567"/>
      <c r="H821" s="745"/>
      <c r="I821" s="610"/>
      <c r="J821" s="555"/>
      <c r="K821" s="555"/>
      <c r="L821" s="611">
        <f t="shared" si="7"/>
        <v>0</v>
      </c>
      <c r="M821" s="594"/>
    </row>
    <row r="822" spans="1:13" s="754" customFormat="1" ht="15">
      <c r="A822" s="1461">
        <v>815</v>
      </c>
      <c r="B822" s="577"/>
      <c r="C822" s="1465"/>
      <c r="D822" s="542" t="s">
        <v>1067</v>
      </c>
      <c r="E822" s="576"/>
      <c r="F822" s="568"/>
      <c r="G822" s="568"/>
      <c r="H822" s="746"/>
      <c r="I822" s="568">
        <f>SUM(I820:I821)</f>
        <v>0</v>
      </c>
      <c r="J822" s="568">
        <f>SUM(J820:J821)</f>
        <v>12</v>
      </c>
      <c r="K822" s="568">
        <f>SUM(K820:K821)</f>
        <v>0</v>
      </c>
      <c r="L822" s="608">
        <f t="shared" si="7"/>
        <v>12</v>
      </c>
      <c r="M822" s="593">
        <v>0</v>
      </c>
    </row>
    <row r="823" spans="1:13" ht="15">
      <c r="A823" s="1461">
        <v>816</v>
      </c>
      <c r="B823" s="811"/>
      <c r="C823" s="545">
        <v>26</v>
      </c>
      <c r="D823" s="539" t="s">
        <v>733</v>
      </c>
      <c r="E823" s="782" t="s">
        <v>799</v>
      </c>
      <c r="F823" s="562">
        <f>SUM(H823,L826)</f>
        <v>81</v>
      </c>
      <c r="G823" s="562">
        <v>0</v>
      </c>
      <c r="H823" s="914">
        <v>0</v>
      </c>
      <c r="I823" s="607"/>
      <c r="J823" s="538"/>
      <c r="K823" s="538"/>
      <c r="L823" s="608"/>
      <c r="M823" s="591"/>
    </row>
    <row r="824" spans="1:13" s="752" customFormat="1" ht="15">
      <c r="A824" s="1461">
        <v>817</v>
      </c>
      <c r="B824" s="811"/>
      <c r="C824" s="545"/>
      <c r="D824" s="539" t="s">
        <v>957</v>
      </c>
      <c r="E824" s="782"/>
      <c r="F824" s="562"/>
      <c r="G824" s="557"/>
      <c r="H824" s="791"/>
      <c r="I824" s="607"/>
      <c r="J824" s="538">
        <v>81</v>
      </c>
      <c r="K824" s="538"/>
      <c r="L824" s="609">
        <f t="shared" si="7"/>
        <v>81</v>
      </c>
      <c r="M824" s="586"/>
    </row>
    <row r="825" spans="1:13" s="753" customFormat="1" ht="15">
      <c r="A825" s="1461">
        <v>818</v>
      </c>
      <c r="B825" s="812"/>
      <c r="C825" s="1464"/>
      <c r="D825" s="541" t="s">
        <v>234</v>
      </c>
      <c r="E825" s="805"/>
      <c r="F825" s="806"/>
      <c r="G825" s="567"/>
      <c r="H825" s="745"/>
      <c r="I825" s="610"/>
      <c r="J825" s="555"/>
      <c r="K825" s="555"/>
      <c r="L825" s="611">
        <f t="shared" si="7"/>
        <v>0</v>
      </c>
      <c r="M825" s="594"/>
    </row>
    <row r="826" spans="1:13" s="754" customFormat="1" ht="15">
      <c r="A826" s="1461">
        <v>819</v>
      </c>
      <c r="B826" s="577"/>
      <c r="C826" s="1465"/>
      <c r="D826" s="542" t="s">
        <v>1067</v>
      </c>
      <c r="E826" s="576"/>
      <c r="F826" s="568"/>
      <c r="G826" s="568"/>
      <c r="H826" s="746"/>
      <c r="I826" s="615">
        <f>SUM(I824:I825)</f>
        <v>0</v>
      </c>
      <c r="J826" s="568">
        <f>SUM(J824:J825)</f>
        <v>81</v>
      </c>
      <c r="K826" s="568">
        <f>SUM(K824:K825)</f>
        <v>0</v>
      </c>
      <c r="L826" s="608">
        <f t="shared" si="7"/>
        <v>81</v>
      </c>
      <c r="M826" s="593">
        <v>0</v>
      </c>
    </row>
    <row r="827" spans="1:13" s="752" customFormat="1" ht="15">
      <c r="A827" s="1461">
        <v>820</v>
      </c>
      <c r="B827" s="535">
        <v>4</v>
      </c>
      <c r="C827" s="545"/>
      <c r="D827" s="536" t="s">
        <v>422</v>
      </c>
      <c r="E827" s="557"/>
      <c r="F827" s="557"/>
      <c r="G827" s="564"/>
      <c r="H827" s="912"/>
      <c r="I827" s="607"/>
      <c r="J827" s="538"/>
      <c r="K827" s="538"/>
      <c r="L827" s="609"/>
      <c r="M827" s="589"/>
    </row>
    <row r="828" spans="1:13" s="752" customFormat="1" ht="30">
      <c r="A828" s="1461">
        <v>821</v>
      </c>
      <c r="B828" s="811"/>
      <c r="C828" s="545">
        <v>1</v>
      </c>
      <c r="D828" s="557" t="s">
        <v>313</v>
      </c>
      <c r="E828" s="782" t="s">
        <v>799</v>
      </c>
      <c r="F828" s="562">
        <f>SUM(H828,L832)</f>
        <v>1021</v>
      </c>
      <c r="G828" s="557">
        <v>0</v>
      </c>
      <c r="H828" s="913">
        <v>0</v>
      </c>
      <c r="I828" s="607"/>
      <c r="J828" s="538"/>
      <c r="K828" s="538"/>
      <c r="L828" s="609"/>
      <c r="M828" s="586"/>
    </row>
    <row r="829" spans="1:13" ht="15">
      <c r="A829" s="1461">
        <v>822</v>
      </c>
      <c r="B829" s="811"/>
      <c r="C829" s="545"/>
      <c r="D829" s="539" t="s">
        <v>403</v>
      </c>
      <c r="E829" s="782"/>
      <c r="F829" s="567"/>
      <c r="G829" s="562"/>
      <c r="H829" s="914"/>
      <c r="I829" s="607"/>
      <c r="J829" s="538">
        <v>750</v>
      </c>
      <c r="K829" s="538"/>
      <c r="L829" s="609">
        <f>SUM(I829:K829)</f>
        <v>750</v>
      </c>
      <c r="M829" s="591"/>
    </row>
    <row r="830" spans="1:13" ht="15">
      <c r="A830" s="1461">
        <v>823</v>
      </c>
      <c r="B830" s="811"/>
      <c r="C830" s="545"/>
      <c r="D830" s="539" t="s">
        <v>957</v>
      </c>
      <c r="E830" s="782"/>
      <c r="F830" s="567"/>
      <c r="G830" s="562"/>
      <c r="H830" s="914"/>
      <c r="I830" s="607"/>
      <c r="J830" s="538">
        <v>1054</v>
      </c>
      <c r="K830" s="538"/>
      <c r="L830" s="609">
        <f aca="true" t="shared" si="8" ref="L830:L929">SUM(I830:K830)</f>
        <v>1054</v>
      </c>
      <c r="M830" s="591"/>
    </row>
    <row r="831" spans="1:13" s="753" customFormat="1" ht="15">
      <c r="A831" s="1461">
        <v>824</v>
      </c>
      <c r="B831" s="812"/>
      <c r="C831" s="1464"/>
      <c r="D831" s="541" t="s">
        <v>1080</v>
      </c>
      <c r="E831" s="576"/>
      <c r="F831" s="568"/>
      <c r="G831" s="567"/>
      <c r="H831" s="915"/>
      <c r="I831" s="610"/>
      <c r="J831" s="555">
        <v>-33</v>
      </c>
      <c r="K831" s="555"/>
      <c r="L831" s="611">
        <f t="shared" si="8"/>
        <v>-33</v>
      </c>
      <c r="M831" s="594"/>
    </row>
    <row r="832" spans="1:13" s="754" customFormat="1" ht="15">
      <c r="A832" s="1461">
        <v>825</v>
      </c>
      <c r="B832" s="577"/>
      <c r="C832" s="1465"/>
      <c r="D832" s="542" t="s">
        <v>1067</v>
      </c>
      <c r="E832" s="779"/>
      <c r="F832" s="557"/>
      <c r="G832" s="568"/>
      <c r="H832" s="911"/>
      <c r="I832" s="615">
        <f>SUM(I830:I831)</f>
        <v>0</v>
      </c>
      <c r="J832" s="568">
        <f>SUM(J830:J831)</f>
        <v>1021</v>
      </c>
      <c r="K832" s="568">
        <f>SUM(K830:K831)</f>
        <v>0</v>
      </c>
      <c r="L832" s="608">
        <f t="shared" si="8"/>
        <v>1021</v>
      </c>
      <c r="M832" s="593">
        <f>SUM(M829:M831)</f>
        <v>0</v>
      </c>
    </row>
    <row r="833" spans="1:13" s="752" customFormat="1" ht="15">
      <c r="A833" s="1461">
        <v>826</v>
      </c>
      <c r="B833" s="811"/>
      <c r="C833" s="545">
        <v>2</v>
      </c>
      <c r="D833" s="557" t="s">
        <v>314</v>
      </c>
      <c r="E833" s="782" t="s">
        <v>799</v>
      </c>
      <c r="F833" s="562">
        <f>SUM(H833,L837)</f>
        <v>114</v>
      </c>
      <c r="G833" s="557">
        <v>0</v>
      </c>
      <c r="H833" s="913">
        <v>0</v>
      </c>
      <c r="I833" s="607"/>
      <c r="J833" s="538"/>
      <c r="K833" s="538"/>
      <c r="L833" s="609"/>
      <c r="M833" s="586"/>
    </row>
    <row r="834" spans="1:13" ht="15">
      <c r="A834" s="1461">
        <v>827</v>
      </c>
      <c r="B834" s="811"/>
      <c r="C834" s="545"/>
      <c r="D834" s="539" t="s">
        <v>403</v>
      </c>
      <c r="E834" s="782"/>
      <c r="F834" s="567"/>
      <c r="G834" s="562"/>
      <c r="H834" s="914"/>
      <c r="I834" s="607"/>
      <c r="J834" s="538">
        <v>120</v>
      </c>
      <c r="K834" s="538"/>
      <c r="L834" s="609">
        <f t="shared" si="8"/>
        <v>120</v>
      </c>
      <c r="M834" s="591"/>
    </row>
    <row r="835" spans="1:13" ht="15">
      <c r="A835" s="1461">
        <v>828</v>
      </c>
      <c r="B835" s="811"/>
      <c r="C835" s="545"/>
      <c r="D835" s="539" t="s">
        <v>957</v>
      </c>
      <c r="E835" s="782"/>
      <c r="F835" s="567"/>
      <c r="G835" s="562"/>
      <c r="H835" s="914"/>
      <c r="I835" s="607"/>
      <c r="J835" s="538">
        <v>114</v>
      </c>
      <c r="K835" s="538"/>
      <c r="L835" s="609">
        <f t="shared" si="8"/>
        <v>114</v>
      </c>
      <c r="M835" s="591"/>
    </row>
    <row r="836" spans="1:13" s="753" customFormat="1" ht="15">
      <c r="A836" s="1461">
        <v>829</v>
      </c>
      <c r="B836" s="812"/>
      <c r="C836" s="1464"/>
      <c r="D836" s="541" t="s">
        <v>405</v>
      </c>
      <c r="E836" s="576"/>
      <c r="F836" s="568"/>
      <c r="G836" s="567"/>
      <c r="H836" s="915"/>
      <c r="I836" s="610"/>
      <c r="J836" s="555"/>
      <c r="K836" s="555"/>
      <c r="L836" s="611">
        <f t="shared" si="8"/>
        <v>0</v>
      </c>
      <c r="M836" s="594"/>
    </row>
    <row r="837" spans="1:13" s="754" customFormat="1" ht="15">
      <c r="A837" s="1461">
        <v>830</v>
      </c>
      <c r="B837" s="577"/>
      <c r="C837" s="1465"/>
      <c r="D837" s="542" t="s">
        <v>1067</v>
      </c>
      <c r="E837" s="779"/>
      <c r="F837" s="557"/>
      <c r="G837" s="568"/>
      <c r="H837" s="911"/>
      <c r="I837" s="615">
        <f>SUM(I835:I836)</f>
        <v>0</v>
      </c>
      <c r="J837" s="568">
        <f>SUM(J835:J836)</f>
        <v>114</v>
      </c>
      <c r="K837" s="568">
        <f>SUM(K835:K836)</f>
        <v>0</v>
      </c>
      <c r="L837" s="608">
        <f t="shared" si="8"/>
        <v>114</v>
      </c>
      <c r="M837" s="593">
        <f>SUM(M834:M836)</f>
        <v>0</v>
      </c>
    </row>
    <row r="838" spans="1:13" s="752" customFormat="1" ht="15">
      <c r="A838" s="1461">
        <v>831</v>
      </c>
      <c r="B838" s="811"/>
      <c r="C838" s="545">
        <v>3</v>
      </c>
      <c r="D838" s="557" t="s">
        <v>315</v>
      </c>
      <c r="E838" s="782" t="s">
        <v>799</v>
      </c>
      <c r="F838" s="562">
        <f>SUM(H838,L842)</f>
        <v>0</v>
      </c>
      <c r="G838" s="557">
        <v>0</v>
      </c>
      <c r="H838" s="913">
        <v>0</v>
      </c>
      <c r="I838" s="607"/>
      <c r="J838" s="538"/>
      <c r="K838" s="538"/>
      <c r="L838" s="609"/>
      <c r="M838" s="586"/>
    </row>
    <row r="839" spans="1:13" ht="15">
      <c r="A839" s="1461">
        <v>832</v>
      </c>
      <c r="B839" s="811"/>
      <c r="C839" s="545"/>
      <c r="D839" s="539" t="s">
        <v>403</v>
      </c>
      <c r="E839" s="788"/>
      <c r="F839" s="796"/>
      <c r="G839" s="562"/>
      <c r="H839" s="914"/>
      <c r="I839" s="607"/>
      <c r="J839" s="538">
        <v>110</v>
      </c>
      <c r="K839" s="538"/>
      <c r="L839" s="609">
        <f t="shared" si="8"/>
        <v>110</v>
      </c>
      <c r="M839" s="591"/>
    </row>
    <row r="840" spans="1:13" ht="15">
      <c r="A840" s="1461">
        <v>833</v>
      </c>
      <c r="B840" s="811"/>
      <c r="C840" s="545"/>
      <c r="D840" s="539" t="s">
        <v>957</v>
      </c>
      <c r="E840" s="788"/>
      <c r="F840" s="796"/>
      <c r="G840" s="562"/>
      <c r="H840" s="914"/>
      <c r="I840" s="607"/>
      <c r="J840" s="538">
        <v>0</v>
      </c>
      <c r="K840" s="538"/>
      <c r="L840" s="609">
        <f t="shared" si="8"/>
        <v>0</v>
      </c>
      <c r="M840" s="591"/>
    </row>
    <row r="841" spans="1:13" s="753" customFormat="1" ht="15">
      <c r="A841" s="1461">
        <v>834</v>
      </c>
      <c r="B841" s="812"/>
      <c r="C841" s="1464"/>
      <c r="D841" s="541" t="s">
        <v>405</v>
      </c>
      <c r="E841" s="782"/>
      <c r="F841" s="567"/>
      <c r="G841" s="567"/>
      <c r="H841" s="915"/>
      <c r="I841" s="610"/>
      <c r="J841" s="555"/>
      <c r="K841" s="555"/>
      <c r="L841" s="611">
        <f t="shared" si="8"/>
        <v>0</v>
      </c>
      <c r="M841" s="594"/>
    </row>
    <row r="842" spans="1:13" s="754" customFormat="1" ht="15">
      <c r="A842" s="1461">
        <v>835</v>
      </c>
      <c r="B842" s="577"/>
      <c r="C842" s="1465"/>
      <c r="D842" s="542" t="s">
        <v>1067</v>
      </c>
      <c r="E842" s="576"/>
      <c r="F842" s="568"/>
      <c r="G842" s="568"/>
      <c r="H842" s="911"/>
      <c r="I842" s="615">
        <f>SUM(I840:I841)</f>
        <v>0</v>
      </c>
      <c r="J842" s="568">
        <f>SUM(J840:J841)</f>
        <v>0</v>
      </c>
      <c r="K842" s="568">
        <f>SUM(K840:K841)</f>
        <v>0</v>
      </c>
      <c r="L842" s="608">
        <f t="shared" si="8"/>
        <v>0</v>
      </c>
      <c r="M842" s="593">
        <f>SUM(M839:M841)</f>
        <v>0</v>
      </c>
    </row>
    <row r="843" spans="1:13" s="752" customFormat="1" ht="15">
      <c r="A843" s="1461">
        <v>836</v>
      </c>
      <c r="B843" s="811"/>
      <c r="C843" s="545">
        <v>4</v>
      </c>
      <c r="D843" s="557" t="s">
        <v>316</v>
      </c>
      <c r="E843" s="782" t="s">
        <v>799</v>
      </c>
      <c r="F843" s="562">
        <f>SUM(H843,L847)</f>
        <v>120</v>
      </c>
      <c r="G843" s="557">
        <v>0</v>
      </c>
      <c r="H843" s="913">
        <v>0</v>
      </c>
      <c r="I843" s="607"/>
      <c r="J843" s="538"/>
      <c r="K843" s="538"/>
      <c r="L843" s="609"/>
      <c r="M843" s="586"/>
    </row>
    <row r="844" spans="1:13" ht="15">
      <c r="A844" s="1461">
        <v>837</v>
      </c>
      <c r="B844" s="811"/>
      <c r="C844" s="545"/>
      <c r="D844" s="539" t="s">
        <v>403</v>
      </c>
      <c r="E844" s="782"/>
      <c r="F844" s="567"/>
      <c r="G844" s="562"/>
      <c r="H844" s="914"/>
      <c r="I844" s="607"/>
      <c r="J844" s="538">
        <v>100</v>
      </c>
      <c r="K844" s="538"/>
      <c r="L844" s="609">
        <f t="shared" si="8"/>
        <v>100</v>
      </c>
      <c r="M844" s="591"/>
    </row>
    <row r="845" spans="1:13" ht="15">
      <c r="A845" s="1461">
        <v>838</v>
      </c>
      <c r="B845" s="811"/>
      <c r="C845" s="545"/>
      <c r="D845" s="539" t="s">
        <v>957</v>
      </c>
      <c r="E845" s="782"/>
      <c r="F845" s="567"/>
      <c r="G845" s="562"/>
      <c r="H845" s="914"/>
      <c r="I845" s="607"/>
      <c r="J845" s="538">
        <v>120</v>
      </c>
      <c r="K845" s="538"/>
      <c r="L845" s="609">
        <f t="shared" si="8"/>
        <v>120</v>
      </c>
      <c r="M845" s="591"/>
    </row>
    <row r="846" spans="1:13" s="753" customFormat="1" ht="15">
      <c r="A846" s="1461">
        <v>839</v>
      </c>
      <c r="B846" s="812"/>
      <c r="C846" s="1464"/>
      <c r="D846" s="541" t="s">
        <v>405</v>
      </c>
      <c r="E846" s="576"/>
      <c r="F846" s="568"/>
      <c r="G846" s="567"/>
      <c r="H846" s="915"/>
      <c r="I846" s="610"/>
      <c r="J846" s="555"/>
      <c r="K846" s="555"/>
      <c r="L846" s="611">
        <f t="shared" si="8"/>
        <v>0</v>
      </c>
      <c r="M846" s="594"/>
    </row>
    <row r="847" spans="1:13" s="754" customFormat="1" ht="15">
      <c r="A847" s="1461">
        <v>840</v>
      </c>
      <c r="B847" s="577"/>
      <c r="C847" s="1465"/>
      <c r="D847" s="542" t="s">
        <v>1067</v>
      </c>
      <c r="E847" s="779"/>
      <c r="F847" s="557"/>
      <c r="G847" s="568"/>
      <c r="H847" s="911"/>
      <c r="I847" s="615">
        <f>SUM(I845:I846)</f>
        <v>0</v>
      </c>
      <c r="J847" s="568">
        <f>SUM(J845:J846)</f>
        <v>120</v>
      </c>
      <c r="K847" s="568">
        <f>SUM(K845:K846)</f>
        <v>0</v>
      </c>
      <c r="L847" s="608">
        <f t="shared" si="8"/>
        <v>120</v>
      </c>
      <c r="M847" s="593">
        <f>SUM(M844:M846)</f>
        <v>0</v>
      </c>
    </row>
    <row r="848" spans="1:13" s="752" customFormat="1" ht="15">
      <c r="A848" s="1461">
        <v>841</v>
      </c>
      <c r="B848" s="811"/>
      <c r="C848" s="545">
        <v>5</v>
      </c>
      <c r="D848" s="557" t="s">
        <v>317</v>
      </c>
      <c r="E848" s="782" t="s">
        <v>799</v>
      </c>
      <c r="F848" s="562">
        <f>SUM(H848,L852)</f>
        <v>0</v>
      </c>
      <c r="G848" s="557">
        <v>0</v>
      </c>
      <c r="H848" s="913">
        <v>0</v>
      </c>
      <c r="I848" s="607"/>
      <c r="J848" s="538"/>
      <c r="K848" s="538"/>
      <c r="L848" s="609"/>
      <c r="M848" s="586"/>
    </row>
    <row r="849" spans="1:13" ht="15">
      <c r="A849" s="1461">
        <v>842</v>
      </c>
      <c r="B849" s="811"/>
      <c r="C849" s="545"/>
      <c r="D849" s="539" t="s">
        <v>403</v>
      </c>
      <c r="E849" s="782"/>
      <c r="F849" s="567"/>
      <c r="G849" s="562"/>
      <c r="H849" s="914"/>
      <c r="I849" s="607"/>
      <c r="J849" s="538">
        <v>70</v>
      </c>
      <c r="K849" s="538"/>
      <c r="L849" s="609">
        <f t="shared" si="8"/>
        <v>70</v>
      </c>
      <c r="M849" s="591"/>
    </row>
    <row r="850" spans="1:13" ht="15">
      <c r="A850" s="1461">
        <v>843</v>
      </c>
      <c r="B850" s="811"/>
      <c r="C850" s="545"/>
      <c r="D850" s="539" t="s">
        <v>957</v>
      </c>
      <c r="E850" s="782"/>
      <c r="F850" s="567"/>
      <c r="G850" s="562"/>
      <c r="H850" s="914"/>
      <c r="I850" s="607"/>
      <c r="J850" s="538">
        <v>0</v>
      </c>
      <c r="K850" s="538"/>
      <c r="L850" s="609">
        <f t="shared" si="8"/>
        <v>0</v>
      </c>
      <c r="M850" s="591"/>
    </row>
    <row r="851" spans="1:13" s="753" customFormat="1" ht="15">
      <c r="A851" s="1461">
        <v>844</v>
      </c>
      <c r="B851" s="812"/>
      <c r="C851" s="1464"/>
      <c r="D851" s="541" t="s">
        <v>405</v>
      </c>
      <c r="E851" s="576"/>
      <c r="F851" s="568"/>
      <c r="G851" s="567"/>
      <c r="H851" s="915"/>
      <c r="I851" s="610"/>
      <c r="J851" s="555"/>
      <c r="K851" s="555"/>
      <c r="L851" s="611">
        <f t="shared" si="8"/>
        <v>0</v>
      </c>
      <c r="M851" s="594"/>
    </row>
    <row r="852" spans="1:13" s="754" customFormat="1" ht="15">
      <c r="A852" s="1461">
        <v>845</v>
      </c>
      <c r="B852" s="577"/>
      <c r="C852" s="1465"/>
      <c r="D852" s="542" t="s">
        <v>1067</v>
      </c>
      <c r="E852" s="779"/>
      <c r="F852" s="557"/>
      <c r="G852" s="568"/>
      <c r="H852" s="911"/>
      <c r="I852" s="615">
        <f>SUM(I850:I851)</f>
        <v>0</v>
      </c>
      <c r="J852" s="568">
        <f>SUM(J850:J851)</f>
        <v>0</v>
      </c>
      <c r="K852" s="568">
        <f>SUM(K850:K851)</f>
        <v>0</v>
      </c>
      <c r="L852" s="608">
        <f t="shared" si="8"/>
        <v>0</v>
      </c>
      <c r="M852" s="593">
        <f>SUM(M849:M851)</f>
        <v>0</v>
      </c>
    </row>
    <row r="853" spans="1:13" s="752" customFormat="1" ht="15">
      <c r="A853" s="1461">
        <v>846</v>
      </c>
      <c r="B853" s="535"/>
      <c r="C853" s="545">
        <v>6</v>
      </c>
      <c r="D853" s="557" t="s">
        <v>559</v>
      </c>
      <c r="E853" s="782" t="s">
        <v>799</v>
      </c>
      <c r="F853" s="562">
        <f>SUM(H853,L857)</f>
        <v>858</v>
      </c>
      <c r="G853" s="557">
        <v>0</v>
      </c>
      <c r="H853" s="913">
        <v>0</v>
      </c>
      <c r="I853" s="607"/>
      <c r="J853" s="538"/>
      <c r="K853" s="538"/>
      <c r="L853" s="609"/>
      <c r="M853" s="586"/>
    </row>
    <row r="854" spans="1:13" ht="15">
      <c r="A854" s="1461">
        <v>847</v>
      </c>
      <c r="B854" s="811"/>
      <c r="C854" s="545"/>
      <c r="D854" s="539" t="s">
        <v>403</v>
      </c>
      <c r="E854" s="782"/>
      <c r="F854" s="567"/>
      <c r="G854" s="562"/>
      <c r="H854" s="914"/>
      <c r="I854" s="607"/>
      <c r="J854" s="538">
        <v>1650</v>
      </c>
      <c r="K854" s="538"/>
      <c r="L854" s="609">
        <f t="shared" si="8"/>
        <v>1650</v>
      </c>
      <c r="M854" s="591"/>
    </row>
    <row r="855" spans="1:13" ht="15">
      <c r="A855" s="1461">
        <v>848</v>
      </c>
      <c r="B855" s="811"/>
      <c r="C855" s="545"/>
      <c r="D855" s="539" t="s">
        <v>957</v>
      </c>
      <c r="E855" s="782"/>
      <c r="F855" s="567"/>
      <c r="G855" s="562"/>
      <c r="H855" s="914"/>
      <c r="I855" s="607"/>
      <c r="J855" s="538">
        <v>858</v>
      </c>
      <c r="K855" s="538"/>
      <c r="L855" s="609">
        <f t="shared" si="8"/>
        <v>858</v>
      </c>
      <c r="M855" s="591"/>
    </row>
    <row r="856" spans="1:13" s="753" customFormat="1" ht="15">
      <c r="A856" s="1461">
        <v>849</v>
      </c>
      <c r="B856" s="812"/>
      <c r="C856" s="1464"/>
      <c r="D856" s="541" t="s">
        <v>405</v>
      </c>
      <c r="E856" s="576"/>
      <c r="F856" s="568"/>
      <c r="G856" s="567"/>
      <c r="H856" s="915"/>
      <c r="I856" s="610"/>
      <c r="J856" s="555"/>
      <c r="K856" s="555"/>
      <c r="L856" s="611">
        <f t="shared" si="8"/>
        <v>0</v>
      </c>
      <c r="M856" s="594"/>
    </row>
    <row r="857" spans="1:13" s="754" customFormat="1" ht="15">
      <c r="A857" s="1461">
        <v>850</v>
      </c>
      <c r="B857" s="577"/>
      <c r="C857" s="1465"/>
      <c r="D857" s="542" t="s">
        <v>1067</v>
      </c>
      <c r="E857" s="779"/>
      <c r="F857" s="557"/>
      <c r="G857" s="568"/>
      <c r="H857" s="911"/>
      <c r="I857" s="615">
        <f>SUM(I855:I856)</f>
        <v>0</v>
      </c>
      <c r="J857" s="568">
        <f>SUM(J855:J856)</f>
        <v>858</v>
      </c>
      <c r="K857" s="568">
        <f>SUM(K855:K856)</f>
        <v>0</v>
      </c>
      <c r="L857" s="608">
        <f t="shared" si="8"/>
        <v>858</v>
      </c>
      <c r="M857" s="593">
        <f>SUM(M854:M856)</f>
        <v>0</v>
      </c>
    </row>
    <row r="858" spans="1:13" s="752" customFormat="1" ht="15">
      <c r="A858" s="1461">
        <v>851</v>
      </c>
      <c r="B858" s="811"/>
      <c r="C858" s="545">
        <v>7</v>
      </c>
      <c r="D858" s="557" t="s">
        <v>560</v>
      </c>
      <c r="E858" s="782" t="s">
        <v>799</v>
      </c>
      <c r="F858" s="562">
        <f>SUM(H858,L862)</f>
        <v>457</v>
      </c>
      <c r="G858" s="557">
        <v>0</v>
      </c>
      <c r="H858" s="913">
        <v>0</v>
      </c>
      <c r="I858" s="607"/>
      <c r="J858" s="538"/>
      <c r="K858" s="538"/>
      <c r="L858" s="609"/>
      <c r="M858" s="586"/>
    </row>
    <row r="859" spans="1:13" ht="15">
      <c r="A859" s="1461">
        <v>852</v>
      </c>
      <c r="B859" s="811"/>
      <c r="C859" s="545"/>
      <c r="D859" s="539" t="s">
        <v>403</v>
      </c>
      <c r="E859" s="788"/>
      <c r="F859" s="796"/>
      <c r="G859" s="562"/>
      <c r="H859" s="914"/>
      <c r="I859" s="607"/>
      <c r="J859" s="538">
        <v>210</v>
      </c>
      <c r="K859" s="538"/>
      <c r="L859" s="609">
        <f t="shared" si="8"/>
        <v>210</v>
      </c>
      <c r="M859" s="591"/>
    </row>
    <row r="860" spans="1:13" ht="15">
      <c r="A860" s="1461">
        <v>853</v>
      </c>
      <c r="B860" s="811"/>
      <c r="C860" s="545"/>
      <c r="D860" s="539" t="s">
        <v>957</v>
      </c>
      <c r="E860" s="788"/>
      <c r="F860" s="796"/>
      <c r="G860" s="562"/>
      <c r="H860" s="914"/>
      <c r="I860" s="607"/>
      <c r="J860" s="538">
        <v>457</v>
      </c>
      <c r="K860" s="538"/>
      <c r="L860" s="609">
        <f t="shared" si="8"/>
        <v>457</v>
      </c>
      <c r="M860" s="591"/>
    </row>
    <row r="861" spans="1:13" s="753" customFormat="1" ht="15">
      <c r="A861" s="1461">
        <v>854</v>
      </c>
      <c r="B861" s="812"/>
      <c r="C861" s="1464"/>
      <c r="D861" s="541" t="s">
        <v>405</v>
      </c>
      <c r="E861" s="782"/>
      <c r="F861" s="567"/>
      <c r="G861" s="567"/>
      <c r="H861" s="915"/>
      <c r="I861" s="610"/>
      <c r="J861" s="555"/>
      <c r="K861" s="555"/>
      <c r="L861" s="611">
        <f t="shared" si="8"/>
        <v>0</v>
      </c>
      <c r="M861" s="594"/>
    </row>
    <row r="862" spans="1:13" s="754" customFormat="1" ht="15">
      <c r="A862" s="1461">
        <v>855</v>
      </c>
      <c r="B862" s="577"/>
      <c r="C862" s="1465"/>
      <c r="D862" s="542" t="s">
        <v>1067</v>
      </c>
      <c r="E862" s="576"/>
      <c r="F862" s="568"/>
      <c r="G862" s="568"/>
      <c r="H862" s="911"/>
      <c r="I862" s="615">
        <f>SUM(I860:I861)</f>
        <v>0</v>
      </c>
      <c r="J862" s="568">
        <f>SUM(J860:J861)</f>
        <v>457</v>
      </c>
      <c r="K862" s="568">
        <f>SUM(K860:K861)</f>
        <v>0</v>
      </c>
      <c r="L862" s="608">
        <f t="shared" si="8"/>
        <v>457</v>
      </c>
      <c r="M862" s="593">
        <f>SUM(M859:M861)</f>
        <v>0</v>
      </c>
    </row>
    <row r="863" spans="1:13" s="752" customFormat="1" ht="15">
      <c r="A863" s="1461">
        <v>856</v>
      </c>
      <c r="B863" s="811"/>
      <c r="C863" s="545">
        <v>8</v>
      </c>
      <c r="D863" s="557" t="s">
        <v>561</v>
      </c>
      <c r="E863" s="782" t="s">
        <v>799</v>
      </c>
      <c r="F863" s="562">
        <f>SUM(H863,L867)</f>
        <v>592</v>
      </c>
      <c r="G863" s="557">
        <v>0</v>
      </c>
      <c r="H863" s="913">
        <v>0</v>
      </c>
      <c r="I863" s="607"/>
      <c r="J863" s="538"/>
      <c r="K863" s="538"/>
      <c r="L863" s="609"/>
      <c r="M863" s="586"/>
    </row>
    <row r="864" spans="1:13" ht="15">
      <c r="A864" s="1461">
        <v>857</v>
      </c>
      <c r="B864" s="811"/>
      <c r="C864" s="545"/>
      <c r="D864" s="539" t="s">
        <v>403</v>
      </c>
      <c r="E864" s="782"/>
      <c r="F864" s="567"/>
      <c r="G864" s="562"/>
      <c r="H864" s="914"/>
      <c r="I864" s="607"/>
      <c r="J864" s="538">
        <v>492</v>
      </c>
      <c r="K864" s="538"/>
      <c r="L864" s="609">
        <f t="shared" si="8"/>
        <v>492</v>
      </c>
      <c r="M864" s="591"/>
    </row>
    <row r="865" spans="1:13" ht="15">
      <c r="A865" s="1461">
        <v>858</v>
      </c>
      <c r="B865" s="811"/>
      <c r="C865" s="545"/>
      <c r="D865" s="539" t="s">
        <v>957</v>
      </c>
      <c r="E865" s="782"/>
      <c r="F865" s="567"/>
      <c r="G865" s="562"/>
      <c r="H865" s="914"/>
      <c r="I865" s="607"/>
      <c r="J865" s="538">
        <v>592</v>
      </c>
      <c r="K865" s="538"/>
      <c r="L865" s="609">
        <f t="shared" si="8"/>
        <v>592</v>
      </c>
      <c r="M865" s="591"/>
    </row>
    <row r="866" spans="1:13" s="753" customFormat="1" ht="15">
      <c r="A866" s="1461">
        <v>859</v>
      </c>
      <c r="B866" s="812"/>
      <c r="C866" s="1464"/>
      <c r="D866" s="541" t="s">
        <v>405</v>
      </c>
      <c r="E866" s="576"/>
      <c r="F866" s="568"/>
      <c r="G866" s="567"/>
      <c r="H866" s="915"/>
      <c r="I866" s="610"/>
      <c r="J866" s="555"/>
      <c r="K866" s="555"/>
      <c r="L866" s="611">
        <f t="shared" si="8"/>
        <v>0</v>
      </c>
      <c r="M866" s="594"/>
    </row>
    <row r="867" spans="1:13" s="754" customFormat="1" ht="15">
      <c r="A867" s="1461">
        <v>860</v>
      </c>
      <c r="B867" s="577"/>
      <c r="C867" s="1465"/>
      <c r="D867" s="542" t="s">
        <v>1067</v>
      </c>
      <c r="E867" s="779"/>
      <c r="F867" s="557"/>
      <c r="G867" s="568"/>
      <c r="H867" s="911"/>
      <c r="I867" s="615">
        <f>SUM(I865:I866)</f>
        <v>0</v>
      </c>
      <c r="J867" s="568">
        <f>SUM(J865:J866)</f>
        <v>592</v>
      </c>
      <c r="K867" s="568">
        <f>SUM(K865:K866)</f>
        <v>0</v>
      </c>
      <c r="L867" s="608">
        <f t="shared" si="8"/>
        <v>592</v>
      </c>
      <c r="M867" s="593">
        <f>SUM(M864:M866)</f>
        <v>0</v>
      </c>
    </row>
    <row r="868" spans="1:13" s="752" customFormat="1" ht="15">
      <c r="A868" s="1461">
        <v>861</v>
      </c>
      <c r="B868" s="811"/>
      <c r="C868" s="545">
        <v>9</v>
      </c>
      <c r="D868" s="557" t="s">
        <v>562</v>
      </c>
      <c r="E868" s="782" t="s">
        <v>799</v>
      </c>
      <c r="F868" s="562">
        <f>SUM(H868,L872)</f>
        <v>125</v>
      </c>
      <c r="G868" s="557">
        <v>0</v>
      </c>
      <c r="H868" s="913">
        <v>0</v>
      </c>
      <c r="I868" s="607"/>
      <c r="J868" s="538"/>
      <c r="K868" s="538"/>
      <c r="L868" s="609"/>
      <c r="M868" s="586"/>
    </row>
    <row r="869" spans="1:13" ht="15">
      <c r="A869" s="1461">
        <v>862</v>
      </c>
      <c r="B869" s="811"/>
      <c r="C869" s="545"/>
      <c r="D869" s="539" t="s">
        <v>403</v>
      </c>
      <c r="E869" s="782"/>
      <c r="F869" s="567"/>
      <c r="G869" s="562"/>
      <c r="H869" s="914"/>
      <c r="I869" s="607"/>
      <c r="J869" s="538">
        <v>1225</v>
      </c>
      <c r="K869" s="538"/>
      <c r="L869" s="609">
        <f t="shared" si="8"/>
        <v>1225</v>
      </c>
      <c r="M869" s="591"/>
    </row>
    <row r="870" spans="1:13" ht="15">
      <c r="A870" s="1461">
        <v>863</v>
      </c>
      <c r="B870" s="811"/>
      <c r="C870" s="545"/>
      <c r="D870" s="539" t="s">
        <v>957</v>
      </c>
      <c r="E870" s="782"/>
      <c r="F870" s="567"/>
      <c r="G870" s="562"/>
      <c r="H870" s="914"/>
      <c r="I870" s="607"/>
      <c r="J870" s="538">
        <v>125</v>
      </c>
      <c r="K870" s="538"/>
      <c r="L870" s="609">
        <f t="shared" si="8"/>
        <v>125</v>
      </c>
      <c r="M870" s="591"/>
    </row>
    <row r="871" spans="1:13" s="753" customFormat="1" ht="15">
      <c r="A871" s="1461">
        <v>864</v>
      </c>
      <c r="B871" s="812"/>
      <c r="C871" s="1464"/>
      <c r="D871" s="541" t="s">
        <v>405</v>
      </c>
      <c r="E871" s="576"/>
      <c r="F871" s="568"/>
      <c r="G871" s="567"/>
      <c r="H871" s="915"/>
      <c r="I871" s="610"/>
      <c r="J871" s="555"/>
      <c r="K871" s="555"/>
      <c r="L871" s="611">
        <f t="shared" si="8"/>
        <v>0</v>
      </c>
      <c r="M871" s="594"/>
    </row>
    <row r="872" spans="1:13" s="754" customFormat="1" ht="15">
      <c r="A872" s="1461">
        <v>865</v>
      </c>
      <c r="B872" s="577"/>
      <c r="C872" s="1465"/>
      <c r="D872" s="542" t="s">
        <v>1067</v>
      </c>
      <c r="E872" s="779"/>
      <c r="F872" s="557"/>
      <c r="G872" s="568"/>
      <c r="H872" s="911"/>
      <c r="I872" s="615">
        <f>SUM(I870:I871)</f>
        <v>0</v>
      </c>
      <c r="J872" s="568">
        <f>SUM(J870:J871)</f>
        <v>125</v>
      </c>
      <c r="K872" s="568">
        <f>SUM(K870:K871)</f>
        <v>0</v>
      </c>
      <c r="L872" s="608">
        <f t="shared" si="8"/>
        <v>125</v>
      </c>
      <c r="M872" s="593">
        <f>SUM(M869:M871)</f>
        <v>0</v>
      </c>
    </row>
    <row r="873" spans="1:13" s="752" customFormat="1" ht="15">
      <c r="A873" s="1461">
        <v>866</v>
      </c>
      <c r="B873" s="535"/>
      <c r="C873" s="545">
        <v>10</v>
      </c>
      <c r="D873" s="557" t="s">
        <v>563</v>
      </c>
      <c r="E873" s="782" t="s">
        <v>799</v>
      </c>
      <c r="F873" s="553">
        <f>SUM(H873,L877)</f>
        <v>213</v>
      </c>
      <c r="G873" s="557">
        <v>0</v>
      </c>
      <c r="H873" s="913">
        <v>0</v>
      </c>
      <c r="I873" s="607"/>
      <c r="J873" s="538"/>
      <c r="K873" s="538"/>
      <c r="L873" s="609"/>
      <c r="M873" s="586"/>
    </row>
    <row r="874" spans="1:13" ht="15">
      <c r="A874" s="1461">
        <v>867</v>
      </c>
      <c r="B874" s="811"/>
      <c r="C874" s="545"/>
      <c r="D874" s="539" t="s">
        <v>403</v>
      </c>
      <c r="E874" s="782"/>
      <c r="F874" s="567"/>
      <c r="G874" s="562"/>
      <c r="H874" s="914"/>
      <c r="I874" s="607"/>
      <c r="J874" s="538">
        <v>450</v>
      </c>
      <c r="K874" s="538"/>
      <c r="L874" s="609">
        <f t="shared" si="8"/>
        <v>450</v>
      </c>
      <c r="M874" s="591"/>
    </row>
    <row r="875" spans="1:13" ht="15">
      <c r="A875" s="1461">
        <v>868</v>
      </c>
      <c r="B875" s="811"/>
      <c r="C875" s="545"/>
      <c r="D875" s="539" t="s">
        <v>957</v>
      </c>
      <c r="E875" s="782"/>
      <c r="F875" s="567"/>
      <c r="G875" s="562"/>
      <c r="H875" s="914"/>
      <c r="I875" s="607"/>
      <c r="J875" s="538">
        <v>213</v>
      </c>
      <c r="K875" s="538"/>
      <c r="L875" s="609">
        <f t="shared" si="8"/>
        <v>213</v>
      </c>
      <c r="M875" s="591"/>
    </row>
    <row r="876" spans="1:13" s="753" customFormat="1" ht="15">
      <c r="A876" s="1461">
        <v>869</v>
      </c>
      <c r="B876" s="812"/>
      <c r="C876" s="1464"/>
      <c r="D876" s="541" t="s">
        <v>405</v>
      </c>
      <c r="E876" s="576"/>
      <c r="F876" s="568"/>
      <c r="G876" s="567"/>
      <c r="H876" s="915"/>
      <c r="I876" s="610"/>
      <c r="J876" s="555"/>
      <c r="K876" s="555"/>
      <c r="L876" s="611">
        <f t="shared" si="8"/>
        <v>0</v>
      </c>
      <c r="M876" s="594"/>
    </row>
    <row r="877" spans="1:14" s="754" customFormat="1" ht="15">
      <c r="A877" s="1461">
        <v>870</v>
      </c>
      <c r="B877" s="577"/>
      <c r="C877" s="1465"/>
      <c r="D877" s="542" t="s">
        <v>1067</v>
      </c>
      <c r="E877" s="782"/>
      <c r="F877" s="537"/>
      <c r="G877" s="568"/>
      <c r="H877" s="911"/>
      <c r="I877" s="615">
        <f>SUM(I875:I876)</f>
        <v>0</v>
      </c>
      <c r="J877" s="568">
        <f>SUM(J875:J876)</f>
        <v>213</v>
      </c>
      <c r="K877" s="568">
        <f>SUM(K875:K876)</f>
        <v>0</v>
      </c>
      <c r="L877" s="608">
        <f t="shared" si="8"/>
        <v>213</v>
      </c>
      <c r="M877" s="593">
        <f>SUM(M874:M876)</f>
        <v>0</v>
      </c>
      <c r="N877" s="768">
        <f>J876+J851+J846+J836+J831+J880+J884+J888+J892+J896+J900</f>
        <v>-33</v>
      </c>
    </row>
    <row r="878" spans="1:13" s="752" customFormat="1" ht="15">
      <c r="A878" s="1461">
        <v>871</v>
      </c>
      <c r="B878" s="535"/>
      <c r="C878" s="545">
        <v>11</v>
      </c>
      <c r="D878" s="1303" t="s">
        <v>433</v>
      </c>
      <c r="E878" s="782" t="s">
        <v>799</v>
      </c>
      <c r="F878" s="553">
        <f>SUM(H878,L881)</f>
        <v>33</v>
      </c>
      <c r="G878" s="553">
        <v>0</v>
      </c>
      <c r="H878" s="1304">
        <v>0</v>
      </c>
      <c r="I878" s="607"/>
      <c r="J878" s="538"/>
      <c r="K878" s="538"/>
      <c r="L878" s="608"/>
      <c r="M878" s="591"/>
    </row>
    <row r="879" spans="1:13" s="752" customFormat="1" ht="15">
      <c r="A879" s="1461">
        <v>872</v>
      </c>
      <c r="B879" s="811"/>
      <c r="C879" s="545"/>
      <c r="D879" s="539" t="s">
        <v>957</v>
      </c>
      <c r="E879" s="782"/>
      <c r="F879" s="562"/>
      <c r="G879" s="557"/>
      <c r="H879" s="791"/>
      <c r="I879" s="607"/>
      <c r="J879" s="538">
        <v>33</v>
      </c>
      <c r="K879" s="538"/>
      <c r="L879" s="609">
        <f t="shared" si="8"/>
        <v>33</v>
      </c>
      <c r="M879" s="586"/>
    </row>
    <row r="880" spans="1:13" s="753" customFormat="1" ht="15">
      <c r="A880" s="1461">
        <v>873</v>
      </c>
      <c r="B880" s="812"/>
      <c r="C880" s="1464"/>
      <c r="D880" s="541" t="s">
        <v>234</v>
      </c>
      <c r="E880" s="805"/>
      <c r="F880" s="806"/>
      <c r="G880" s="567"/>
      <c r="H880" s="745"/>
      <c r="I880" s="610"/>
      <c r="J880" s="555"/>
      <c r="K880" s="555"/>
      <c r="L880" s="611">
        <f t="shared" si="8"/>
        <v>0</v>
      </c>
      <c r="M880" s="594"/>
    </row>
    <row r="881" spans="1:13" s="754" customFormat="1" ht="15">
      <c r="A881" s="1461">
        <v>874</v>
      </c>
      <c r="B881" s="577"/>
      <c r="C881" s="1465"/>
      <c r="D881" s="542" t="s">
        <v>1067</v>
      </c>
      <c r="E881" s="576"/>
      <c r="F881" s="568"/>
      <c r="G881" s="568"/>
      <c r="H881" s="746"/>
      <c r="I881" s="615">
        <f>SUM(I879:I880)</f>
        <v>0</v>
      </c>
      <c r="J881" s="568">
        <f>SUM(J879:J880)</f>
        <v>33</v>
      </c>
      <c r="K881" s="568">
        <f>SUM(K879:K880)</f>
        <v>0</v>
      </c>
      <c r="L881" s="608">
        <f t="shared" si="8"/>
        <v>33</v>
      </c>
      <c r="M881" s="593">
        <v>0</v>
      </c>
    </row>
    <row r="882" spans="1:13" s="752" customFormat="1" ht="15">
      <c r="A882" s="1461">
        <v>875</v>
      </c>
      <c r="B882" s="535"/>
      <c r="C882" s="545">
        <v>12</v>
      </c>
      <c r="D882" s="1303" t="s">
        <v>434</v>
      </c>
      <c r="E882" s="782" t="s">
        <v>799</v>
      </c>
      <c r="F882" s="553">
        <f>SUM(H882,L885)</f>
        <v>103</v>
      </c>
      <c r="G882" s="553">
        <v>0</v>
      </c>
      <c r="H882" s="1304">
        <v>0</v>
      </c>
      <c r="I882" s="607"/>
      <c r="J882" s="538"/>
      <c r="K882" s="538"/>
      <c r="L882" s="608"/>
      <c r="M882" s="591"/>
    </row>
    <row r="883" spans="1:13" s="752" customFormat="1" ht="15">
      <c r="A883" s="1461">
        <v>876</v>
      </c>
      <c r="B883" s="811"/>
      <c r="C883" s="545"/>
      <c r="D883" s="539" t="s">
        <v>957</v>
      </c>
      <c r="E883" s="782"/>
      <c r="F883" s="562"/>
      <c r="G883" s="557"/>
      <c r="H883" s="791"/>
      <c r="I883" s="607"/>
      <c r="J883" s="538">
        <v>103</v>
      </c>
      <c r="K883" s="538"/>
      <c r="L883" s="609">
        <f t="shared" si="8"/>
        <v>103</v>
      </c>
      <c r="M883" s="586"/>
    </row>
    <row r="884" spans="1:13" s="753" customFormat="1" ht="15">
      <c r="A884" s="1461">
        <v>877</v>
      </c>
      <c r="B884" s="812"/>
      <c r="C884" s="1464"/>
      <c r="D884" s="541" t="s">
        <v>234</v>
      </c>
      <c r="E884" s="805"/>
      <c r="F884" s="806"/>
      <c r="G884" s="567"/>
      <c r="H884" s="745"/>
      <c r="I884" s="610"/>
      <c r="J884" s="555"/>
      <c r="K884" s="555"/>
      <c r="L884" s="611">
        <f t="shared" si="8"/>
        <v>0</v>
      </c>
      <c r="M884" s="594"/>
    </row>
    <row r="885" spans="1:13" s="754" customFormat="1" ht="15">
      <c r="A885" s="1461">
        <v>878</v>
      </c>
      <c r="B885" s="577"/>
      <c r="C885" s="1465"/>
      <c r="D885" s="542" t="s">
        <v>1067</v>
      </c>
      <c r="E885" s="576"/>
      <c r="F885" s="568"/>
      <c r="G885" s="568"/>
      <c r="H885" s="746"/>
      <c r="I885" s="615">
        <f>SUM(I883:I884)</f>
        <v>0</v>
      </c>
      <c r="J885" s="568">
        <f>SUM(J883:J884)</f>
        <v>103</v>
      </c>
      <c r="K885" s="568">
        <f>SUM(K883:K884)</f>
        <v>0</v>
      </c>
      <c r="L885" s="608">
        <f t="shared" si="8"/>
        <v>103</v>
      </c>
      <c r="M885" s="593">
        <v>0</v>
      </c>
    </row>
    <row r="886" spans="1:13" s="752" customFormat="1" ht="15">
      <c r="A886" s="1461">
        <v>879</v>
      </c>
      <c r="B886" s="535"/>
      <c r="C886" s="545">
        <v>13</v>
      </c>
      <c r="D886" s="1303" t="s">
        <v>435</v>
      </c>
      <c r="E886" s="782" t="s">
        <v>799</v>
      </c>
      <c r="F886" s="553">
        <f>SUM(H886,L889)</f>
        <v>401</v>
      </c>
      <c r="G886" s="553">
        <v>0</v>
      </c>
      <c r="H886" s="1304">
        <v>0</v>
      </c>
      <c r="I886" s="607"/>
      <c r="J886" s="538"/>
      <c r="K886" s="538"/>
      <c r="L886" s="608"/>
      <c r="M886" s="591"/>
    </row>
    <row r="887" spans="1:13" s="752" customFormat="1" ht="15">
      <c r="A887" s="1461">
        <v>880</v>
      </c>
      <c r="B887" s="811"/>
      <c r="C887" s="545"/>
      <c r="D887" s="539" t="s">
        <v>957</v>
      </c>
      <c r="E887" s="782"/>
      <c r="F887" s="562"/>
      <c r="G887" s="557"/>
      <c r="H887" s="791"/>
      <c r="I887" s="607"/>
      <c r="J887" s="538">
        <v>401</v>
      </c>
      <c r="K887" s="538"/>
      <c r="L887" s="609">
        <f t="shared" si="8"/>
        <v>401</v>
      </c>
      <c r="M887" s="586"/>
    </row>
    <row r="888" spans="1:13" s="753" customFormat="1" ht="15">
      <c r="A888" s="1461">
        <v>881</v>
      </c>
      <c r="B888" s="812"/>
      <c r="C888" s="1464"/>
      <c r="D888" s="541" t="s">
        <v>234</v>
      </c>
      <c r="E888" s="805"/>
      <c r="F888" s="806"/>
      <c r="G888" s="567"/>
      <c r="H888" s="745"/>
      <c r="I888" s="610"/>
      <c r="J888" s="555"/>
      <c r="K888" s="555"/>
      <c r="L888" s="611">
        <f t="shared" si="8"/>
        <v>0</v>
      </c>
      <c r="M888" s="594"/>
    </row>
    <row r="889" spans="1:13" s="754" customFormat="1" ht="15">
      <c r="A889" s="1461">
        <v>882</v>
      </c>
      <c r="B889" s="577"/>
      <c r="C889" s="1465"/>
      <c r="D889" s="542" t="s">
        <v>1067</v>
      </c>
      <c r="E889" s="576"/>
      <c r="F889" s="568"/>
      <c r="G889" s="568"/>
      <c r="H889" s="746"/>
      <c r="I889" s="615">
        <f>SUM(I887:I888)</f>
        <v>0</v>
      </c>
      <c r="J889" s="568">
        <f>SUM(J887:J888)</f>
        <v>401</v>
      </c>
      <c r="K889" s="568">
        <f>SUM(K887:K888)</f>
        <v>0</v>
      </c>
      <c r="L889" s="608">
        <f t="shared" si="8"/>
        <v>401</v>
      </c>
      <c r="M889" s="593">
        <v>0</v>
      </c>
    </row>
    <row r="890" spans="1:13" s="752" customFormat="1" ht="15">
      <c r="A890" s="1461">
        <v>883</v>
      </c>
      <c r="B890" s="535"/>
      <c r="C890" s="545">
        <v>14</v>
      </c>
      <c r="D890" s="1303" t="s">
        <v>436</v>
      </c>
      <c r="E890" s="782" t="s">
        <v>799</v>
      </c>
      <c r="F890" s="553">
        <f>SUM(H890,L893)</f>
        <v>36</v>
      </c>
      <c r="G890" s="553">
        <v>0</v>
      </c>
      <c r="H890" s="1304">
        <v>0</v>
      </c>
      <c r="I890" s="607"/>
      <c r="J890" s="538"/>
      <c r="K890" s="538"/>
      <c r="L890" s="608"/>
      <c r="M890" s="591"/>
    </row>
    <row r="891" spans="1:13" s="752" customFormat="1" ht="15">
      <c r="A891" s="1461">
        <v>884</v>
      </c>
      <c r="B891" s="811"/>
      <c r="C891" s="545"/>
      <c r="D891" s="539" t="s">
        <v>957</v>
      </c>
      <c r="E891" s="782"/>
      <c r="F891" s="562"/>
      <c r="G891" s="557"/>
      <c r="H891" s="791"/>
      <c r="I891" s="607"/>
      <c r="J891" s="538">
        <v>36</v>
      </c>
      <c r="K891" s="538"/>
      <c r="L891" s="609">
        <f t="shared" si="8"/>
        <v>36</v>
      </c>
      <c r="M891" s="586"/>
    </row>
    <row r="892" spans="1:13" s="753" customFormat="1" ht="15">
      <c r="A892" s="1461">
        <v>885</v>
      </c>
      <c r="B892" s="812"/>
      <c r="C892" s="1464"/>
      <c r="D892" s="541" t="s">
        <v>234</v>
      </c>
      <c r="E892" s="805"/>
      <c r="F892" s="806"/>
      <c r="G892" s="567"/>
      <c r="H892" s="745"/>
      <c r="I892" s="610"/>
      <c r="J892" s="555"/>
      <c r="K892" s="555"/>
      <c r="L892" s="611">
        <f t="shared" si="8"/>
        <v>0</v>
      </c>
      <c r="M892" s="594"/>
    </row>
    <row r="893" spans="1:13" s="754" customFormat="1" ht="15">
      <c r="A893" s="1461">
        <v>886</v>
      </c>
      <c r="B893" s="577"/>
      <c r="C893" s="1465"/>
      <c r="D893" s="542" t="s">
        <v>1067</v>
      </c>
      <c r="E893" s="576"/>
      <c r="F893" s="568"/>
      <c r="G893" s="568"/>
      <c r="H893" s="746"/>
      <c r="I893" s="615">
        <f>SUM(I891:I892)</f>
        <v>0</v>
      </c>
      <c r="J893" s="568">
        <f>SUM(J891:J892)</f>
        <v>36</v>
      </c>
      <c r="K893" s="568">
        <f>SUM(K891:K892)</f>
        <v>0</v>
      </c>
      <c r="L893" s="608">
        <f t="shared" si="8"/>
        <v>36</v>
      </c>
      <c r="M893" s="593">
        <v>0</v>
      </c>
    </row>
    <row r="894" spans="1:13" s="752" customFormat="1" ht="15">
      <c r="A894" s="1461">
        <v>887</v>
      </c>
      <c r="B894" s="535"/>
      <c r="C894" s="545">
        <v>15</v>
      </c>
      <c r="D894" s="1303" t="s">
        <v>704</v>
      </c>
      <c r="E894" s="782" t="s">
        <v>799</v>
      </c>
      <c r="F894" s="553">
        <f>SUM(H894,L897)</f>
        <v>478</v>
      </c>
      <c r="G894" s="553">
        <v>0</v>
      </c>
      <c r="H894" s="1304">
        <v>0</v>
      </c>
      <c r="I894" s="607"/>
      <c r="J894" s="538"/>
      <c r="K894" s="538"/>
      <c r="L894" s="608"/>
      <c r="M894" s="591"/>
    </row>
    <row r="895" spans="1:13" s="752" customFormat="1" ht="15">
      <c r="A895" s="1461">
        <v>888</v>
      </c>
      <c r="B895" s="811"/>
      <c r="C895" s="545"/>
      <c r="D895" s="539" t="s">
        <v>957</v>
      </c>
      <c r="E895" s="782"/>
      <c r="F895" s="562"/>
      <c r="G895" s="557"/>
      <c r="H895" s="791"/>
      <c r="I895" s="607"/>
      <c r="J895" s="538">
        <v>478</v>
      </c>
      <c r="K895" s="538"/>
      <c r="L895" s="609">
        <f t="shared" si="8"/>
        <v>478</v>
      </c>
      <c r="M895" s="586"/>
    </row>
    <row r="896" spans="1:13" s="753" customFormat="1" ht="15">
      <c r="A896" s="1461">
        <v>889</v>
      </c>
      <c r="B896" s="812"/>
      <c r="C896" s="1464"/>
      <c r="D896" s="541" t="s">
        <v>405</v>
      </c>
      <c r="E896" s="805"/>
      <c r="F896" s="806"/>
      <c r="G896" s="567"/>
      <c r="H896" s="745"/>
      <c r="I896" s="610"/>
      <c r="J896" s="555"/>
      <c r="K896" s="555"/>
      <c r="L896" s="611">
        <f t="shared" si="8"/>
        <v>0</v>
      </c>
      <c r="M896" s="594"/>
    </row>
    <row r="897" spans="1:13" s="754" customFormat="1" ht="15">
      <c r="A897" s="1461">
        <v>890</v>
      </c>
      <c r="B897" s="577"/>
      <c r="C897" s="1465"/>
      <c r="D897" s="542" t="s">
        <v>1067</v>
      </c>
      <c r="E897" s="576"/>
      <c r="F897" s="568"/>
      <c r="G897" s="568"/>
      <c r="H897" s="746"/>
      <c r="I897" s="615">
        <f>SUM(I895:I896)</f>
        <v>0</v>
      </c>
      <c r="J897" s="568">
        <f>SUM(J895:J896)</f>
        <v>478</v>
      </c>
      <c r="K897" s="568">
        <f>SUM(K895:K896)</f>
        <v>0</v>
      </c>
      <c r="L897" s="608">
        <f t="shared" si="8"/>
        <v>478</v>
      </c>
      <c r="M897" s="593">
        <v>0</v>
      </c>
    </row>
    <row r="898" spans="1:13" s="752" customFormat="1" ht="15">
      <c r="A898" s="1461">
        <v>891</v>
      </c>
      <c r="B898" s="535"/>
      <c r="C898" s="545">
        <v>16</v>
      </c>
      <c r="D898" s="1303" t="s">
        <v>437</v>
      </c>
      <c r="E898" s="782" t="s">
        <v>799</v>
      </c>
      <c r="F898" s="553">
        <f>SUM(H898,L901)</f>
        <v>44</v>
      </c>
      <c r="G898" s="553">
        <v>0</v>
      </c>
      <c r="H898" s="1304">
        <v>0</v>
      </c>
      <c r="I898" s="607"/>
      <c r="J898" s="538"/>
      <c r="K898" s="538"/>
      <c r="L898" s="608"/>
      <c r="M898" s="591"/>
    </row>
    <row r="899" spans="1:13" s="752" customFormat="1" ht="15">
      <c r="A899" s="1461">
        <v>892</v>
      </c>
      <c r="B899" s="811"/>
      <c r="C899" s="545"/>
      <c r="D899" s="539" t="s">
        <v>957</v>
      </c>
      <c r="E899" s="782"/>
      <c r="F899" s="562"/>
      <c r="G899" s="557"/>
      <c r="H899" s="791"/>
      <c r="I899" s="607"/>
      <c r="J899" s="538">
        <v>44</v>
      </c>
      <c r="K899" s="538"/>
      <c r="L899" s="609">
        <f t="shared" si="8"/>
        <v>44</v>
      </c>
      <c r="M899" s="586"/>
    </row>
    <row r="900" spans="1:15" s="753" customFormat="1" ht="15">
      <c r="A900" s="1461">
        <v>893</v>
      </c>
      <c r="B900" s="812"/>
      <c r="C900" s="1464"/>
      <c r="D900" s="541" t="s">
        <v>405</v>
      </c>
      <c r="E900" s="805"/>
      <c r="F900" s="806"/>
      <c r="G900" s="567"/>
      <c r="H900" s="745"/>
      <c r="I900" s="610"/>
      <c r="J900" s="555"/>
      <c r="K900" s="555"/>
      <c r="L900" s="611">
        <f t="shared" si="8"/>
        <v>0</v>
      </c>
      <c r="M900" s="594"/>
      <c r="O900" s="1268">
        <f>L900+L896+L871+L866+L861+L856+L841+L831+L904+L908+L912</f>
        <v>32</v>
      </c>
    </row>
    <row r="901" spans="1:13" s="754" customFormat="1" ht="15">
      <c r="A901" s="1461">
        <v>894</v>
      </c>
      <c r="B901" s="577"/>
      <c r="C901" s="1465"/>
      <c r="D901" s="542" t="s">
        <v>1067</v>
      </c>
      <c r="E901" s="576"/>
      <c r="F901" s="568"/>
      <c r="G901" s="568"/>
      <c r="H901" s="746"/>
      <c r="I901" s="615">
        <f>SUM(I899:I900)</f>
        <v>0</v>
      </c>
      <c r="J901" s="568">
        <f>SUM(J899:J900)</f>
        <v>44</v>
      </c>
      <c r="K901" s="568">
        <f>SUM(K899:K900)</f>
        <v>0</v>
      </c>
      <c r="L901" s="608">
        <f t="shared" si="8"/>
        <v>44</v>
      </c>
      <c r="M901" s="593">
        <v>0</v>
      </c>
    </row>
    <row r="902" spans="1:13" s="752" customFormat="1" ht="15">
      <c r="A902" s="1461">
        <v>895</v>
      </c>
      <c r="B902" s="535"/>
      <c r="C902" s="545">
        <v>17</v>
      </c>
      <c r="D902" s="1303" t="s">
        <v>970</v>
      </c>
      <c r="E902" s="782" t="s">
        <v>799</v>
      </c>
      <c r="F902" s="553">
        <f>SUM(H902,L905)</f>
        <v>12</v>
      </c>
      <c r="G902" s="553">
        <v>0</v>
      </c>
      <c r="H902" s="1304">
        <v>0</v>
      </c>
      <c r="I902" s="607"/>
      <c r="J902" s="538"/>
      <c r="K902" s="538"/>
      <c r="L902" s="608"/>
      <c r="M902" s="591"/>
    </row>
    <row r="903" spans="1:13" s="752" customFormat="1" ht="15">
      <c r="A903" s="1461">
        <v>896</v>
      </c>
      <c r="B903" s="811"/>
      <c r="C903" s="545"/>
      <c r="D903" s="539" t="s">
        <v>957</v>
      </c>
      <c r="E903" s="782"/>
      <c r="F903" s="562"/>
      <c r="G903" s="557"/>
      <c r="H903" s="791"/>
      <c r="I903" s="607"/>
      <c r="J903" s="538">
        <v>12</v>
      </c>
      <c r="K903" s="538"/>
      <c r="L903" s="609">
        <f t="shared" si="8"/>
        <v>12</v>
      </c>
      <c r="M903" s="586"/>
    </row>
    <row r="904" spans="1:15" s="753" customFormat="1" ht="15">
      <c r="A904" s="1461">
        <v>897</v>
      </c>
      <c r="B904" s="812"/>
      <c r="C904" s="1464"/>
      <c r="D904" s="541" t="s">
        <v>405</v>
      </c>
      <c r="E904" s="805"/>
      <c r="F904" s="806"/>
      <c r="G904" s="567"/>
      <c r="H904" s="745"/>
      <c r="I904" s="610"/>
      <c r="J904" s="555"/>
      <c r="K904" s="555"/>
      <c r="L904" s="611">
        <f t="shared" si="8"/>
        <v>0</v>
      </c>
      <c r="M904" s="594"/>
      <c r="O904" s="1268"/>
    </row>
    <row r="905" spans="1:13" s="754" customFormat="1" ht="15">
      <c r="A905" s="1461">
        <v>898</v>
      </c>
      <c r="B905" s="577"/>
      <c r="C905" s="1465"/>
      <c r="D905" s="542" t="s">
        <v>1067</v>
      </c>
      <c r="E905" s="576"/>
      <c r="F905" s="568"/>
      <c r="G905" s="568"/>
      <c r="H905" s="746"/>
      <c r="I905" s="615">
        <f>SUM(I903:I904)</f>
        <v>0</v>
      </c>
      <c r="J905" s="568">
        <f>SUM(J903:J904)</f>
        <v>12</v>
      </c>
      <c r="K905" s="568">
        <f>SUM(K903:K904)</f>
        <v>0</v>
      </c>
      <c r="L905" s="608">
        <f t="shared" si="8"/>
        <v>12</v>
      </c>
      <c r="M905" s="593">
        <v>0</v>
      </c>
    </row>
    <row r="906" spans="1:13" s="752" customFormat="1" ht="15">
      <c r="A906" s="1461">
        <v>899</v>
      </c>
      <c r="B906" s="535"/>
      <c r="C906" s="545">
        <v>18</v>
      </c>
      <c r="D906" s="1303" t="s">
        <v>971</v>
      </c>
      <c r="E906" s="782" t="s">
        <v>799</v>
      </c>
      <c r="F906" s="553">
        <f>SUM(H906,L909)</f>
        <v>18</v>
      </c>
      <c r="G906" s="553">
        <v>0</v>
      </c>
      <c r="H906" s="1304">
        <v>0</v>
      </c>
      <c r="I906" s="607"/>
      <c r="J906" s="538"/>
      <c r="K906" s="538"/>
      <c r="L906" s="608"/>
      <c r="M906" s="591"/>
    </row>
    <row r="907" spans="1:13" s="752" customFormat="1" ht="15">
      <c r="A907" s="1461">
        <v>900</v>
      </c>
      <c r="B907" s="811"/>
      <c r="C907" s="545"/>
      <c r="D907" s="539" t="s">
        <v>957</v>
      </c>
      <c r="E907" s="782"/>
      <c r="F907" s="562"/>
      <c r="G907" s="557"/>
      <c r="H907" s="791"/>
      <c r="I907" s="607"/>
      <c r="J907" s="538">
        <v>50</v>
      </c>
      <c r="K907" s="538"/>
      <c r="L907" s="609">
        <f t="shared" si="8"/>
        <v>50</v>
      </c>
      <c r="M907" s="586"/>
    </row>
    <row r="908" spans="1:15" s="753" customFormat="1" ht="15">
      <c r="A908" s="1461">
        <v>901</v>
      </c>
      <c r="B908" s="812"/>
      <c r="C908" s="1464"/>
      <c r="D908" s="541" t="s">
        <v>1080</v>
      </c>
      <c r="E908" s="805"/>
      <c r="F908" s="806"/>
      <c r="G908" s="567"/>
      <c r="H908" s="745"/>
      <c r="I908" s="610"/>
      <c r="J908" s="555">
        <v>-32</v>
      </c>
      <c r="K908" s="555"/>
      <c r="L908" s="611">
        <f t="shared" si="8"/>
        <v>-32</v>
      </c>
      <c r="M908" s="594"/>
      <c r="O908" s="1268"/>
    </row>
    <row r="909" spans="1:13" s="754" customFormat="1" ht="15">
      <c r="A909" s="1461">
        <v>902</v>
      </c>
      <c r="B909" s="577"/>
      <c r="C909" s="1465"/>
      <c r="D909" s="542" t="s">
        <v>1067</v>
      </c>
      <c r="E909" s="576"/>
      <c r="F909" s="568"/>
      <c r="G909" s="568"/>
      <c r="H909" s="746"/>
      <c r="I909" s="615">
        <f>SUM(I907:I908)</f>
        <v>0</v>
      </c>
      <c r="J909" s="568">
        <f>SUM(J907:J908)</f>
        <v>18</v>
      </c>
      <c r="K909" s="568">
        <f>SUM(K907:K908)</f>
        <v>0</v>
      </c>
      <c r="L909" s="608">
        <f t="shared" si="8"/>
        <v>18</v>
      </c>
      <c r="M909" s="593">
        <v>0</v>
      </c>
    </row>
    <row r="910" spans="1:13" s="752" customFormat="1" ht="15">
      <c r="A910" s="1461">
        <v>903</v>
      </c>
      <c r="B910" s="535"/>
      <c r="C910" s="545">
        <v>19</v>
      </c>
      <c r="D910" s="1303" t="s">
        <v>972</v>
      </c>
      <c r="E910" s="782" t="s">
        <v>799</v>
      </c>
      <c r="F910" s="553">
        <f>SUM(H910,L913)</f>
        <v>1597</v>
      </c>
      <c r="G910" s="553">
        <v>0</v>
      </c>
      <c r="H910" s="1304">
        <v>0</v>
      </c>
      <c r="I910" s="607"/>
      <c r="J910" s="538"/>
      <c r="K910" s="538"/>
      <c r="L910" s="608"/>
      <c r="M910" s="591"/>
    </row>
    <row r="911" spans="1:13" s="752" customFormat="1" ht="15">
      <c r="A911" s="1461">
        <v>904</v>
      </c>
      <c r="B911" s="811"/>
      <c r="C911" s="545"/>
      <c r="D911" s="539" t="s">
        <v>957</v>
      </c>
      <c r="E911" s="782"/>
      <c r="F911" s="562"/>
      <c r="G911" s="557"/>
      <c r="H911" s="791"/>
      <c r="I911" s="607"/>
      <c r="J911" s="538">
        <v>1500</v>
      </c>
      <c r="K911" s="538"/>
      <c r="L911" s="609">
        <f t="shared" si="8"/>
        <v>1500</v>
      </c>
      <c r="M911" s="586"/>
    </row>
    <row r="912" spans="1:15" s="753" customFormat="1" ht="15">
      <c r="A912" s="1461">
        <v>905</v>
      </c>
      <c r="B912" s="812"/>
      <c r="C912" s="1464"/>
      <c r="D912" s="541" t="s">
        <v>1080</v>
      </c>
      <c r="E912" s="805"/>
      <c r="F912" s="806"/>
      <c r="G912" s="567"/>
      <c r="H912" s="745"/>
      <c r="I912" s="610"/>
      <c r="J912" s="555">
        <v>97</v>
      </c>
      <c r="K912" s="555"/>
      <c r="L912" s="611">
        <f t="shared" si="8"/>
        <v>97</v>
      </c>
      <c r="M912" s="594"/>
      <c r="O912" s="1268"/>
    </row>
    <row r="913" spans="1:13" s="754" customFormat="1" ht="15">
      <c r="A913" s="1461">
        <v>906</v>
      </c>
      <c r="B913" s="577"/>
      <c r="C913" s="1465"/>
      <c r="D913" s="542" t="s">
        <v>1067</v>
      </c>
      <c r="E913" s="576"/>
      <c r="F913" s="568"/>
      <c r="G913" s="568"/>
      <c r="H913" s="746"/>
      <c r="I913" s="615">
        <f>SUM(I911:I912)</f>
        <v>0</v>
      </c>
      <c r="J913" s="568">
        <f>SUM(J911:J912)</f>
        <v>1597</v>
      </c>
      <c r="K913" s="568">
        <f>SUM(K911:K912)</f>
        <v>0</v>
      </c>
      <c r="L913" s="608">
        <f t="shared" si="8"/>
        <v>1597</v>
      </c>
      <c r="M913" s="593">
        <v>0</v>
      </c>
    </row>
    <row r="914" spans="1:13" s="752" customFormat="1" ht="15">
      <c r="A914" s="1461">
        <v>907</v>
      </c>
      <c r="B914" s="535">
        <v>5</v>
      </c>
      <c r="C914" s="545"/>
      <c r="D914" s="536" t="s">
        <v>318</v>
      </c>
      <c r="E914" s="779"/>
      <c r="F914" s="557"/>
      <c r="G914" s="564"/>
      <c r="H914" s="912"/>
      <c r="I914" s="607"/>
      <c r="J914" s="538"/>
      <c r="K914" s="538"/>
      <c r="L914" s="609"/>
      <c r="M914" s="589"/>
    </row>
    <row r="915" spans="1:13" s="752" customFormat="1" ht="15">
      <c r="A915" s="1461">
        <v>908</v>
      </c>
      <c r="B915" s="535"/>
      <c r="C915" s="545">
        <v>1</v>
      </c>
      <c r="D915" s="557" t="s">
        <v>300</v>
      </c>
      <c r="E915" s="782" t="s">
        <v>799</v>
      </c>
      <c r="F915" s="553">
        <f>SUM(H915,L919)</f>
        <v>0</v>
      </c>
      <c r="G915" s="557">
        <v>0</v>
      </c>
      <c r="H915" s="913">
        <v>0</v>
      </c>
      <c r="I915" s="607"/>
      <c r="J915" s="538"/>
      <c r="K915" s="538"/>
      <c r="L915" s="609"/>
      <c r="M915" s="586"/>
    </row>
    <row r="916" spans="1:13" ht="15">
      <c r="A916" s="1461">
        <v>909</v>
      </c>
      <c r="B916" s="811"/>
      <c r="C916" s="545"/>
      <c r="D916" s="539" t="s">
        <v>403</v>
      </c>
      <c r="E916" s="788"/>
      <c r="F916" s="796"/>
      <c r="G916" s="562"/>
      <c r="H916" s="914"/>
      <c r="I916" s="607"/>
      <c r="J916" s="538">
        <v>50</v>
      </c>
      <c r="K916" s="538"/>
      <c r="L916" s="609">
        <f t="shared" si="8"/>
        <v>50</v>
      </c>
      <c r="M916" s="591"/>
    </row>
    <row r="917" spans="1:13" ht="15">
      <c r="A917" s="1461">
        <v>910</v>
      </c>
      <c r="B917" s="811"/>
      <c r="C917" s="545"/>
      <c r="D917" s="539" t="s">
        <v>957</v>
      </c>
      <c r="E917" s="788"/>
      <c r="F917" s="796"/>
      <c r="G917" s="562"/>
      <c r="H917" s="914"/>
      <c r="I917" s="607"/>
      <c r="J917" s="538">
        <v>0</v>
      </c>
      <c r="K917" s="538"/>
      <c r="L917" s="609">
        <f t="shared" si="8"/>
        <v>0</v>
      </c>
      <c r="M917" s="591"/>
    </row>
    <row r="918" spans="1:13" s="753" customFormat="1" ht="15">
      <c r="A918" s="1461">
        <v>911</v>
      </c>
      <c r="B918" s="812"/>
      <c r="C918" s="1464"/>
      <c r="D918" s="541" t="s">
        <v>405</v>
      </c>
      <c r="E918" s="782"/>
      <c r="F918" s="567"/>
      <c r="G918" s="567"/>
      <c r="H918" s="915"/>
      <c r="I918" s="610"/>
      <c r="J918" s="555"/>
      <c r="K918" s="555"/>
      <c r="L918" s="611">
        <f t="shared" si="8"/>
        <v>0</v>
      </c>
      <c r="M918" s="594"/>
    </row>
    <row r="919" spans="1:13" s="754" customFormat="1" ht="15">
      <c r="A919" s="1461">
        <v>912</v>
      </c>
      <c r="B919" s="577"/>
      <c r="C919" s="1465"/>
      <c r="D919" s="542" t="s">
        <v>1067</v>
      </c>
      <c r="E919" s="576"/>
      <c r="F919" s="568"/>
      <c r="G919" s="568"/>
      <c r="H919" s="911"/>
      <c r="I919" s="615">
        <f>SUM(I917:I918)</f>
        <v>0</v>
      </c>
      <c r="J919" s="568">
        <f>SUM(J917:J918)</f>
        <v>0</v>
      </c>
      <c r="K919" s="568">
        <f>SUM(K917:K918)</f>
        <v>0</v>
      </c>
      <c r="L919" s="608">
        <f t="shared" si="8"/>
        <v>0</v>
      </c>
      <c r="M919" s="593">
        <f>SUM(M916:M918)</f>
        <v>0</v>
      </c>
    </row>
    <row r="920" spans="1:13" s="752" customFormat="1" ht="15">
      <c r="A920" s="1461">
        <v>913</v>
      </c>
      <c r="B920" s="535"/>
      <c r="C920" s="545">
        <v>2</v>
      </c>
      <c r="D920" s="557" t="s">
        <v>301</v>
      </c>
      <c r="E920" s="782" t="s">
        <v>799</v>
      </c>
      <c r="F920" s="553">
        <f>SUM(H920,L924)</f>
        <v>0</v>
      </c>
      <c r="G920" s="557">
        <v>0</v>
      </c>
      <c r="H920" s="913">
        <v>0</v>
      </c>
      <c r="I920" s="607"/>
      <c r="J920" s="538"/>
      <c r="K920" s="538"/>
      <c r="L920" s="609"/>
      <c r="M920" s="586"/>
    </row>
    <row r="921" spans="1:13" ht="15">
      <c r="A921" s="1461">
        <v>914</v>
      </c>
      <c r="B921" s="811"/>
      <c r="C921" s="545"/>
      <c r="D921" s="539" t="s">
        <v>403</v>
      </c>
      <c r="E921" s="782"/>
      <c r="F921" s="567"/>
      <c r="G921" s="562"/>
      <c r="H921" s="914"/>
      <c r="I921" s="607"/>
      <c r="J921" s="538">
        <v>20</v>
      </c>
      <c r="K921" s="538"/>
      <c r="L921" s="609">
        <f t="shared" si="8"/>
        <v>20</v>
      </c>
      <c r="M921" s="591"/>
    </row>
    <row r="922" spans="1:13" ht="15">
      <c r="A922" s="1461">
        <v>915</v>
      </c>
      <c r="B922" s="811"/>
      <c r="C922" s="545"/>
      <c r="D922" s="539" t="s">
        <v>957</v>
      </c>
      <c r="E922" s="782"/>
      <c r="F922" s="567"/>
      <c r="G922" s="562"/>
      <c r="H922" s="914"/>
      <c r="I922" s="607"/>
      <c r="J922" s="538">
        <v>0</v>
      </c>
      <c r="K922" s="538"/>
      <c r="L922" s="609">
        <f t="shared" si="8"/>
        <v>0</v>
      </c>
      <c r="M922" s="591"/>
    </row>
    <row r="923" spans="1:13" s="753" customFormat="1" ht="15">
      <c r="A923" s="1461">
        <v>916</v>
      </c>
      <c r="B923" s="812"/>
      <c r="C923" s="1464"/>
      <c r="D923" s="541" t="s">
        <v>405</v>
      </c>
      <c r="E923" s="576"/>
      <c r="F923" s="568"/>
      <c r="G923" s="567"/>
      <c r="H923" s="915"/>
      <c r="I923" s="610"/>
      <c r="J923" s="555"/>
      <c r="K923" s="555"/>
      <c r="L923" s="611">
        <f t="shared" si="8"/>
        <v>0</v>
      </c>
      <c r="M923" s="594"/>
    </row>
    <row r="924" spans="1:13" s="754" customFormat="1" ht="15">
      <c r="A924" s="1461">
        <v>917</v>
      </c>
      <c r="B924" s="577"/>
      <c r="C924" s="1465"/>
      <c r="D924" s="542" t="s">
        <v>1067</v>
      </c>
      <c r="E924" s="779"/>
      <c r="F924" s="557"/>
      <c r="G924" s="568"/>
      <c r="H924" s="911"/>
      <c r="I924" s="615">
        <f>SUM(I922:I923)</f>
        <v>0</v>
      </c>
      <c r="J924" s="568">
        <f>SUM(J922:J923)</f>
        <v>0</v>
      </c>
      <c r="K924" s="568">
        <f>SUM(K922:K923)</f>
        <v>0</v>
      </c>
      <c r="L924" s="608">
        <f t="shared" si="8"/>
        <v>0</v>
      </c>
      <c r="M924" s="593">
        <f>SUM(M921:M923)</f>
        <v>0</v>
      </c>
    </row>
    <row r="925" spans="1:13" s="752" customFormat="1" ht="15">
      <c r="A925" s="1461">
        <v>918</v>
      </c>
      <c r="B925" s="535"/>
      <c r="C925" s="545">
        <v>3</v>
      </c>
      <c r="D925" s="557" t="s">
        <v>319</v>
      </c>
      <c r="E925" s="782" t="s">
        <v>799</v>
      </c>
      <c r="F925" s="553">
        <f>SUM(H925,L929)</f>
        <v>0</v>
      </c>
      <c r="G925" s="557">
        <v>0</v>
      </c>
      <c r="H925" s="913">
        <v>0</v>
      </c>
      <c r="I925" s="607"/>
      <c r="J925" s="538"/>
      <c r="K925" s="538"/>
      <c r="L925" s="609"/>
      <c r="M925" s="586"/>
    </row>
    <row r="926" spans="1:13" ht="15">
      <c r="A926" s="1461">
        <v>919</v>
      </c>
      <c r="B926" s="811"/>
      <c r="C926" s="545"/>
      <c r="D926" s="539" t="s">
        <v>403</v>
      </c>
      <c r="E926" s="782"/>
      <c r="F926" s="567"/>
      <c r="G926" s="562"/>
      <c r="H926" s="914"/>
      <c r="I926" s="607"/>
      <c r="J926" s="538">
        <v>75</v>
      </c>
      <c r="K926" s="538"/>
      <c r="L926" s="609">
        <f t="shared" si="8"/>
        <v>75</v>
      </c>
      <c r="M926" s="591"/>
    </row>
    <row r="927" spans="1:13" ht="15">
      <c r="A927" s="1461">
        <v>920</v>
      </c>
      <c r="B927" s="811"/>
      <c r="C927" s="545"/>
      <c r="D927" s="539" t="s">
        <v>957</v>
      </c>
      <c r="E927" s="782"/>
      <c r="F927" s="567"/>
      <c r="G927" s="562"/>
      <c r="H927" s="914"/>
      <c r="I927" s="607"/>
      <c r="J927" s="538">
        <v>0</v>
      </c>
      <c r="K927" s="538"/>
      <c r="L927" s="609">
        <f t="shared" si="8"/>
        <v>0</v>
      </c>
      <c r="M927" s="591"/>
    </row>
    <row r="928" spans="1:13" s="753" customFormat="1" ht="15">
      <c r="A928" s="1461">
        <v>921</v>
      </c>
      <c r="B928" s="812"/>
      <c r="C928" s="1464"/>
      <c r="D928" s="541" t="s">
        <v>405</v>
      </c>
      <c r="E928" s="576"/>
      <c r="F928" s="568"/>
      <c r="G928" s="567"/>
      <c r="H928" s="915"/>
      <c r="I928" s="610"/>
      <c r="J928" s="555"/>
      <c r="K928" s="555"/>
      <c r="L928" s="611">
        <f t="shared" si="8"/>
        <v>0</v>
      </c>
      <c r="M928" s="594"/>
    </row>
    <row r="929" spans="1:13" s="754" customFormat="1" ht="15">
      <c r="A929" s="1461">
        <v>922</v>
      </c>
      <c r="B929" s="577"/>
      <c r="C929" s="1465"/>
      <c r="D929" s="542" t="s">
        <v>1067</v>
      </c>
      <c r="E929" s="779"/>
      <c r="F929" s="557"/>
      <c r="G929" s="568"/>
      <c r="H929" s="911"/>
      <c r="I929" s="615">
        <f>SUM(I927:I928)</f>
        <v>0</v>
      </c>
      <c r="J929" s="568">
        <f>SUM(J927:J928)</f>
        <v>0</v>
      </c>
      <c r="K929" s="568">
        <f>SUM(K927:K928)</f>
        <v>0</v>
      </c>
      <c r="L929" s="608">
        <f t="shared" si="8"/>
        <v>0</v>
      </c>
      <c r="M929" s="593">
        <f>SUM(M926:M928)</f>
        <v>0</v>
      </c>
    </row>
    <row r="930" spans="1:13" s="752" customFormat="1" ht="15">
      <c r="A930" s="1461">
        <v>923</v>
      </c>
      <c r="B930" s="535"/>
      <c r="C930" s="545">
        <v>4</v>
      </c>
      <c r="D930" s="557" t="s">
        <v>1015</v>
      </c>
      <c r="E930" s="782" t="s">
        <v>799</v>
      </c>
      <c r="F930" s="553">
        <f>SUM(H930,L934)</f>
        <v>190</v>
      </c>
      <c r="G930" s="557">
        <v>0</v>
      </c>
      <c r="H930" s="913">
        <v>0</v>
      </c>
      <c r="I930" s="607"/>
      <c r="J930" s="538"/>
      <c r="K930" s="538"/>
      <c r="L930" s="609"/>
      <c r="M930" s="586"/>
    </row>
    <row r="931" spans="1:13" ht="15">
      <c r="A931" s="1461">
        <v>924</v>
      </c>
      <c r="B931" s="811"/>
      <c r="C931" s="545"/>
      <c r="D931" s="539" t="s">
        <v>403</v>
      </c>
      <c r="E931" s="782"/>
      <c r="F931" s="567"/>
      <c r="G931" s="562"/>
      <c r="H931" s="914"/>
      <c r="I931" s="607"/>
      <c r="J931" s="538">
        <v>50</v>
      </c>
      <c r="K931" s="538"/>
      <c r="L931" s="609">
        <f>SUM(I931:K931)</f>
        <v>50</v>
      </c>
      <c r="M931" s="591"/>
    </row>
    <row r="932" spans="1:13" ht="15">
      <c r="A932" s="1461">
        <v>925</v>
      </c>
      <c r="B932" s="811"/>
      <c r="C932" s="545"/>
      <c r="D932" s="539" t="s">
        <v>957</v>
      </c>
      <c r="E932" s="782"/>
      <c r="F932" s="567"/>
      <c r="G932" s="562"/>
      <c r="H932" s="914"/>
      <c r="I932" s="607"/>
      <c r="J932" s="538">
        <v>190</v>
      </c>
      <c r="K932" s="538"/>
      <c r="L932" s="609">
        <f>SUM(I932:K932)</f>
        <v>190</v>
      </c>
      <c r="M932" s="591"/>
    </row>
    <row r="933" spans="1:13" s="753" customFormat="1" ht="15">
      <c r="A933" s="1461">
        <v>926</v>
      </c>
      <c r="B933" s="812"/>
      <c r="C933" s="1464"/>
      <c r="D933" s="541" t="s">
        <v>405</v>
      </c>
      <c r="E933" s="576"/>
      <c r="F933" s="568"/>
      <c r="G933" s="567"/>
      <c r="H933" s="915"/>
      <c r="I933" s="610"/>
      <c r="J933" s="555"/>
      <c r="K933" s="555"/>
      <c r="L933" s="611">
        <f>SUM(I933:K933)</f>
        <v>0</v>
      </c>
      <c r="M933" s="594"/>
    </row>
    <row r="934" spans="1:13" s="754" customFormat="1" ht="15">
      <c r="A934" s="1461">
        <v>927</v>
      </c>
      <c r="B934" s="577"/>
      <c r="C934" s="1465"/>
      <c r="D934" s="542" t="s">
        <v>1067</v>
      </c>
      <c r="E934" s="779"/>
      <c r="F934" s="557"/>
      <c r="G934" s="568"/>
      <c r="H934" s="911"/>
      <c r="I934" s="615">
        <f>SUM(I932:I933)</f>
        <v>0</v>
      </c>
      <c r="J934" s="568">
        <f>SUM(J932:J933)</f>
        <v>190</v>
      </c>
      <c r="K934" s="568">
        <f>SUM(K932:K933)</f>
        <v>0</v>
      </c>
      <c r="L934" s="608">
        <f>SUM(I934:K934)</f>
        <v>190</v>
      </c>
      <c r="M934" s="593">
        <f>SUM(M931:M933)</f>
        <v>0</v>
      </c>
    </row>
    <row r="935" spans="1:13" s="752" customFormat="1" ht="15">
      <c r="A935" s="1461">
        <v>928</v>
      </c>
      <c r="B935" s="535"/>
      <c r="C935" s="545">
        <v>5</v>
      </c>
      <c r="D935" s="557" t="s">
        <v>1016</v>
      </c>
      <c r="E935" s="782" t="s">
        <v>799</v>
      </c>
      <c r="F935" s="553">
        <f>SUM(H935,L939)</f>
        <v>74</v>
      </c>
      <c r="G935" s="557">
        <v>0</v>
      </c>
      <c r="H935" s="913">
        <v>0</v>
      </c>
      <c r="I935" s="607"/>
      <c r="J935" s="538"/>
      <c r="K935" s="538"/>
      <c r="L935" s="609"/>
      <c r="M935" s="586"/>
    </row>
    <row r="936" spans="1:13" ht="15">
      <c r="A936" s="1461">
        <v>929</v>
      </c>
      <c r="B936" s="811"/>
      <c r="C936" s="545"/>
      <c r="D936" s="539" t="s">
        <v>403</v>
      </c>
      <c r="E936" s="788"/>
      <c r="F936" s="796"/>
      <c r="G936" s="562"/>
      <c r="H936" s="914"/>
      <c r="I936" s="607"/>
      <c r="J936" s="538">
        <v>20</v>
      </c>
      <c r="K936" s="538"/>
      <c r="L936" s="609">
        <f>SUM(I936:K936)</f>
        <v>20</v>
      </c>
      <c r="M936" s="591"/>
    </row>
    <row r="937" spans="1:13" ht="15">
      <c r="A937" s="1461">
        <v>930</v>
      </c>
      <c r="B937" s="811"/>
      <c r="C937" s="545"/>
      <c r="D937" s="539" t="s">
        <v>957</v>
      </c>
      <c r="E937" s="788"/>
      <c r="F937" s="796"/>
      <c r="G937" s="562"/>
      <c r="H937" s="914"/>
      <c r="I937" s="607"/>
      <c r="J937" s="538">
        <v>74</v>
      </c>
      <c r="K937" s="538"/>
      <c r="L937" s="609">
        <f>SUM(I937:K937)</f>
        <v>74</v>
      </c>
      <c r="M937" s="591"/>
    </row>
    <row r="938" spans="1:13" s="753" customFormat="1" ht="15">
      <c r="A938" s="1461">
        <v>931</v>
      </c>
      <c r="B938" s="812"/>
      <c r="C938" s="1464"/>
      <c r="D938" s="541" t="s">
        <v>405</v>
      </c>
      <c r="E938" s="782"/>
      <c r="F938" s="567"/>
      <c r="G938" s="567"/>
      <c r="H938" s="915"/>
      <c r="I938" s="610"/>
      <c r="J938" s="555"/>
      <c r="K938" s="555"/>
      <c r="L938" s="611">
        <f>SUM(I938:K938)</f>
        <v>0</v>
      </c>
      <c r="M938" s="594"/>
    </row>
    <row r="939" spans="1:13" s="754" customFormat="1" ht="15">
      <c r="A939" s="1461">
        <v>932</v>
      </c>
      <c r="B939" s="577"/>
      <c r="C939" s="1465"/>
      <c r="D939" s="542" t="s">
        <v>1067</v>
      </c>
      <c r="E939" s="576"/>
      <c r="F939" s="568"/>
      <c r="G939" s="568"/>
      <c r="H939" s="911"/>
      <c r="I939" s="615">
        <f>SUM(I937:I938)</f>
        <v>0</v>
      </c>
      <c r="J939" s="568">
        <f>SUM(J937:J938)</f>
        <v>74</v>
      </c>
      <c r="K939" s="568">
        <f>SUM(K937:K938)</f>
        <v>0</v>
      </c>
      <c r="L939" s="608">
        <f>SUM(I939:K939)</f>
        <v>74</v>
      </c>
      <c r="M939" s="593">
        <f>SUM(M936:M938)</f>
        <v>0</v>
      </c>
    </row>
    <row r="940" spans="1:13" s="752" customFormat="1" ht="15">
      <c r="A940" s="1461">
        <v>933</v>
      </c>
      <c r="B940" s="535"/>
      <c r="C940" s="545">
        <v>6</v>
      </c>
      <c r="D940" s="557" t="s">
        <v>1017</v>
      </c>
      <c r="E940" s="782" t="s">
        <v>799</v>
      </c>
      <c r="F940" s="553">
        <f>SUM(H940,L944)</f>
        <v>170</v>
      </c>
      <c r="G940" s="557">
        <v>0</v>
      </c>
      <c r="H940" s="913">
        <v>0</v>
      </c>
      <c r="I940" s="607"/>
      <c r="J940" s="538"/>
      <c r="K940" s="538"/>
      <c r="L940" s="609"/>
      <c r="M940" s="586"/>
    </row>
    <row r="941" spans="1:13" ht="15">
      <c r="A941" s="1461">
        <v>934</v>
      </c>
      <c r="B941" s="811"/>
      <c r="C941" s="545"/>
      <c r="D941" s="539" t="s">
        <v>403</v>
      </c>
      <c r="E941" s="782"/>
      <c r="F941" s="567"/>
      <c r="G941" s="562"/>
      <c r="H941" s="914"/>
      <c r="I941" s="607"/>
      <c r="J941" s="538">
        <v>75</v>
      </c>
      <c r="K941" s="538"/>
      <c r="L941" s="609">
        <f>SUM(I941:K941)</f>
        <v>75</v>
      </c>
      <c r="M941" s="591"/>
    </row>
    <row r="942" spans="1:13" ht="15">
      <c r="A942" s="1461">
        <v>935</v>
      </c>
      <c r="B942" s="811"/>
      <c r="C942" s="545"/>
      <c r="D942" s="539" t="s">
        <v>957</v>
      </c>
      <c r="E942" s="782"/>
      <c r="F942" s="567"/>
      <c r="G942" s="562"/>
      <c r="H942" s="914"/>
      <c r="I942" s="607"/>
      <c r="J942" s="538">
        <v>170</v>
      </c>
      <c r="K942" s="538"/>
      <c r="L942" s="609">
        <f>SUM(I942:K942)</f>
        <v>170</v>
      </c>
      <c r="M942" s="591"/>
    </row>
    <row r="943" spans="1:13" s="753" customFormat="1" ht="15">
      <c r="A943" s="1461">
        <v>936</v>
      </c>
      <c r="B943" s="812"/>
      <c r="C943" s="1464"/>
      <c r="D943" s="541" t="s">
        <v>405</v>
      </c>
      <c r="E943" s="576"/>
      <c r="F943" s="568"/>
      <c r="G943" s="567"/>
      <c r="H943" s="915"/>
      <c r="I943" s="610"/>
      <c r="J943" s="555"/>
      <c r="K943" s="555"/>
      <c r="L943" s="611">
        <f>SUM(I943:K943)</f>
        <v>0</v>
      </c>
      <c r="M943" s="594"/>
    </row>
    <row r="944" spans="1:13" s="754" customFormat="1" ht="15">
      <c r="A944" s="1461">
        <v>937</v>
      </c>
      <c r="B944" s="577"/>
      <c r="C944" s="1465"/>
      <c r="D944" s="542" t="s">
        <v>1067</v>
      </c>
      <c r="E944" s="779"/>
      <c r="F944" s="557"/>
      <c r="G944" s="568"/>
      <c r="H944" s="911"/>
      <c r="I944" s="615">
        <f>SUM(I942:I943)</f>
        <v>0</v>
      </c>
      <c r="J944" s="568">
        <f>SUM(J942:J943)</f>
        <v>170</v>
      </c>
      <c r="K944" s="568">
        <f>SUM(K942:K943)</f>
        <v>0</v>
      </c>
      <c r="L944" s="608">
        <f>SUM(I944:K944)</f>
        <v>170</v>
      </c>
      <c r="M944" s="593">
        <f>SUM(M941:M943)</f>
        <v>0</v>
      </c>
    </row>
    <row r="945" spans="1:13" s="752" customFormat="1" ht="15">
      <c r="A945" s="1461">
        <v>938</v>
      </c>
      <c r="B945" s="535"/>
      <c r="C945" s="545">
        <v>7</v>
      </c>
      <c r="D945" s="557" t="s">
        <v>564</v>
      </c>
      <c r="E945" s="782" t="s">
        <v>799</v>
      </c>
      <c r="F945" s="553">
        <f>SUM(H945,L949)</f>
        <v>60</v>
      </c>
      <c r="G945" s="557">
        <v>0</v>
      </c>
      <c r="H945" s="913">
        <v>0</v>
      </c>
      <c r="I945" s="607"/>
      <c r="J945" s="538"/>
      <c r="K945" s="538"/>
      <c r="L945" s="609"/>
      <c r="M945" s="586"/>
    </row>
    <row r="946" spans="1:13" ht="15">
      <c r="A946" s="1461">
        <v>939</v>
      </c>
      <c r="B946" s="811"/>
      <c r="C946" s="545"/>
      <c r="D946" s="539" t="s">
        <v>403</v>
      </c>
      <c r="E946" s="782"/>
      <c r="F946" s="567"/>
      <c r="G946" s="562"/>
      <c r="H946" s="914"/>
      <c r="I946" s="607"/>
      <c r="J946" s="538">
        <v>60</v>
      </c>
      <c r="K946" s="538"/>
      <c r="L946" s="609">
        <f>SUM(I946:K946)</f>
        <v>60</v>
      </c>
      <c r="M946" s="591"/>
    </row>
    <row r="947" spans="1:13" ht="15">
      <c r="A947" s="1461">
        <v>940</v>
      </c>
      <c r="B947" s="811"/>
      <c r="C947" s="545"/>
      <c r="D947" s="539" t="s">
        <v>957</v>
      </c>
      <c r="E947" s="782"/>
      <c r="F947" s="567"/>
      <c r="G947" s="562"/>
      <c r="H947" s="914"/>
      <c r="I947" s="607"/>
      <c r="J947" s="538">
        <v>60</v>
      </c>
      <c r="K947" s="538"/>
      <c r="L947" s="609">
        <f>SUM(I947:K947)</f>
        <v>60</v>
      </c>
      <c r="M947" s="591"/>
    </row>
    <row r="948" spans="1:13" s="753" customFormat="1" ht="15">
      <c r="A948" s="1461">
        <v>941</v>
      </c>
      <c r="B948" s="812"/>
      <c r="C948" s="1464"/>
      <c r="D948" s="541" t="s">
        <v>405</v>
      </c>
      <c r="E948" s="576"/>
      <c r="F948" s="568"/>
      <c r="G948" s="567"/>
      <c r="H948" s="915"/>
      <c r="I948" s="610"/>
      <c r="J948" s="555"/>
      <c r="K948" s="555"/>
      <c r="L948" s="611">
        <f>SUM(I948:K948)</f>
        <v>0</v>
      </c>
      <c r="M948" s="594"/>
    </row>
    <row r="949" spans="1:13" s="754" customFormat="1" ht="15">
      <c r="A949" s="1461">
        <v>942</v>
      </c>
      <c r="B949" s="577"/>
      <c r="C949" s="1465"/>
      <c r="D949" s="542" t="s">
        <v>1067</v>
      </c>
      <c r="E949" s="782"/>
      <c r="F949" s="537"/>
      <c r="G949" s="568"/>
      <c r="H949" s="911"/>
      <c r="I949" s="615">
        <f>SUM(I947:I948)</f>
        <v>0</v>
      </c>
      <c r="J949" s="568">
        <f>SUM(J947:J948)</f>
        <v>60</v>
      </c>
      <c r="K949" s="568">
        <f>SUM(K947:K948)</f>
        <v>0</v>
      </c>
      <c r="L949" s="608">
        <f>SUM(I949:K949)</f>
        <v>60</v>
      </c>
      <c r="M949" s="593">
        <f>SUM(M946:M948)</f>
        <v>0</v>
      </c>
    </row>
    <row r="950" spans="1:13" s="752" customFormat="1" ht="15">
      <c r="A950" s="1461">
        <v>943</v>
      </c>
      <c r="B950" s="535"/>
      <c r="C950" s="545">
        <v>8</v>
      </c>
      <c r="D950" s="1303" t="s">
        <v>720</v>
      </c>
      <c r="E950" s="782" t="s">
        <v>799</v>
      </c>
      <c r="F950" s="553">
        <f>SUM(H950,L953)</f>
        <v>52</v>
      </c>
      <c r="G950" s="553">
        <v>0</v>
      </c>
      <c r="H950" s="1304">
        <v>0</v>
      </c>
      <c r="I950" s="607"/>
      <c r="J950" s="538"/>
      <c r="K950" s="538"/>
      <c r="L950" s="608"/>
      <c r="M950" s="591"/>
    </row>
    <row r="951" spans="1:13" s="752" customFormat="1" ht="15">
      <c r="A951" s="1461">
        <v>944</v>
      </c>
      <c r="B951" s="811"/>
      <c r="C951" s="545"/>
      <c r="D951" s="539" t="s">
        <v>957</v>
      </c>
      <c r="E951" s="782"/>
      <c r="F951" s="562"/>
      <c r="G951" s="557"/>
      <c r="H951" s="791"/>
      <c r="I951" s="607"/>
      <c r="J951" s="538">
        <v>52</v>
      </c>
      <c r="K951" s="538"/>
      <c r="L951" s="609">
        <f aca="true" t="shared" si="9" ref="L951:L1001">SUM(I951:K951)</f>
        <v>52</v>
      </c>
      <c r="M951" s="586"/>
    </row>
    <row r="952" spans="1:13" s="753" customFormat="1" ht="15">
      <c r="A952" s="1461">
        <v>945</v>
      </c>
      <c r="B952" s="812"/>
      <c r="C952" s="1464"/>
      <c r="D952" s="541" t="s">
        <v>234</v>
      </c>
      <c r="E952" s="805"/>
      <c r="F952" s="806"/>
      <c r="G952" s="567"/>
      <c r="H952" s="745"/>
      <c r="I952" s="610"/>
      <c r="J952" s="555"/>
      <c r="K952" s="555"/>
      <c r="L952" s="611">
        <f t="shared" si="9"/>
        <v>0</v>
      </c>
      <c r="M952" s="594"/>
    </row>
    <row r="953" spans="1:13" s="754" customFormat="1" ht="15">
      <c r="A953" s="1461">
        <v>946</v>
      </c>
      <c r="B953" s="577"/>
      <c r="C953" s="1465"/>
      <c r="D953" s="542" t="s">
        <v>1067</v>
      </c>
      <c r="E953" s="576"/>
      <c r="F953" s="568"/>
      <c r="G953" s="568"/>
      <c r="H953" s="746"/>
      <c r="I953" s="615">
        <f>SUM(I951:I952)</f>
        <v>0</v>
      </c>
      <c r="J953" s="568">
        <f>SUM(J951:J952)</f>
        <v>52</v>
      </c>
      <c r="K953" s="568">
        <f>SUM(K951:K952)</f>
        <v>0</v>
      </c>
      <c r="L953" s="608">
        <f t="shared" si="9"/>
        <v>52</v>
      </c>
      <c r="M953" s="593">
        <v>0</v>
      </c>
    </row>
    <row r="954" spans="1:13" s="752" customFormat="1" ht="15">
      <c r="A954" s="1461">
        <v>947</v>
      </c>
      <c r="B954" s="535"/>
      <c r="C954" s="545">
        <v>9</v>
      </c>
      <c r="D954" s="1303" t="s">
        <v>721</v>
      </c>
      <c r="E954" s="782" t="s">
        <v>799</v>
      </c>
      <c r="F954" s="553">
        <f>SUM(H954,L957)</f>
        <v>89</v>
      </c>
      <c r="G954" s="553">
        <v>0</v>
      </c>
      <c r="H954" s="1304">
        <v>0</v>
      </c>
      <c r="I954" s="607"/>
      <c r="J954" s="538"/>
      <c r="K954" s="538"/>
      <c r="L954" s="608"/>
      <c r="M954" s="591"/>
    </row>
    <row r="955" spans="1:13" s="752" customFormat="1" ht="15">
      <c r="A955" s="1461">
        <v>948</v>
      </c>
      <c r="B955" s="811"/>
      <c r="C955" s="545"/>
      <c r="D955" s="539" t="s">
        <v>957</v>
      </c>
      <c r="E955" s="782"/>
      <c r="F955" s="562"/>
      <c r="G955" s="557"/>
      <c r="H955" s="791"/>
      <c r="I955" s="607"/>
      <c r="J955" s="538">
        <v>89</v>
      </c>
      <c r="K955" s="538"/>
      <c r="L955" s="609">
        <f t="shared" si="9"/>
        <v>89</v>
      </c>
      <c r="M955" s="586"/>
    </row>
    <row r="956" spans="1:13" s="753" customFormat="1" ht="15">
      <c r="A956" s="1461">
        <v>949</v>
      </c>
      <c r="B956" s="812"/>
      <c r="C956" s="1464"/>
      <c r="D956" s="541" t="s">
        <v>234</v>
      </c>
      <c r="E956" s="805"/>
      <c r="F956" s="806"/>
      <c r="G956" s="567"/>
      <c r="H956" s="745"/>
      <c r="I956" s="610"/>
      <c r="J956" s="555"/>
      <c r="K956" s="555"/>
      <c r="L956" s="611">
        <f t="shared" si="9"/>
        <v>0</v>
      </c>
      <c r="M956" s="594"/>
    </row>
    <row r="957" spans="1:13" s="754" customFormat="1" ht="15">
      <c r="A957" s="1461">
        <v>950</v>
      </c>
      <c r="B957" s="577"/>
      <c r="C957" s="1465"/>
      <c r="D957" s="542" t="s">
        <v>1067</v>
      </c>
      <c r="E957" s="576"/>
      <c r="F957" s="568"/>
      <c r="G957" s="568"/>
      <c r="H957" s="746"/>
      <c r="I957" s="615">
        <f>SUM(I955:I956)</f>
        <v>0</v>
      </c>
      <c r="J957" s="568">
        <f>SUM(J955:J956)</f>
        <v>89</v>
      </c>
      <c r="K957" s="568">
        <f>SUM(K955:K956)</f>
        <v>0</v>
      </c>
      <c r="L957" s="608">
        <f t="shared" si="9"/>
        <v>89</v>
      </c>
      <c r="M957" s="593">
        <v>0</v>
      </c>
    </row>
    <row r="958" spans="1:13" s="752" customFormat="1" ht="15">
      <c r="A958" s="1461">
        <v>951</v>
      </c>
      <c r="B958" s="535"/>
      <c r="C958" s="545">
        <v>10</v>
      </c>
      <c r="D958" s="1303" t="s">
        <v>1012</v>
      </c>
      <c r="E958" s="782" t="s">
        <v>799</v>
      </c>
      <c r="F958" s="553">
        <f>SUM(H958,L961)</f>
        <v>36</v>
      </c>
      <c r="G958" s="553">
        <v>0</v>
      </c>
      <c r="H958" s="1304">
        <v>0</v>
      </c>
      <c r="I958" s="607"/>
      <c r="J958" s="538"/>
      <c r="K958" s="538"/>
      <c r="L958" s="608"/>
      <c r="M958" s="591"/>
    </row>
    <row r="959" spans="1:13" s="752" customFormat="1" ht="15">
      <c r="A959" s="1461">
        <v>952</v>
      </c>
      <c r="B959" s="811"/>
      <c r="C959" s="545"/>
      <c r="D959" s="539" t="s">
        <v>957</v>
      </c>
      <c r="E959" s="782"/>
      <c r="F959" s="562"/>
      <c r="G959" s="557"/>
      <c r="H959" s="791"/>
      <c r="I959" s="607"/>
      <c r="J959" s="538">
        <v>36</v>
      </c>
      <c r="K959" s="538"/>
      <c r="L959" s="609">
        <f t="shared" si="9"/>
        <v>36</v>
      </c>
      <c r="M959" s="586"/>
    </row>
    <row r="960" spans="1:13" s="753" customFormat="1" ht="15">
      <c r="A960" s="1461">
        <v>953</v>
      </c>
      <c r="B960" s="812"/>
      <c r="C960" s="1464"/>
      <c r="D960" s="541" t="s">
        <v>969</v>
      </c>
      <c r="E960" s="805"/>
      <c r="F960" s="806"/>
      <c r="G960" s="567"/>
      <c r="H960" s="745"/>
      <c r="I960" s="610"/>
      <c r="J960" s="555"/>
      <c r="K960" s="555"/>
      <c r="L960" s="611">
        <f t="shared" si="9"/>
        <v>0</v>
      </c>
      <c r="M960" s="594"/>
    </row>
    <row r="961" spans="1:13" s="754" customFormat="1" ht="15">
      <c r="A961" s="1461">
        <v>954</v>
      </c>
      <c r="B961" s="577"/>
      <c r="C961" s="1465"/>
      <c r="D961" s="542" t="s">
        <v>1067</v>
      </c>
      <c r="E961" s="576"/>
      <c r="F961" s="568"/>
      <c r="G961" s="568"/>
      <c r="H961" s="746"/>
      <c r="I961" s="615">
        <f>SUM(I959:I960)</f>
        <v>0</v>
      </c>
      <c r="J961" s="568">
        <f>SUM(J959:J960)</f>
        <v>36</v>
      </c>
      <c r="K961" s="568">
        <f>SUM(K959:K960)</f>
        <v>0</v>
      </c>
      <c r="L961" s="608">
        <f t="shared" si="9"/>
        <v>36</v>
      </c>
      <c r="M961" s="593">
        <v>0</v>
      </c>
    </row>
    <row r="962" spans="1:13" s="752" customFormat="1" ht="15">
      <c r="A962" s="1461">
        <v>955</v>
      </c>
      <c r="B962" s="535"/>
      <c r="C962" s="545">
        <v>11</v>
      </c>
      <c r="D962" s="1303" t="s">
        <v>1018</v>
      </c>
      <c r="E962" s="782" t="s">
        <v>799</v>
      </c>
      <c r="F962" s="553">
        <f>SUM(H962,L965)</f>
        <v>270</v>
      </c>
      <c r="G962" s="553">
        <v>0</v>
      </c>
      <c r="H962" s="1304">
        <v>0</v>
      </c>
      <c r="I962" s="607"/>
      <c r="J962" s="538"/>
      <c r="K962" s="538"/>
      <c r="L962" s="608"/>
      <c r="M962" s="591"/>
    </row>
    <row r="963" spans="1:13" s="752" customFormat="1" ht="15">
      <c r="A963" s="1461">
        <v>956</v>
      </c>
      <c r="B963" s="811"/>
      <c r="C963" s="545"/>
      <c r="D963" s="539" t="s">
        <v>957</v>
      </c>
      <c r="E963" s="782"/>
      <c r="F963" s="562"/>
      <c r="G963" s="557"/>
      <c r="H963" s="791"/>
      <c r="I963" s="607"/>
      <c r="J963" s="538">
        <v>270</v>
      </c>
      <c r="K963" s="538"/>
      <c r="L963" s="609">
        <f t="shared" si="9"/>
        <v>270</v>
      </c>
      <c r="M963" s="586"/>
    </row>
    <row r="964" spans="1:13" s="753" customFormat="1" ht="15">
      <c r="A964" s="1461">
        <v>957</v>
      </c>
      <c r="B964" s="812"/>
      <c r="C964" s="1464"/>
      <c r="D964" s="541" t="s">
        <v>405</v>
      </c>
      <c r="E964" s="805"/>
      <c r="F964" s="806"/>
      <c r="G964" s="567"/>
      <c r="H964" s="745"/>
      <c r="I964" s="610"/>
      <c r="J964" s="555"/>
      <c r="K964" s="555"/>
      <c r="L964" s="611">
        <f t="shared" si="9"/>
        <v>0</v>
      </c>
      <c r="M964" s="594"/>
    </row>
    <row r="965" spans="1:13" s="754" customFormat="1" ht="15">
      <c r="A965" s="1461">
        <v>958</v>
      </c>
      <c r="B965" s="577"/>
      <c r="C965" s="1465"/>
      <c r="D965" s="542" t="s">
        <v>1067</v>
      </c>
      <c r="E965" s="576"/>
      <c r="F965" s="568"/>
      <c r="G965" s="568"/>
      <c r="H965" s="746"/>
      <c r="I965" s="615">
        <f>SUM(I963:I964)</f>
        <v>0</v>
      </c>
      <c r="J965" s="568">
        <f>SUM(J963:J964)</f>
        <v>270</v>
      </c>
      <c r="K965" s="568">
        <f>SUM(K963:K964)</f>
        <v>0</v>
      </c>
      <c r="L965" s="608">
        <f t="shared" si="9"/>
        <v>270</v>
      </c>
      <c r="M965" s="593">
        <v>0</v>
      </c>
    </row>
    <row r="966" spans="1:13" s="752" customFormat="1" ht="15">
      <c r="A966" s="1461">
        <v>959</v>
      </c>
      <c r="B966" s="535"/>
      <c r="C966" s="545">
        <v>12</v>
      </c>
      <c r="D966" s="1303" t="s">
        <v>1019</v>
      </c>
      <c r="E966" s="782" t="s">
        <v>799</v>
      </c>
      <c r="F966" s="553">
        <f>SUM(H966,L969)</f>
        <v>150</v>
      </c>
      <c r="G966" s="553">
        <v>0</v>
      </c>
      <c r="H966" s="1304">
        <v>0</v>
      </c>
      <c r="I966" s="607"/>
      <c r="J966" s="538"/>
      <c r="K966" s="538"/>
      <c r="L966" s="608"/>
      <c r="M966" s="591"/>
    </row>
    <row r="967" spans="1:13" s="752" customFormat="1" ht="15">
      <c r="A967" s="1461">
        <v>960</v>
      </c>
      <c r="B967" s="811"/>
      <c r="C967" s="545"/>
      <c r="D967" s="539" t="s">
        <v>957</v>
      </c>
      <c r="E967" s="782"/>
      <c r="F967" s="562"/>
      <c r="G967" s="557"/>
      <c r="H967" s="791"/>
      <c r="I967" s="607"/>
      <c r="J967" s="538">
        <v>150</v>
      </c>
      <c r="K967" s="538"/>
      <c r="L967" s="609">
        <f t="shared" si="9"/>
        <v>150</v>
      </c>
      <c r="M967" s="586"/>
    </row>
    <row r="968" spans="1:13" s="753" customFormat="1" ht="15">
      <c r="A968" s="1461">
        <v>961</v>
      </c>
      <c r="B968" s="812"/>
      <c r="C968" s="1464"/>
      <c r="D968" s="541" t="s">
        <v>405</v>
      </c>
      <c r="E968" s="805"/>
      <c r="F968" s="806"/>
      <c r="G968" s="567"/>
      <c r="H968" s="745"/>
      <c r="I968" s="610"/>
      <c r="J968" s="555"/>
      <c r="K968" s="555"/>
      <c r="L968" s="611">
        <f t="shared" si="9"/>
        <v>0</v>
      </c>
      <c r="M968" s="594"/>
    </row>
    <row r="969" spans="1:13" s="754" customFormat="1" ht="15">
      <c r="A969" s="1461">
        <v>962</v>
      </c>
      <c r="B969" s="577"/>
      <c r="C969" s="1465"/>
      <c r="D969" s="542" t="s">
        <v>1067</v>
      </c>
      <c r="E969" s="576"/>
      <c r="F969" s="568"/>
      <c r="G969" s="568"/>
      <c r="H969" s="746"/>
      <c r="I969" s="615">
        <f>SUM(I967:I968)</f>
        <v>0</v>
      </c>
      <c r="J969" s="568">
        <f>SUM(J967:J968)</f>
        <v>150</v>
      </c>
      <c r="K969" s="568">
        <f>SUM(K967:K968)</f>
        <v>0</v>
      </c>
      <c r="L969" s="608">
        <f t="shared" si="9"/>
        <v>150</v>
      </c>
      <c r="M969" s="593">
        <v>0</v>
      </c>
    </row>
    <row r="970" spans="1:13" s="752" customFormat="1" ht="15">
      <c r="A970" s="1461">
        <v>963</v>
      </c>
      <c r="B970" s="535"/>
      <c r="C970" s="545">
        <v>13</v>
      </c>
      <c r="D970" s="1303" t="s">
        <v>1020</v>
      </c>
      <c r="E970" s="782" t="s">
        <v>799</v>
      </c>
      <c r="F970" s="553">
        <f>SUM(H970,L973)</f>
        <v>140</v>
      </c>
      <c r="G970" s="553">
        <v>0</v>
      </c>
      <c r="H970" s="1304">
        <v>0</v>
      </c>
      <c r="I970" s="607"/>
      <c r="J970" s="538"/>
      <c r="K970" s="538"/>
      <c r="L970" s="608"/>
      <c r="M970" s="591"/>
    </row>
    <row r="971" spans="1:13" s="752" customFormat="1" ht="15">
      <c r="A971" s="1461">
        <v>964</v>
      </c>
      <c r="B971" s="811"/>
      <c r="C971" s="545"/>
      <c r="D971" s="539" t="s">
        <v>957</v>
      </c>
      <c r="E971" s="782"/>
      <c r="F971" s="562"/>
      <c r="G971" s="557"/>
      <c r="H971" s="791"/>
      <c r="I971" s="607"/>
      <c r="J971" s="538">
        <v>140</v>
      </c>
      <c r="K971" s="538"/>
      <c r="L971" s="609">
        <f t="shared" si="9"/>
        <v>140</v>
      </c>
      <c r="M971" s="586"/>
    </row>
    <row r="972" spans="1:13" s="753" customFormat="1" ht="15">
      <c r="A972" s="1461">
        <v>965</v>
      </c>
      <c r="B972" s="812"/>
      <c r="C972" s="1464"/>
      <c r="D972" s="541" t="s">
        <v>405</v>
      </c>
      <c r="E972" s="805"/>
      <c r="F972" s="806"/>
      <c r="G972" s="567"/>
      <c r="H972" s="745"/>
      <c r="I972" s="610"/>
      <c r="J972" s="555"/>
      <c r="K972" s="555"/>
      <c r="L972" s="611">
        <f t="shared" si="9"/>
        <v>0</v>
      </c>
      <c r="M972" s="594"/>
    </row>
    <row r="973" spans="1:13" s="754" customFormat="1" ht="15">
      <c r="A973" s="1461">
        <v>966</v>
      </c>
      <c r="B973" s="577"/>
      <c r="C973" s="1465"/>
      <c r="D973" s="542" t="s">
        <v>1067</v>
      </c>
      <c r="E973" s="576"/>
      <c r="F973" s="568"/>
      <c r="G973" s="568"/>
      <c r="H973" s="746"/>
      <c r="I973" s="615">
        <f>SUM(I971:I972)</f>
        <v>0</v>
      </c>
      <c r="J973" s="568">
        <f>SUM(J971:J972)</f>
        <v>140</v>
      </c>
      <c r="K973" s="568">
        <f>SUM(K971:K972)</f>
        <v>0</v>
      </c>
      <c r="L973" s="608">
        <f t="shared" si="9"/>
        <v>140</v>
      </c>
      <c r="M973" s="593">
        <v>0</v>
      </c>
    </row>
    <row r="974" spans="1:13" s="752" customFormat="1" ht="15">
      <c r="A974" s="1461">
        <v>967</v>
      </c>
      <c r="B974" s="535"/>
      <c r="C974" s="545">
        <v>14</v>
      </c>
      <c r="D974" s="1303" t="s">
        <v>722</v>
      </c>
      <c r="E974" s="782" t="s">
        <v>799</v>
      </c>
      <c r="F974" s="553">
        <f>SUM(H974,L977)</f>
        <v>153</v>
      </c>
      <c r="G974" s="553">
        <v>0</v>
      </c>
      <c r="H974" s="1304">
        <v>0</v>
      </c>
      <c r="I974" s="607"/>
      <c r="J974" s="538"/>
      <c r="K974" s="538"/>
      <c r="L974" s="608"/>
      <c r="M974" s="591"/>
    </row>
    <row r="975" spans="1:13" s="752" customFormat="1" ht="15">
      <c r="A975" s="1461">
        <v>968</v>
      </c>
      <c r="B975" s="811"/>
      <c r="C975" s="545"/>
      <c r="D975" s="539" t="s">
        <v>957</v>
      </c>
      <c r="E975" s="782"/>
      <c r="F975" s="562"/>
      <c r="G975" s="557"/>
      <c r="H975" s="791"/>
      <c r="I975" s="607"/>
      <c r="J975" s="538">
        <v>153</v>
      </c>
      <c r="K975" s="538"/>
      <c r="L975" s="609">
        <f t="shared" si="9"/>
        <v>153</v>
      </c>
      <c r="M975" s="586"/>
    </row>
    <row r="976" spans="1:13" s="753" customFormat="1" ht="15">
      <c r="A976" s="1461">
        <v>969</v>
      </c>
      <c r="B976" s="812"/>
      <c r="C976" s="1464"/>
      <c r="D976" s="541" t="s">
        <v>234</v>
      </c>
      <c r="E976" s="805"/>
      <c r="F976" s="806"/>
      <c r="G976" s="567"/>
      <c r="H976" s="745"/>
      <c r="I976" s="610"/>
      <c r="J976" s="555"/>
      <c r="K976" s="555"/>
      <c r="L976" s="611">
        <f t="shared" si="9"/>
        <v>0</v>
      </c>
      <c r="M976" s="594"/>
    </row>
    <row r="977" spans="1:13" s="754" customFormat="1" ht="15">
      <c r="A977" s="1461">
        <v>970</v>
      </c>
      <c r="B977" s="577"/>
      <c r="C977" s="1465"/>
      <c r="D977" s="542" t="s">
        <v>1067</v>
      </c>
      <c r="E977" s="576"/>
      <c r="F977" s="568"/>
      <c r="G977" s="568"/>
      <c r="H977" s="746"/>
      <c r="I977" s="615">
        <f>SUM(I975:I976)</f>
        <v>0</v>
      </c>
      <c r="J977" s="568">
        <f>SUM(J975:J976)</f>
        <v>153</v>
      </c>
      <c r="K977" s="568">
        <f>SUM(K975:K976)</f>
        <v>0</v>
      </c>
      <c r="L977" s="608">
        <f t="shared" si="9"/>
        <v>153</v>
      </c>
      <c r="M977" s="593">
        <v>0</v>
      </c>
    </row>
    <row r="978" spans="1:13" s="752" customFormat="1" ht="15">
      <c r="A978" s="1461">
        <v>971</v>
      </c>
      <c r="B978" s="535"/>
      <c r="C978" s="545">
        <v>15</v>
      </c>
      <c r="D978" s="1303" t="s">
        <v>1013</v>
      </c>
      <c r="E978" s="782" t="s">
        <v>799</v>
      </c>
      <c r="F978" s="553">
        <f>SUM(H978,L981)</f>
        <v>53</v>
      </c>
      <c r="G978" s="553">
        <v>0</v>
      </c>
      <c r="H978" s="1304">
        <v>0</v>
      </c>
      <c r="I978" s="607"/>
      <c r="J978" s="538"/>
      <c r="K978" s="538"/>
      <c r="L978" s="608"/>
      <c r="M978" s="591"/>
    </row>
    <row r="979" spans="1:13" s="752" customFormat="1" ht="15">
      <c r="A979" s="1461">
        <v>972</v>
      </c>
      <c r="B979" s="811"/>
      <c r="C979" s="545"/>
      <c r="D979" s="539" t="s">
        <v>957</v>
      </c>
      <c r="E979" s="782"/>
      <c r="F979" s="562"/>
      <c r="G979" s="557"/>
      <c r="H979" s="791"/>
      <c r="I979" s="607"/>
      <c r="J979" s="538">
        <v>53</v>
      </c>
      <c r="K979" s="538"/>
      <c r="L979" s="609">
        <f t="shared" si="9"/>
        <v>53</v>
      </c>
      <c r="M979" s="586"/>
    </row>
    <row r="980" spans="1:13" s="753" customFormat="1" ht="15">
      <c r="A980" s="1461">
        <v>973</v>
      </c>
      <c r="B980" s="812"/>
      <c r="C980" s="1464"/>
      <c r="D980" s="541" t="s">
        <v>969</v>
      </c>
      <c r="E980" s="805"/>
      <c r="F980" s="806"/>
      <c r="G980" s="567"/>
      <c r="H980" s="745"/>
      <c r="I980" s="610"/>
      <c r="J980" s="555"/>
      <c r="K980" s="555"/>
      <c r="L980" s="611">
        <f t="shared" si="9"/>
        <v>0</v>
      </c>
      <c r="M980" s="594"/>
    </row>
    <row r="981" spans="1:13" s="754" customFormat="1" ht="15">
      <c r="A981" s="1461">
        <v>974</v>
      </c>
      <c r="B981" s="577"/>
      <c r="C981" s="1465"/>
      <c r="D981" s="542" t="s">
        <v>1067</v>
      </c>
      <c r="E981" s="576"/>
      <c r="F981" s="568"/>
      <c r="G981" s="568"/>
      <c r="H981" s="746"/>
      <c r="I981" s="615">
        <f>SUM(I979:I980)</f>
        <v>0</v>
      </c>
      <c r="J981" s="568">
        <f>SUM(J979:J980)</f>
        <v>53</v>
      </c>
      <c r="K981" s="568">
        <f>SUM(K979:K980)</f>
        <v>0</v>
      </c>
      <c r="L981" s="608">
        <f t="shared" si="9"/>
        <v>53</v>
      </c>
      <c r="M981" s="593">
        <v>0</v>
      </c>
    </row>
    <row r="982" spans="1:13" s="752" customFormat="1" ht="15">
      <c r="A982" s="1461">
        <v>975</v>
      </c>
      <c r="B982" s="535"/>
      <c r="C982" s="545">
        <v>16</v>
      </c>
      <c r="D982" s="1303" t="s">
        <v>1014</v>
      </c>
      <c r="E982" s="782" t="s">
        <v>799</v>
      </c>
      <c r="F982" s="553">
        <f>SUM(H982,L985)</f>
        <v>268</v>
      </c>
      <c r="G982" s="553">
        <v>0</v>
      </c>
      <c r="H982" s="1304">
        <v>0</v>
      </c>
      <c r="I982" s="607"/>
      <c r="J982" s="538"/>
      <c r="K982" s="538"/>
      <c r="L982" s="608"/>
      <c r="M982" s="591"/>
    </row>
    <row r="983" spans="1:13" s="752" customFormat="1" ht="15">
      <c r="A983" s="1461">
        <v>976</v>
      </c>
      <c r="B983" s="811"/>
      <c r="C983" s="545"/>
      <c r="D983" s="539" t="s">
        <v>957</v>
      </c>
      <c r="E983" s="782"/>
      <c r="F983" s="562"/>
      <c r="G983" s="557"/>
      <c r="H983" s="791"/>
      <c r="I983" s="607"/>
      <c r="J983" s="538">
        <v>268</v>
      </c>
      <c r="K983" s="538"/>
      <c r="L983" s="609">
        <f t="shared" si="9"/>
        <v>268</v>
      </c>
      <c r="M983" s="586"/>
    </row>
    <row r="984" spans="1:13" s="753" customFormat="1" ht="15">
      <c r="A984" s="1461">
        <v>977</v>
      </c>
      <c r="B984" s="812"/>
      <c r="C984" s="1464"/>
      <c r="D984" s="541" t="s">
        <v>405</v>
      </c>
      <c r="E984" s="805"/>
      <c r="F984" s="806"/>
      <c r="G984" s="567"/>
      <c r="H984" s="745"/>
      <c r="I984" s="610"/>
      <c r="J984" s="555"/>
      <c r="K984" s="555"/>
      <c r="L984" s="611">
        <f t="shared" si="9"/>
        <v>0</v>
      </c>
      <c r="M984" s="594"/>
    </row>
    <row r="985" spans="1:13" s="754" customFormat="1" ht="15">
      <c r="A985" s="1461">
        <v>978</v>
      </c>
      <c r="B985" s="577"/>
      <c r="C985" s="1465"/>
      <c r="D985" s="542" t="s">
        <v>1067</v>
      </c>
      <c r="E985" s="576"/>
      <c r="F985" s="568"/>
      <c r="G985" s="568"/>
      <c r="H985" s="746"/>
      <c r="I985" s="615">
        <f>SUM(I983:I984)</f>
        <v>0</v>
      </c>
      <c r="J985" s="568">
        <f>SUM(J983:J984)</f>
        <v>268</v>
      </c>
      <c r="K985" s="568">
        <f>SUM(K983:K984)</f>
        <v>0</v>
      </c>
      <c r="L985" s="608">
        <f t="shared" si="9"/>
        <v>268</v>
      </c>
      <c r="M985" s="593">
        <v>0</v>
      </c>
    </row>
    <row r="986" spans="1:13" s="752" customFormat="1" ht="15">
      <c r="A986" s="1461">
        <v>979</v>
      </c>
      <c r="B986" s="535"/>
      <c r="C986" s="545">
        <v>17</v>
      </c>
      <c r="D986" s="1303" t="s">
        <v>723</v>
      </c>
      <c r="E986" s="782" t="s">
        <v>799</v>
      </c>
      <c r="F986" s="553">
        <v>318</v>
      </c>
      <c r="G986" s="553">
        <v>0</v>
      </c>
      <c r="H986" s="1304">
        <v>0</v>
      </c>
      <c r="I986" s="607"/>
      <c r="J986" s="538"/>
      <c r="K986" s="538"/>
      <c r="L986" s="608"/>
      <c r="M986" s="591"/>
    </row>
    <row r="987" spans="1:13" s="752" customFormat="1" ht="15">
      <c r="A987" s="1461">
        <v>980</v>
      </c>
      <c r="B987" s="811"/>
      <c r="C987" s="545"/>
      <c r="D987" s="539" t="s">
        <v>957</v>
      </c>
      <c r="E987" s="782"/>
      <c r="F987" s="562"/>
      <c r="G987" s="557"/>
      <c r="H987" s="791"/>
      <c r="I987" s="607"/>
      <c r="J987" s="538">
        <v>318</v>
      </c>
      <c r="K987" s="538"/>
      <c r="L987" s="609">
        <f t="shared" si="9"/>
        <v>318</v>
      </c>
      <c r="M987" s="586"/>
    </row>
    <row r="988" spans="1:13" s="753" customFormat="1" ht="15">
      <c r="A988" s="1461">
        <v>981</v>
      </c>
      <c r="B988" s="812"/>
      <c r="C988" s="1464"/>
      <c r="D988" s="541" t="s">
        <v>234</v>
      </c>
      <c r="E988" s="805"/>
      <c r="F988" s="806"/>
      <c r="G988" s="567"/>
      <c r="H988" s="745"/>
      <c r="I988" s="610"/>
      <c r="J988" s="555"/>
      <c r="K988" s="555"/>
      <c r="L988" s="611">
        <f t="shared" si="9"/>
        <v>0</v>
      </c>
      <c r="M988" s="594"/>
    </row>
    <row r="989" spans="1:13" s="754" customFormat="1" ht="15">
      <c r="A989" s="1461">
        <v>982</v>
      </c>
      <c r="B989" s="577"/>
      <c r="C989" s="1465"/>
      <c r="D989" s="542" t="s">
        <v>724</v>
      </c>
      <c r="E989" s="576"/>
      <c r="F989" s="568"/>
      <c r="G989" s="568"/>
      <c r="H989" s="746"/>
      <c r="I989" s="615">
        <f>SUM(I987:I988)</f>
        <v>0</v>
      </c>
      <c r="J989" s="568">
        <f>SUM(J987:J988)</f>
        <v>318</v>
      </c>
      <c r="K989" s="568">
        <f>SUM(K987:K988)</f>
        <v>0</v>
      </c>
      <c r="L989" s="608">
        <f t="shared" si="9"/>
        <v>318</v>
      </c>
      <c r="M989" s="593">
        <v>0</v>
      </c>
    </row>
    <row r="990" spans="1:13" s="752" customFormat="1" ht="30">
      <c r="A990" s="1461">
        <v>983</v>
      </c>
      <c r="B990" s="535"/>
      <c r="C990" s="545">
        <v>18</v>
      </c>
      <c r="D990" s="1303" t="s">
        <v>725</v>
      </c>
      <c r="E990" s="782" t="s">
        <v>799</v>
      </c>
      <c r="F990" s="553">
        <f>SUM(H990,L993)</f>
        <v>1270</v>
      </c>
      <c r="G990" s="553">
        <v>0</v>
      </c>
      <c r="H990" s="1304">
        <v>0</v>
      </c>
      <c r="I990" s="607"/>
      <c r="J990" s="538"/>
      <c r="K990" s="538"/>
      <c r="L990" s="608"/>
      <c r="M990" s="591"/>
    </row>
    <row r="991" spans="1:13" s="752" customFormat="1" ht="15">
      <c r="A991" s="1461">
        <v>984</v>
      </c>
      <c r="B991" s="811"/>
      <c r="C991" s="545"/>
      <c r="D991" s="539" t="s">
        <v>957</v>
      </c>
      <c r="E991" s="782"/>
      <c r="F991" s="562"/>
      <c r="G991" s="557"/>
      <c r="H991" s="791"/>
      <c r="I991" s="607"/>
      <c r="J991" s="538">
        <v>1270</v>
      </c>
      <c r="K991" s="538"/>
      <c r="L991" s="609">
        <f t="shared" si="9"/>
        <v>1270</v>
      </c>
      <c r="M991" s="586"/>
    </row>
    <row r="992" spans="1:13" s="753" customFormat="1" ht="15">
      <c r="A992" s="1461">
        <v>985</v>
      </c>
      <c r="B992" s="812"/>
      <c r="C992" s="1464"/>
      <c r="D992" s="541" t="s">
        <v>234</v>
      </c>
      <c r="E992" s="805"/>
      <c r="F992" s="806"/>
      <c r="G992" s="567"/>
      <c r="H992" s="745"/>
      <c r="I992" s="610"/>
      <c r="J992" s="555"/>
      <c r="K992" s="555"/>
      <c r="L992" s="611">
        <f t="shared" si="9"/>
        <v>0</v>
      </c>
      <c r="M992" s="594"/>
    </row>
    <row r="993" spans="1:13" s="754" customFormat="1" ht="15">
      <c r="A993" s="1461">
        <v>986</v>
      </c>
      <c r="B993" s="577"/>
      <c r="C993" s="1465"/>
      <c r="D993" s="542" t="s">
        <v>1067</v>
      </c>
      <c r="E993" s="576"/>
      <c r="F993" s="568"/>
      <c r="G993" s="568"/>
      <c r="H993" s="746"/>
      <c r="I993" s="615">
        <f>SUM(I991:I992)</f>
        <v>0</v>
      </c>
      <c r="J993" s="568">
        <f>SUM(J991:J992)</f>
        <v>1270</v>
      </c>
      <c r="K993" s="568">
        <f>SUM(K991:K992)</f>
        <v>0</v>
      </c>
      <c r="L993" s="608">
        <f t="shared" si="9"/>
        <v>1270</v>
      </c>
      <c r="M993" s="593">
        <v>0</v>
      </c>
    </row>
    <row r="994" spans="1:13" s="752" customFormat="1" ht="15">
      <c r="A994" s="1461">
        <v>987</v>
      </c>
      <c r="B994" s="535"/>
      <c r="C994" s="545">
        <v>19</v>
      </c>
      <c r="D994" s="1303" t="s">
        <v>726</v>
      </c>
      <c r="E994" s="782" t="s">
        <v>799</v>
      </c>
      <c r="F994" s="553">
        <f>SUM(H994,L997)</f>
        <v>839</v>
      </c>
      <c r="G994" s="553">
        <v>0</v>
      </c>
      <c r="H994" s="1304">
        <v>0</v>
      </c>
      <c r="I994" s="607"/>
      <c r="J994" s="538"/>
      <c r="K994" s="538"/>
      <c r="L994" s="608"/>
      <c r="M994" s="591"/>
    </row>
    <row r="995" spans="1:13" s="752" customFormat="1" ht="15">
      <c r="A995" s="1461">
        <v>988</v>
      </c>
      <c r="B995" s="811"/>
      <c r="C995" s="545"/>
      <c r="D995" s="539" t="s">
        <v>957</v>
      </c>
      <c r="E995" s="782"/>
      <c r="F995" s="562"/>
      <c r="G995" s="557"/>
      <c r="H995" s="791"/>
      <c r="I995" s="607"/>
      <c r="J995" s="538">
        <v>839</v>
      </c>
      <c r="K995" s="538"/>
      <c r="L995" s="609">
        <f t="shared" si="9"/>
        <v>839</v>
      </c>
      <c r="M995" s="586"/>
    </row>
    <row r="996" spans="1:13" s="753" customFormat="1" ht="15">
      <c r="A996" s="1461">
        <v>989</v>
      </c>
      <c r="B996" s="812"/>
      <c r="C996" s="1464"/>
      <c r="D996" s="541" t="s">
        <v>234</v>
      </c>
      <c r="E996" s="805"/>
      <c r="F996" s="806"/>
      <c r="G996" s="567"/>
      <c r="H996" s="745"/>
      <c r="I996" s="610"/>
      <c r="J996" s="555"/>
      <c r="K996" s="555"/>
      <c r="L996" s="611">
        <f t="shared" si="9"/>
        <v>0</v>
      </c>
      <c r="M996" s="594"/>
    </row>
    <row r="997" spans="1:13" s="754" customFormat="1" ht="15">
      <c r="A997" s="1461">
        <v>990</v>
      </c>
      <c r="B997" s="577"/>
      <c r="C997" s="1465"/>
      <c r="D997" s="542" t="s">
        <v>1067</v>
      </c>
      <c r="E997" s="576"/>
      <c r="F997" s="568"/>
      <c r="G997" s="568"/>
      <c r="H997" s="746"/>
      <c r="I997" s="615">
        <f>SUM(I995:I996)</f>
        <v>0</v>
      </c>
      <c r="J997" s="568">
        <f>SUM(J995:J996)</f>
        <v>839</v>
      </c>
      <c r="K997" s="568">
        <f>SUM(K995:K996)</f>
        <v>0</v>
      </c>
      <c r="L997" s="608">
        <f t="shared" si="9"/>
        <v>839</v>
      </c>
      <c r="M997" s="593">
        <v>0</v>
      </c>
    </row>
    <row r="998" spans="1:13" s="752" customFormat="1" ht="15">
      <c r="A998" s="1461">
        <v>991</v>
      </c>
      <c r="B998" s="535"/>
      <c r="C998" s="545">
        <v>20</v>
      </c>
      <c r="D998" s="1303" t="s">
        <v>727</v>
      </c>
      <c r="E998" s="782" t="s">
        <v>799</v>
      </c>
      <c r="F998" s="553">
        <f>SUM(H998,L1001)</f>
        <v>2454</v>
      </c>
      <c r="G998" s="553">
        <v>0</v>
      </c>
      <c r="H998" s="1304">
        <v>0</v>
      </c>
      <c r="I998" s="607"/>
      <c r="J998" s="538"/>
      <c r="K998" s="538"/>
      <c r="L998" s="608"/>
      <c r="M998" s="591"/>
    </row>
    <row r="999" spans="1:13" s="752" customFormat="1" ht="15">
      <c r="A999" s="1461">
        <v>992</v>
      </c>
      <c r="B999" s="811"/>
      <c r="C999" s="545"/>
      <c r="D999" s="539" t="s">
        <v>957</v>
      </c>
      <c r="E999" s="782"/>
      <c r="F999" s="562"/>
      <c r="G999" s="557"/>
      <c r="H999" s="791"/>
      <c r="I999" s="607"/>
      <c r="J999" s="538">
        <v>2454</v>
      </c>
      <c r="K999" s="538"/>
      <c r="L999" s="609">
        <f t="shared" si="9"/>
        <v>2454</v>
      </c>
      <c r="M999" s="586"/>
    </row>
    <row r="1000" spans="1:13" s="753" customFormat="1" ht="15">
      <c r="A1000" s="1461">
        <v>993</v>
      </c>
      <c r="B1000" s="812"/>
      <c r="C1000" s="1464"/>
      <c r="D1000" s="541" t="s">
        <v>234</v>
      </c>
      <c r="E1000" s="805"/>
      <c r="F1000" s="806"/>
      <c r="G1000" s="567"/>
      <c r="H1000" s="745"/>
      <c r="I1000" s="610"/>
      <c r="J1000" s="555"/>
      <c r="K1000" s="555"/>
      <c r="L1000" s="611">
        <f t="shared" si="9"/>
        <v>0</v>
      </c>
      <c r="M1000" s="594"/>
    </row>
    <row r="1001" spans="1:13" s="754" customFormat="1" ht="15">
      <c r="A1001" s="1461">
        <v>994</v>
      </c>
      <c r="B1001" s="577"/>
      <c r="C1001" s="1465"/>
      <c r="D1001" s="542" t="s">
        <v>1067</v>
      </c>
      <c r="E1001" s="576"/>
      <c r="F1001" s="568"/>
      <c r="G1001" s="568"/>
      <c r="H1001" s="746"/>
      <c r="I1001" s="615">
        <f>SUM(I999:I1000)</f>
        <v>0</v>
      </c>
      <c r="J1001" s="568">
        <f>SUM(J999:J1000)</f>
        <v>2454</v>
      </c>
      <c r="K1001" s="568">
        <f>SUM(K999:K1000)</f>
        <v>0</v>
      </c>
      <c r="L1001" s="608">
        <f t="shared" si="9"/>
        <v>2454</v>
      </c>
      <c r="M1001" s="593">
        <v>0</v>
      </c>
    </row>
    <row r="1002" spans="1:13" s="752" customFormat="1" ht="15">
      <c r="A1002" s="1461">
        <v>995</v>
      </c>
      <c r="B1002" s="535">
        <v>5</v>
      </c>
      <c r="C1002" s="545"/>
      <c r="D1002" s="536" t="s">
        <v>320</v>
      </c>
      <c r="E1002" s="782"/>
      <c r="F1002" s="564"/>
      <c r="G1002" s="564"/>
      <c r="H1002" s="912"/>
      <c r="I1002" s="607"/>
      <c r="J1002" s="538"/>
      <c r="K1002" s="538"/>
      <c r="L1002" s="609"/>
      <c r="M1002" s="589"/>
    </row>
    <row r="1003" spans="1:13" s="752" customFormat="1" ht="15">
      <c r="A1003" s="1461">
        <v>996</v>
      </c>
      <c r="B1003" s="811"/>
      <c r="C1003" s="545">
        <v>21</v>
      </c>
      <c r="D1003" s="557" t="s">
        <v>321</v>
      </c>
      <c r="E1003" s="782" t="s">
        <v>799</v>
      </c>
      <c r="F1003" s="553">
        <f>SUM(H1003,L1007)</f>
        <v>1500</v>
      </c>
      <c r="G1003" s="557">
        <v>0</v>
      </c>
      <c r="H1003" s="913">
        <v>0</v>
      </c>
      <c r="I1003" s="607"/>
      <c r="J1003" s="538"/>
      <c r="K1003" s="538"/>
      <c r="L1003" s="609"/>
      <c r="M1003" s="586"/>
    </row>
    <row r="1004" spans="1:13" ht="15">
      <c r="A1004" s="1461">
        <v>997</v>
      </c>
      <c r="B1004" s="811"/>
      <c r="C1004" s="545"/>
      <c r="D1004" s="539" t="s">
        <v>403</v>
      </c>
      <c r="E1004" s="788"/>
      <c r="F1004" s="796"/>
      <c r="G1004" s="562"/>
      <c r="H1004" s="914"/>
      <c r="I1004" s="607"/>
      <c r="J1004" s="538">
        <v>1500</v>
      </c>
      <c r="K1004" s="538"/>
      <c r="L1004" s="609">
        <f>SUM(I1004:K1004)</f>
        <v>1500</v>
      </c>
      <c r="M1004" s="591"/>
    </row>
    <row r="1005" spans="1:13" ht="15">
      <c r="A1005" s="1461">
        <v>998</v>
      </c>
      <c r="B1005" s="811"/>
      <c r="C1005" s="545"/>
      <c r="D1005" s="539" t="s">
        <v>957</v>
      </c>
      <c r="E1005" s="788"/>
      <c r="F1005" s="796"/>
      <c r="G1005" s="562"/>
      <c r="H1005" s="914"/>
      <c r="I1005" s="607"/>
      <c r="J1005" s="538">
        <v>1500</v>
      </c>
      <c r="K1005" s="538"/>
      <c r="L1005" s="609">
        <f>SUM(I1005:K1005)</f>
        <v>1500</v>
      </c>
      <c r="M1005" s="591"/>
    </row>
    <row r="1006" spans="1:13" s="753" customFormat="1" ht="15">
      <c r="A1006" s="1461">
        <v>999</v>
      </c>
      <c r="B1006" s="812"/>
      <c r="C1006" s="1464"/>
      <c r="D1006" s="541" t="s">
        <v>405</v>
      </c>
      <c r="E1006" s="782"/>
      <c r="F1006" s="567"/>
      <c r="G1006" s="567"/>
      <c r="H1006" s="915"/>
      <c r="I1006" s="610"/>
      <c r="J1006" s="555"/>
      <c r="K1006" s="555"/>
      <c r="L1006" s="611">
        <f>SUM(I1006:K1006)</f>
        <v>0</v>
      </c>
      <c r="M1006" s="594"/>
    </row>
    <row r="1007" spans="1:13" s="754" customFormat="1" ht="15">
      <c r="A1007" s="1461">
        <v>1000</v>
      </c>
      <c r="B1007" s="577"/>
      <c r="C1007" s="1465"/>
      <c r="D1007" s="542" t="s">
        <v>1067</v>
      </c>
      <c r="E1007" s="576"/>
      <c r="F1007" s="568"/>
      <c r="G1007" s="568"/>
      <c r="H1007" s="911"/>
      <c r="I1007" s="615">
        <f>SUM(I1005:I1006)</f>
        <v>0</v>
      </c>
      <c r="J1007" s="568">
        <f>SUM(J1005:J1006)</f>
        <v>1500</v>
      </c>
      <c r="K1007" s="568">
        <f>SUM(K1005:K1006)</f>
        <v>0</v>
      </c>
      <c r="L1007" s="608">
        <f>SUM(I1007:K1007)</f>
        <v>1500</v>
      </c>
      <c r="M1007" s="593">
        <f>SUM(M1004:M1006)</f>
        <v>0</v>
      </c>
    </row>
    <row r="1008" spans="1:13" s="752" customFormat="1" ht="15">
      <c r="A1008" s="1461">
        <v>1001</v>
      </c>
      <c r="B1008" s="535"/>
      <c r="C1008" s="545">
        <v>22</v>
      </c>
      <c r="D1008" s="1303" t="s">
        <v>932</v>
      </c>
      <c r="E1008" s="782" t="s">
        <v>799</v>
      </c>
      <c r="F1008" s="553">
        <f>SUM(H1008,L1011)</f>
        <v>300</v>
      </c>
      <c r="G1008" s="553">
        <v>0</v>
      </c>
      <c r="H1008" s="1304">
        <v>0</v>
      </c>
      <c r="I1008" s="607"/>
      <c r="J1008" s="538"/>
      <c r="K1008" s="538"/>
      <c r="L1008" s="609"/>
      <c r="M1008" s="591"/>
    </row>
    <row r="1009" spans="1:13" ht="15">
      <c r="A1009" s="1461">
        <v>1002</v>
      </c>
      <c r="B1009" s="811"/>
      <c r="C1009" s="545"/>
      <c r="D1009" s="539" t="s">
        <v>957</v>
      </c>
      <c r="E1009" s="782"/>
      <c r="F1009" s="562"/>
      <c r="G1009" s="562"/>
      <c r="H1009" s="914"/>
      <c r="I1009" s="607"/>
      <c r="J1009" s="538">
        <v>300</v>
      </c>
      <c r="K1009" s="538"/>
      <c r="L1009" s="609">
        <f>SUM(I1009:K1009)</f>
        <v>300</v>
      </c>
      <c r="M1009" s="591"/>
    </row>
    <row r="1010" spans="1:13" s="753" customFormat="1" ht="15">
      <c r="A1010" s="1461">
        <v>1003</v>
      </c>
      <c r="B1010" s="812"/>
      <c r="C1010" s="1464"/>
      <c r="D1010" s="541" t="s">
        <v>405</v>
      </c>
      <c r="E1010" s="782"/>
      <c r="F1010" s="567"/>
      <c r="G1010" s="567"/>
      <c r="H1010" s="915"/>
      <c r="I1010" s="610"/>
      <c r="J1010" s="555"/>
      <c r="K1010" s="555"/>
      <c r="L1010" s="611">
        <f>SUM(I1010:K1010)</f>
        <v>0</v>
      </c>
      <c r="M1010" s="594"/>
    </row>
    <row r="1011" spans="1:13" s="754" customFormat="1" ht="15">
      <c r="A1011" s="1461">
        <v>1004</v>
      </c>
      <c r="B1011" s="577"/>
      <c r="C1011" s="1465"/>
      <c r="D1011" s="542" t="s">
        <v>1067</v>
      </c>
      <c r="E1011" s="576"/>
      <c r="F1011" s="568"/>
      <c r="G1011" s="568"/>
      <c r="H1011" s="911"/>
      <c r="I1011" s="615">
        <f>SUM(I1009:I1010)</f>
        <v>0</v>
      </c>
      <c r="J1011" s="568">
        <f>SUM(J1009:J1010)</f>
        <v>300</v>
      </c>
      <c r="K1011" s="568">
        <f>SUM(K1009:K1010)</f>
        <v>0</v>
      </c>
      <c r="L1011" s="608">
        <f>SUM(I1011:K1011)</f>
        <v>300</v>
      </c>
      <c r="M1011" s="593">
        <v>0</v>
      </c>
    </row>
    <row r="1012" spans="1:13" s="752" customFormat="1" ht="15">
      <c r="A1012" s="1461">
        <v>1005</v>
      </c>
      <c r="B1012" s="535"/>
      <c r="C1012" s="545">
        <v>23</v>
      </c>
      <c r="D1012" s="1303" t="s">
        <v>1009</v>
      </c>
      <c r="E1012" s="782" t="s">
        <v>799</v>
      </c>
      <c r="F1012" s="553">
        <f>SUM(H1012,L1015)</f>
        <v>44</v>
      </c>
      <c r="G1012" s="553">
        <v>0</v>
      </c>
      <c r="H1012" s="1304">
        <v>0</v>
      </c>
      <c r="I1012" s="607"/>
      <c r="J1012" s="538"/>
      <c r="K1012" s="538"/>
      <c r="L1012" s="609"/>
      <c r="M1012" s="591"/>
    </row>
    <row r="1013" spans="1:13" s="752" customFormat="1" ht="15">
      <c r="A1013" s="1461">
        <v>1006</v>
      </c>
      <c r="B1013" s="811"/>
      <c r="C1013" s="545"/>
      <c r="D1013" s="539" t="s">
        <v>957</v>
      </c>
      <c r="E1013" s="782"/>
      <c r="F1013" s="562"/>
      <c r="G1013" s="557"/>
      <c r="H1013" s="791"/>
      <c r="I1013" s="607"/>
      <c r="J1013" s="538">
        <v>44</v>
      </c>
      <c r="K1013" s="538"/>
      <c r="L1013" s="609">
        <f aca="true" t="shared" si="10" ref="L1013:L1057">SUM(I1013:K1013)</f>
        <v>44</v>
      </c>
      <c r="M1013" s="586"/>
    </row>
    <row r="1014" spans="1:13" s="753" customFormat="1" ht="15">
      <c r="A1014" s="1461">
        <v>1007</v>
      </c>
      <c r="B1014" s="812"/>
      <c r="C1014" s="1464"/>
      <c r="D1014" s="541" t="s">
        <v>969</v>
      </c>
      <c r="E1014" s="805"/>
      <c r="F1014" s="806"/>
      <c r="G1014" s="567"/>
      <c r="H1014" s="745"/>
      <c r="I1014" s="610"/>
      <c r="J1014" s="555"/>
      <c r="K1014" s="555"/>
      <c r="L1014" s="611">
        <f t="shared" si="10"/>
        <v>0</v>
      </c>
      <c r="M1014" s="594"/>
    </row>
    <row r="1015" spans="1:13" s="754" customFormat="1" ht="15">
      <c r="A1015" s="1461">
        <v>1008</v>
      </c>
      <c r="B1015" s="577"/>
      <c r="C1015" s="1465"/>
      <c r="D1015" s="542" t="s">
        <v>1067</v>
      </c>
      <c r="E1015" s="576"/>
      <c r="F1015" s="568"/>
      <c r="G1015" s="568"/>
      <c r="H1015" s="746"/>
      <c r="I1015" s="615">
        <f>SUM(I1013:I1014)</f>
        <v>0</v>
      </c>
      <c r="J1015" s="568">
        <f>SUM(J1013:J1014)</f>
        <v>44</v>
      </c>
      <c r="K1015" s="568">
        <f>SUM(K1013:K1014)</f>
        <v>0</v>
      </c>
      <c r="L1015" s="608">
        <f t="shared" si="10"/>
        <v>44</v>
      </c>
      <c r="M1015" s="593">
        <v>0</v>
      </c>
    </row>
    <row r="1016" spans="1:13" s="752" customFormat="1" ht="15">
      <c r="A1016" s="1461">
        <v>1009</v>
      </c>
      <c r="B1016" s="535"/>
      <c r="C1016" s="545">
        <v>24</v>
      </c>
      <c r="D1016" s="1303" t="s">
        <v>1008</v>
      </c>
      <c r="E1016" s="782" t="s">
        <v>799</v>
      </c>
      <c r="F1016" s="553">
        <f>SUM(H1016,L1019)</f>
        <v>100</v>
      </c>
      <c r="G1016" s="553">
        <v>0</v>
      </c>
      <c r="H1016" s="1304">
        <v>0</v>
      </c>
      <c r="I1016" s="607"/>
      <c r="J1016" s="538"/>
      <c r="K1016" s="538"/>
      <c r="L1016" s="609"/>
      <c r="M1016" s="591"/>
    </row>
    <row r="1017" spans="1:13" s="752" customFormat="1" ht="15">
      <c r="A1017" s="1461">
        <v>1010</v>
      </c>
      <c r="B1017" s="811"/>
      <c r="C1017" s="545"/>
      <c r="D1017" s="539" t="s">
        <v>957</v>
      </c>
      <c r="E1017" s="782"/>
      <c r="F1017" s="562"/>
      <c r="G1017" s="557"/>
      <c r="H1017" s="791"/>
      <c r="I1017" s="607"/>
      <c r="J1017" s="538">
        <v>100</v>
      </c>
      <c r="K1017" s="538"/>
      <c r="L1017" s="609">
        <f t="shared" si="10"/>
        <v>100</v>
      </c>
      <c r="M1017" s="586"/>
    </row>
    <row r="1018" spans="1:13" s="753" customFormat="1" ht="15">
      <c r="A1018" s="1461">
        <v>1011</v>
      </c>
      <c r="B1018" s="812"/>
      <c r="C1018" s="1464"/>
      <c r="D1018" s="541" t="s">
        <v>969</v>
      </c>
      <c r="E1018" s="805"/>
      <c r="F1018" s="806"/>
      <c r="G1018" s="567"/>
      <c r="H1018" s="745"/>
      <c r="I1018" s="610"/>
      <c r="J1018" s="555"/>
      <c r="K1018" s="555"/>
      <c r="L1018" s="611">
        <f t="shared" si="10"/>
        <v>0</v>
      </c>
      <c r="M1018" s="594"/>
    </row>
    <row r="1019" spans="1:13" s="754" customFormat="1" ht="15">
      <c r="A1019" s="1461">
        <v>1012</v>
      </c>
      <c r="B1019" s="577"/>
      <c r="C1019" s="1465"/>
      <c r="D1019" s="542" t="s">
        <v>1067</v>
      </c>
      <c r="E1019" s="576"/>
      <c r="F1019" s="568"/>
      <c r="G1019" s="568"/>
      <c r="H1019" s="746"/>
      <c r="I1019" s="615">
        <f>SUM(I1017:I1018)</f>
        <v>0</v>
      </c>
      <c r="J1019" s="568">
        <f>SUM(J1017:J1018)</f>
        <v>100</v>
      </c>
      <c r="K1019" s="568">
        <f>SUM(K1017:K1018)</f>
        <v>0</v>
      </c>
      <c r="L1019" s="608">
        <f t="shared" si="10"/>
        <v>100</v>
      </c>
      <c r="M1019" s="593">
        <v>0</v>
      </c>
    </row>
    <row r="1020" spans="1:13" s="752" customFormat="1" ht="15">
      <c r="A1020" s="1461">
        <v>1013</v>
      </c>
      <c r="B1020" s="535"/>
      <c r="C1020" s="545">
        <v>25</v>
      </c>
      <c r="D1020" s="1303" t="s">
        <v>722</v>
      </c>
      <c r="E1020" s="782" t="s">
        <v>799</v>
      </c>
      <c r="F1020" s="553">
        <f>SUM(H1020,L1023)</f>
        <v>153</v>
      </c>
      <c r="G1020" s="553">
        <v>0</v>
      </c>
      <c r="H1020" s="1304">
        <v>0</v>
      </c>
      <c r="I1020" s="607"/>
      <c r="J1020" s="538"/>
      <c r="K1020" s="538"/>
      <c r="L1020" s="609"/>
      <c r="M1020" s="591"/>
    </row>
    <row r="1021" spans="1:13" s="752" customFormat="1" ht="15">
      <c r="A1021" s="1461">
        <v>1014</v>
      </c>
      <c r="B1021" s="811"/>
      <c r="C1021" s="545"/>
      <c r="D1021" s="539" t="s">
        <v>957</v>
      </c>
      <c r="E1021" s="782"/>
      <c r="F1021" s="562"/>
      <c r="G1021" s="557"/>
      <c r="H1021" s="791"/>
      <c r="I1021" s="607"/>
      <c r="J1021" s="538">
        <v>153</v>
      </c>
      <c r="K1021" s="538"/>
      <c r="L1021" s="609">
        <f t="shared" si="10"/>
        <v>153</v>
      </c>
      <c r="M1021" s="586"/>
    </row>
    <row r="1022" spans="1:13" s="753" customFormat="1" ht="15">
      <c r="A1022" s="1461">
        <v>1015</v>
      </c>
      <c r="B1022" s="812"/>
      <c r="C1022" s="1464"/>
      <c r="D1022" s="541" t="s">
        <v>234</v>
      </c>
      <c r="E1022" s="805"/>
      <c r="F1022" s="806"/>
      <c r="G1022" s="567"/>
      <c r="H1022" s="745"/>
      <c r="I1022" s="610"/>
      <c r="J1022" s="555"/>
      <c r="K1022" s="555"/>
      <c r="L1022" s="611">
        <f t="shared" si="10"/>
        <v>0</v>
      </c>
      <c r="M1022" s="594"/>
    </row>
    <row r="1023" spans="1:13" s="754" customFormat="1" ht="15">
      <c r="A1023" s="1461">
        <v>1016</v>
      </c>
      <c r="B1023" s="577"/>
      <c r="C1023" s="1465"/>
      <c r="D1023" s="542" t="s">
        <v>1067</v>
      </c>
      <c r="E1023" s="576"/>
      <c r="F1023" s="568"/>
      <c r="G1023" s="568"/>
      <c r="H1023" s="746"/>
      <c r="I1023" s="615">
        <f>SUM(I1021:I1022)</f>
        <v>0</v>
      </c>
      <c r="J1023" s="568">
        <f>SUM(J1021:J1022)</f>
        <v>153</v>
      </c>
      <c r="K1023" s="568">
        <f>SUM(K1021:K1022)</f>
        <v>0</v>
      </c>
      <c r="L1023" s="608">
        <f t="shared" si="10"/>
        <v>153</v>
      </c>
      <c r="M1023" s="593">
        <v>0</v>
      </c>
    </row>
    <row r="1024" spans="1:13" s="752" customFormat="1" ht="15">
      <c r="A1024" s="1461">
        <v>1017</v>
      </c>
      <c r="B1024" s="535"/>
      <c r="C1024" s="545">
        <v>26</v>
      </c>
      <c r="D1024" s="1303" t="s">
        <v>728</v>
      </c>
      <c r="E1024" s="782" t="s">
        <v>799</v>
      </c>
      <c r="F1024" s="553">
        <f>SUM(H1024,L1027)</f>
        <v>337</v>
      </c>
      <c r="G1024" s="553">
        <v>0</v>
      </c>
      <c r="H1024" s="1304">
        <v>0</v>
      </c>
      <c r="I1024" s="607"/>
      <c r="J1024" s="538"/>
      <c r="K1024" s="538"/>
      <c r="L1024" s="609"/>
      <c r="M1024" s="591"/>
    </row>
    <row r="1025" spans="1:13" s="752" customFormat="1" ht="15">
      <c r="A1025" s="1461">
        <v>1018</v>
      </c>
      <c r="B1025" s="811"/>
      <c r="C1025" s="545"/>
      <c r="D1025" s="539" t="s">
        <v>957</v>
      </c>
      <c r="E1025" s="782"/>
      <c r="F1025" s="562"/>
      <c r="G1025" s="557"/>
      <c r="H1025" s="791"/>
      <c r="I1025" s="607"/>
      <c r="J1025" s="538">
        <v>337</v>
      </c>
      <c r="K1025" s="538"/>
      <c r="L1025" s="609">
        <f t="shared" si="10"/>
        <v>337</v>
      </c>
      <c r="M1025" s="586"/>
    </row>
    <row r="1026" spans="1:13" s="753" customFormat="1" ht="15">
      <c r="A1026" s="1461">
        <v>1019</v>
      </c>
      <c r="B1026" s="812"/>
      <c r="C1026" s="1464"/>
      <c r="D1026" s="541" t="s">
        <v>234</v>
      </c>
      <c r="E1026" s="805"/>
      <c r="F1026" s="806"/>
      <c r="G1026" s="567"/>
      <c r="H1026" s="745"/>
      <c r="I1026" s="610"/>
      <c r="J1026" s="555"/>
      <c r="K1026" s="555"/>
      <c r="L1026" s="611">
        <f t="shared" si="10"/>
        <v>0</v>
      </c>
      <c r="M1026" s="594"/>
    </row>
    <row r="1027" spans="1:13" s="754" customFormat="1" ht="15">
      <c r="A1027" s="1461">
        <v>1020</v>
      </c>
      <c r="B1027" s="577"/>
      <c r="C1027" s="1465"/>
      <c r="D1027" s="542" t="s">
        <v>1067</v>
      </c>
      <c r="E1027" s="576"/>
      <c r="F1027" s="568"/>
      <c r="G1027" s="568"/>
      <c r="H1027" s="746"/>
      <c r="I1027" s="615">
        <f>SUM(I1025:I1026)</f>
        <v>0</v>
      </c>
      <c r="J1027" s="568">
        <f>SUM(J1025:J1026)</f>
        <v>337</v>
      </c>
      <c r="K1027" s="568">
        <f>SUM(K1025:K1026)</f>
        <v>0</v>
      </c>
      <c r="L1027" s="608">
        <f t="shared" si="10"/>
        <v>337</v>
      </c>
      <c r="M1027" s="593">
        <v>0</v>
      </c>
    </row>
    <row r="1028" spans="1:13" s="752" customFormat="1" ht="15">
      <c r="A1028" s="1461">
        <v>1021</v>
      </c>
      <c r="B1028" s="535"/>
      <c r="C1028" s="545">
        <v>27</v>
      </c>
      <c r="D1028" s="1303" t="s">
        <v>726</v>
      </c>
      <c r="E1028" s="782" t="s">
        <v>799</v>
      </c>
      <c r="F1028" s="553">
        <f>SUM(H1028,L1031)</f>
        <v>1067</v>
      </c>
      <c r="G1028" s="553">
        <v>0</v>
      </c>
      <c r="H1028" s="1304">
        <v>0</v>
      </c>
      <c r="I1028" s="607"/>
      <c r="J1028" s="538"/>
      <c r="K1028" s="538"/>
      <c r="L1028" s="609"/>
      <c r="M1028" s="591"/>
    </row>
    <row r="1029" spans="1:13" s="752" customFormat="1" ht="15">
      <c r="A1029" s="1461">
        <v>1022</v>
      </c>
      <c r="B1029" s="811"/>
      <c r="C1029" s="545"/>
      <c r="D1029" s="539" t="s">
        <v>957</v>
      </c>
      <c r="E1029" s="782"/>
      <c r="F1029" s="562"/>
      <c r="G1029" s="557"/>
      <c r="H1029" s="791"/>
      <c r="I1029" s="607"/>
      <c r="J1029" s="538">
        <v>1067</v>
      </c>
      <c r="K1029" s="538"/>
      <c r="L1029" s="609">
        <f t="shared" si="10"/>
        <v>1067</v>
      </c>
      <c r="M1029" s="586"/>
    </row>
    <row r="1030" spans="1:13" s="753" customFormat="1" ht="15">
      <c r="A1030" s="1461">
        <v>1023</v>
      </c>
      <c r="B1030" s="812"/>
      <c r="C1030" s="1464"/>
      <c r="D1030" s="541" t="s">
        <v>234</v>
      </c>
      <c r="E1030" s="805"/>
      <c r="F1030" s="806"/>
      <c r="G1030" s="567"/>
      <c r="H1030" s="745"/>
      <c r="I1030" s="610"/>
      <c r="J1030" s="555"/>
      <c r="K1030" s="555"/>
      <c r="L1030" s="611">
        <f t="shared" si="10"/>
        <v>0</v>
      </c>
      <c r="M1030" s="594"/>
    </row>
    <row r="1031" spans="1:13" s="754" customFormat="1" ht="15">
      <c r="A1031" s="1461">
        <v>1024</v>
      </c>
      <c r="B1031" s="577"/>
      <c r="C1031" s="1465"/>
      <c r="D1031" s="542" t="s">
        <v>1067</v>
      </c>
      <c r="E1031" s="576"/>
      <c r="F1031" s="568"/>
      <c r="G1031" s="568"/>
      <c r="H1031" s="746"/>
      <c r="I1031" s="615">
        <f>SUM(I1029:I1030)</f>
        <v>0</v>
      </c>
      <c r="J1031" s="568">
        <f>SUM(J1029:J1030)</f>
        <v>1067</v>
      </c>
      <c r="K1031" s="568">
        <f>SUM(K1029:K1030)</f>
        <v>0</v>
      </c>
      <c r="L1031" s="608">
        <f t="shared" si="10"/>
        <v>1067</v>
      </c>
      <c r="M1031" s="593">
        <v>0</v>
      </c>
    </row>
    <row r="1032" spans="1:13" s="752" customFormat="1" ht="15">
      <c r="A1032" s="1461">
        <v>1025</v>
      </c>
      <c r="B1032" s="535"/>
      <c r="C1032" s="545">
        <v>28</v>
      </c>
      <c r="D1032" s="1303" t="s">
        <v>727</v>
      </c>
      <c r="E1032" s="782" t="s">
        <v>799</v>
      </c>
      <c r="F1032" s="553">
        <f>SUM(H1032,L1035)</f>
        <v>1048</v>
      </c>
      <c r="G1032" s="553">
        <v>0</v>
      </c>
      <c r="H1032" s="1304">
        <v>0</v>
      </c>
      <c r="I1032" s="607"/>
      <c r="J1032" s="538"/>
      <c r="K1032" s="538"/>
      <c r="L1032" s="609"/>
      <c r="M1032" s="591"/>
    </row>
    <row r="1033" spans="1:13" s="752" customFormat="1" ht="15">
      <c r="A1033" s="1461">
        <v>1026</v>
      </c>
      <c r="B1033" s="811"/>
      <c r="C1033" s="545"/>
      <c r="D1033" s="539" t="s">
        <v>957</v>
      </c>
      <c r="E1033" s="782"/>
      <c r="F1033" s="562"/>
      <c r="G1033" s="557"/>
      <c r="H1033" s="791"/>
      <c r="I1033" s="607"/>
      <c r="J1033" s="538">
        <v>1048</v>
      </c>
      <c r="K1033" s="538"/>
      <c r="L1033" s="609">
        <f t="shared" si="10"/>
        <v>1048</v>
      </c>
      <c r="M1033" s="586"/>
    </row>
    <row r="1034" spans="1:13" s="753" customFormat="1" ht="15">
      <c r="A1034" s="1461">
        <v>1027</v>
      </c>
      <c r="B1034" s="812"/>
      <c r="C1034" s="1464"/>
      <c r="D1034" s="541" t="s">
        <v>234</v>
      </c>
      <c r="E1034" s="805"/>
      <c r="F1034" s="806"/>
      <c r="G1034" s="567"/>
      <c r="H1034" s="745"/>
      <c r="I1034" s="610"/>
      <c r="J1034" s="555"/>
      <c r="K1034" s="555"/>
      <c r="L1034" s="611">
        <f t="shared" si="10"/>
        <v>0</v>
      </c>
      <c r="M1034" s="594"/>
    </row>
    <row r="1035" spans="1:14" s="754" customFormat="1" ht="15">
      <c r="A1035" s="1461">
        <v>1028</v>
      </c>
      <c r="B1035" s="577"/>
      <c r="C1035" s="1465"/>
      <c r="D1035" s="542" t="s">
        <v>1067</v>
      </c>
      <c r="E1035" s="576"/>
      <c r="F1035" s="568"/>
      <c r="G1035" s="568"/>
      <c r="H1035" s="746"/>
      <c r="I1035" s="615">
        <f>SUM(I1033:I1034)</f>
        <v>0</v>
      </c>
      <c r="J1035" s="568">
        <f>SUM(J1033:J1034)</f>
        <v>1048</v>
      </c>
      <c r="K1035" s="568">
        <f>SUM(K1033:K1034)</f>
        <v>0</v>
      </c>
      <c r="L1035" s="608">
        <f t="shared" si="10"/>
        <v>1048</v>
      </c>
      <c r="M1035" s="593">
        <v>0</v>
      </c>
      <c r="N1035" s="754">
        <f>J1034+J1030+J1026+J1022+J1018+J1014+J1000+J996+J992+J988+J976+J960+J956+J952+J943+J928</f>
        <v>0</v>
      </c>
    </row>
    <row r="1036" spans="1:13" s="752" customFormat="1" ht="15">
      <c r="A1036" s="1461">
        <v>1029</v>
      </c>
      <c r="B1036" s="535"/>
      <c r="C1036" s="545">
        <v>29</v>
      </c>
      <c r="D1036" s="1303" t="s">
        <v>1006</v>
      </c>
      <c r="E1036" s="782" t="s">
        <v>799</v>
      </c>
      <c r="F1036" s="553">
        <f>SUM(H1036,L1039)</f>
        <v>268</v>
      </c>
      <c r="G1036" s="553">
        <v>0</v>
      </c>
      <c r="H1036" s="1304">
        <v>0</v>
      </c>
      <c r="I1036" s="607"/>
      <c r="J1036" s="538"/>
      <c r="K1036" s="538"/>
      <c r="L1036" s="609"/>
      <c r="M1036" s="591"/>
    </row>
    <row r="1037" spans="1:13" s="752" customFormat="1" ht="15">
      <c r="A1037" s="1461">
        <v>1030</v>
      </c>
      <c r="B1037" s="811"/>
      <c r="C1037" s="545"/>
      <c r="D1037" s="539" t="s">
        <v>957</v>
      </c>
      <c r="E1037" s="782"/>
      <c r="F1037" s="562"/>
      <c r="G1037" s="557"/>
      <c r="H1037" s="791"/>
      <c r="I1037" s="607"/>
      <c r="J1037" s="538">
        <v>268</v>
      </c>
      <c r="K1037" s="538"/>
      <c r="L1037" s="609">
        <f t="shared" si="10"/>
        <v>268</v>
      </c>
      <c r="M1037" s="586"/>
    </row>
    <row r="1038" spans="1:13" s="753" customFormat="1" ht="15">
      <c r="A1038" s="1461">
        <v>1031</v>
      </c>
      <c r="B1038" s="812"/>
      <c r="C1038" s="1464"/>
      <c r="D1038" s="541" t="s">
        <v>405</v>
      </c>
      <c r="E1038" s="805"/>
      <c r="F1038" s="806"/>
      <c r="G1038" s="567"/>
      <c r="H1038" s="745"/>
      <c r="I1038" s="610"/>
      <c r="J1038" s="555"/>
      <c r="K1038" s="555"/>
      <c r="L1038" s="611">
        <f t="shared" si="10"/>
        <v>0</v>
      </c>
      <c r="M1038" s="594"/>
    </row>
    <row r="1039" spans="1:13" s="754" customFormat="1" ht="15">
      <c r="A1039" s="1461">
        <v>1032</v>
      </c>
      <c r="B1039" s="577"/>
      <c r="C1039" s="1465"/>
      <c r="D1039" s="542" t="s">
        <v>1067</v>
      </c>
      <c r="E1039" s="576"/>
      <c r="F1039" s="568"/>
      <c r="G1039" s="568"/>
      <c r="H1039" s="746"/>
      <c r="I1039" s="615">
        <f>SUM(I1037:I1038)</f>
        <v>0</v>
      </c>
      <c r="J1039" s="568">
        <f>SUM(J1037:J1038)</f>
        <v>268</v>
      </c>
      <c r="K1039" s="568">
        <f>SUM(K1037:K1038)</f>
        <v>0</v>
      </c>
      <c r="L1039" s="608">
        <f t="shared" si="10"/>
        <v>268</v>
      </c>
      <c r="M1039" s="593">
        <v>0</v>
      </c>
    </row>
    <row r="1040" spans="1:13" s="752" customFormat="1" ht="15">
      <c r="A1040" s="1461">
        <v>1033</v>
      </c>
      <c r="B1040" s="535"/>
      <c r="C1040" s="545">
        <v>30</v>
      </c>
      <c r="D1040" s="1303" t="s">
        <v>1004</v>
      </c>
      <c r="E1040" s="782" t="s">
        <v>799</v>
      </c>
      <c r="F1040" s="553">
        <f>SUM(H1040,L1043)</f>
        <v>180</v>
      </c>
      <c r="G1040" s="553">
        <v>0</v>
      </c>
      <c r="H1040" s="1304">
        <v>0</v>
      </c>
      <c r="I1040" s="607"/>
      <c r="J1040" s="538"/>
      <c r="K1040" s="538"/>
      <c r="L1040" s="609"/>
      <c r="M1040" s="591"/>
    </row>
    <row r="1041" spans="1:13" s="752" customFormat="1" ht="15">
      <c r="A1041" s="1461">
        <v>1034</v>
      </c>
      <c r="B1041" s="811"/>
      <c r="C1041" s="545"/>
      <c r="D1041" s="539" t="s">
        <v>957</v>
      </c>
      <c r="E1041" s="782"/>
      <c r="F1041" s="562"/>
      <c r="G1041" s="557"/>
      <c r="H1041" s="791"/>
      <c r="I1041" s="607"/>
      <c r="J1041" s="538">
        <v>180</v>
      </c>
      <c r="K1041" s="538"/>
      <c r="L1041" s="609">
        <f t="shared" si="10"/>
        <v>180</v>
      </c>
      <c r="M1041" s="586"/>
    </row>
    <row r="1042" spans="1:13" s="753" customFormat="1" ht="15">
      <c r="A1042" s="1461">
        <v>1035</v>
      </c>
      <c r="B1042" s="812"/>
      <c r="C1042" s="1464"/>
      <c r="D1042" s="541" t="s">
        <v>405</v>
      </c>
      <c r="E1042" s="805"/>
      <c r="F1042" s="806"/>
      <c r="G1042" s="567"/>
      <c r="H1042" s="745"/>
      <c r="I1042" s="610"/>
      <c r="J1042" s="555"/>
      <c r="K1042" s="555"/>
      <c r="L1042" s="611">
        <f t="shared" si="10"/>
        <v>0</v>
      </c>
      <c r="M1042" s="594"/>
    </row>
    <row r="1043" spans="1:13" s="754" customFormat="1" ht="15">
      <c r="A1043" s="1461">
        <v>1036</v>
      </c>
      <c r="B1043" s="577"/>
      <c r="C1043" s="1465"/>
      <c r="D1043" s="542" t="s">
        <v>1067</v>
      </c>
      <c r="E1043" s="576"/>
      <c r="F1043" s="568"/>
      <c r="G1043" s="568"/>
      <c r="H1043" s="746"/>
      <c r="I1043" s="615">
        <f>SUM(I1041:I1042)</f>
        <v>0</v>
      </c>
      <c r="J1043" s="568">
        <f>SUM(J1041:J1042)</f>
        <v>180</v>
      </c>
      <c r="K1043" s="568">
        <f>SUM(K1041:K1042)</f>
        <v>0</v>
      </c>
      <c r="L1043" s="608">
        <f t="shared" si="10"/>
        <v>180</v>
      </c>
      <c r="M1043" s="593">
        <v>0</v>
      </c>
    </row>
    <row r="1044" spans="1:13" s="752" customFormat="1" ht="15">
      <c r="A1044" s="1461">
        <v>1037</v>
      </c>
      <c r="B1044" s="535"/>
      <c r="C1044" s="545">
        <v>31</v>
      </c>
      <c r="D1044" s="1303" t="s">
        <v>1005</v>
      </c>
      <c r="E1044" s="782" t="s">
        <v>799</v>
      </c>
      <c r="F1044" s="553">
        <f>SUM(H1044,L1047)</f>
        <v>100</v>
      </c>
      <c r="G1044" s="553">
        <v>0</v>
      </c>
      <c r="H1044" s="1304">
        <v>0</v>
      </c>
      <c r="I1044" s="607"/>
      <c r="J1044" s="538"/>
      <c r="K1044" s="538"/>
      <c r="L1044" s="609"/>
      <c r="M1044" s="591"/>
    </row>
    <row r="1045" spans="1:13" s="752" customFormat="1" ht="15">
      <c r="A1045" s="1461">
        <v>1038</v>
      </c>
      <c r="B1045" s="811"/>
      <c r="C1045" s="545"/>
      <c r="D1045" s="539" t="s">
        <v>957</v>
      </c>
      <c r="E1045" s="782"/>
      <c r="F1045" s="562"/>
      <c r="G1045" s="557"/>
      <c r="H1045" s="791"/>
      <c r="I1045" s="607"/>
      <c r="J1045" s="538">
        <v>100</v>
      </c>
      <c r="K1045" s="538"/>
      <c r="L1045" s="609">
        <f t="shared" si="10"/>
        <v>100</v>
      </c>
      <c r="M1045" s="586"/>
    </row>
    <row r="1046" spans="1:13" s="753" customFormat="1" ht="15">
      <c r="A1046" s="1461">
        <v>1039</v>
      </c>
      <c r="B1046" s="812"/>
      <c r="C1046" s="1464"/>
      <c r="D1046" s="541" t="s">
        <v>969</v>
      </c>
      <c r="E1046" s="805"/>
      <c r="F1046" s="806"/>
      <c r="G1046" s="567"/>
      <c r="H1046" s="745"/>
      <c r="I1046" s="610"/>
      <c r="J1046" s="555"/>
      <c r="K1046" s="555"/>
      <c r="L1046" s="611">
        <f t="shared" si="10"/>
        <v>0</v>
      </c>
      <c r="M1046" s="594"/>
    </row>
    <row r="1047" spans="1:13" s="754" customFormat="1" ht="15">
      <c r="A1047" s="1461">
        <v>1040</v>
      </c>
      <c r="B1047" s="577"/>
      <c r="C1047" s="1465"/>
      <c r="D1047" s="542" t="s">
        <v>1067</v>
      </c>
      <c r="E1047" s="576"/>
      <c r="F1047" s="568"/>
      <c r="G1047" s="568"/>
      <c r="H1047" s="746"/>
      <c r="I1047" s="615">
        <f>SUM(I1045:I1046)</f>
        <v>0</v>
      </c>
      <c r="J1047" s="568">
        <f>SUM(J1045:J1046)</f>
        <v>100</v>
      </c>
      <c r="K1047" s="568">
        <f>SUM(K1045:K1046)</f>
        <v>0</v>
      </c>
      <c r="L1047" s="608">
        <f t="shared" si="10"/>
        <v>100</v>
      </c>
      <c r="M1047" s="593">
        <v>0</v>
      </c>
    </row>
    <row r="1048" spans="1:13" s="752" customFormat="1" ht="15">
      <c r="A1048" s="1461">
        <v>1041</v>
      </c>
      <c r="B1048" s="535"/>
      <c r="C1048" s="545">
        <v>32</v>
      </c>
      <c r="D1048" s="1303" t="s">
        <v>1007</v>
      </c>
      <c r="E1048" s="782" t="s">
        <v>799</v>
      </c>
      <c r="F1048" s="553">
        <f>SUM(H1048,L1051)</f>
        <v>120</v>
      </c>
      <c r="G1048" s="553">
        <v>0</v>
      </c>
      <c r="H1048" s="1304">
        <v>0</v>
      </c>
      <c r="I1048" s="607"/>
      <c r="J1048" s="538"/>
      <c r="K1048" s="538"/>
      <c r="L1048" s="609"/>
      <c r="M1048" s="591"/>
    </row>
    <row r="1049" spans="1:13" s="752" customFormat="1" ht="15">
      <c r="A1049" s="1461">
        <v>1042</v>
      </c>
      <c r="B1049" s="811"/>
      <c r="C1049" s="545"/>
      <c r="D1049" s="539" t="s">
        <v>957</v>
      </c>
      <c r="E1049" s="782"/>
      <c r="F1049" s="562"/>
      <c r="G1049" s="557"/>
      <c r="H1049" s="791"/>
      <c r="I1049" s="607"/>
      <c r="J1049" s="538">
        <v>120</v>
      </c>
      <c r="K1049" s="538"/>
      <c r="L1049" s="609">
        <f t="shared" si="10"/>
        <v>120</v>
      </c>
      <c r="M1049" s="586"/>
    </row>
    <row r="1050" spans="1:13" s="753" customFormat="1" ht="15">
      <c r="A1050" s="1461">
        <v>1043</v>
      </c>
      <c r="B1050" s="812"/>
      <c r="C1050" s="1464"/>
      <c r="D1050" s="541" t="s">
        <v>405</v>
      </c>
      <c r="E1050" s="805"/>
      <c r="F1050" s="806"/>
      <c r="G1050" s="567"/>
      <c r="H1050" s="745"/>
      <c r="I1050" s="610"/>
      <c r="J1050" s="555"/>
      <c r="K1050" s="555"/>
      <c r="L1050" s="611">
        <f t="shared" si="10"/>
        <v>0</v>
      </c>
      <c r="M1050" s="594"/>
    </row>
    <row r="1051" spans="1:13" s="754" customFormat="1" ht="15">
      <c r="A1051" s="1461">
        <v>1044</v>
      </c>
      <c r="B1051" s="577"/>
      <c r="C1051" s="1465"/>
      <c r="D1051" s="542" t="s">
        <v>1067</v>
      </c>
      <c r="E1051" s="576"/>
      <c r="F1051" s="568"/>
      <c r="G1051" s="568"/>
      <c r="H1051" s="746"/>
      <c r="I1051" s="615">
        <f>SUM(I1049:I1050)</f>
        <v>0</v>
      </c>
      <c r="J1051" s="568">
        <f>SUM(J1049:J1050)</f>
        <v>120</v>
      </c>
      <c r="K1051" s="568">
        <f>SUM(K1049:K1050)</f>
        <v>0</v>
      </c>
      <c r="L1051" s="608">
        <f t="shared" si="10"/>
        <v>120</v>
      </c>
      <c r="M1051" s="593">
        <v>0</v>
      </c>
    </row>
    <row r="1052" spans="1:13" s="752" customFormat="1" ht="15">
      <c r="A1052" s="1461">
        <v>1045</v>
      </c>
      <c r="B1052" s="535"/>
      <c r="C1052" s="545">
        <v>33</v>
      </c>
      <c r="D1052" s="1303" t="s">
        <v>1010</v>
      </c>
      <c r="E1052" s="782" t="s">
        <v>799</v>
      </c>
      <c r="F1052" s="553">
        <f>SUM(H1052,L1055)</f>
        <v>92</v>
      </c>
      <c r="G1052" s="553">
        <v>0</v>
      </c>
      <c r="H1052" s="1304">
        <v>0</v>
      </c>
      <c r="I1052" s="607"/>
      <c r="J1052" s="538"/>
      <c r="K1052" s="538"/>
      <c r="L1052" s="609"/>
      <c r="M1052" s="591"/>
    </row>
    <row r="1053" spans="1:13" s="752" customFormat="1" ht="15">
      <c r="A1053" s="1461">
        <v>1046</v>
      </c>
      <c r="B1053" s="811"/>
      <c r="C1053" s="545"/>
      <c r="D1053" s="539" t="s">
        <v>957</v>
      </c>
      <c r="E1053" s="782"/>
      <c r="F1053" s="562"/>
      <c r="G1053" s="557"/>
      <c r="H1053" s="791"/>
      <c r="I1053" s="607"/>
      <c r="J1053" s="538">
        <v>92</v>
      </c>
      <c r="K1053" s="538"/>
      <c r="L1053" s="609">
        <f t="shared" si="10"/>
        <v>92</v>
      </c>
      <c r="M1053" s="586"/>
    </row>
    <row r="1054" spans="1:13" s="753" customFormat="1" ht="15">
      <c r="A1054" s="1461">
        <v>1047</v>
      </c>
      <c r="B1054" s="812"/>
      <c r="C1054" s="1464"/>
      <c r="D1054" s="541" t="s">
        <v>405</v>
      </c>
      <c r="E1054" s="805"/>
      <c r="F1054" s="806"/>
      <c r="G1054" s="567"/>
      <c r="H1054" s="745"/>
      <c r="I1054" s="610"/>
      <c r="J1054" s="555"/>
      <c r="K1054" s="555"/>
      <c r="L1054" s="611">
        <f t="shared" si="10"/>
        <v>0</v>
      </c>
      <c r="M1054" s="594"/>
    </row>
    <row r="1055" spans="1:13" s="754" customFormat="1" ht="15">
      <c r="A1055" s="1461">
        <v>1048</v>
      </c>
      <c r="B1055" s="577"/>
      <c r="C1055" s="1465"/>
      <c r="D1055" s="542" t="s">
        <v>1011</v>
      </c>
      <c r="E1055" s="576"/>
      <c r="F1055" s="568"/>
      <c r="G1055" s="568"/>
      <c r="H1055" s="746"/>
      <c r="I1055" s="615">
        <f>SUM(I1053:I1054)</f>
        <v>0</v>
      </c>
      <c r="J1055" s="568">
        <f>SUM(J1053:J1054)</f>
        <v>92</v>
      </c>
      <c r="K1055" s="568">
        <f>SUM(K1053:K1054)</f>
        <v>0</v>
      </c>
      <c r="L1055" s="608">
        <f t="shared" si="10"/>
        <v>92</v>
      </c>
      <c r="M1055" s="593">
        <v>0</v>
      </c>
    </row>
    <row r="1056" spans="1:13" s="752" customFormat="1" ht="15">
      <c r="A1056" s="1461">
        <v>1049</v>
      </c>
      <c r="B1056" s="535">
        <v>6</v>
      </c>
      <c r="C1056" s="545"/>
      <c r="D1056" s="536" t="s">
        <v>426</v>
      </c>
      <c r="E1056" s="782"/>
      <c r="F1056" s="564"/>
      <c r="G1056" s="564"/>
      <c r="H1056" s="912"/>
      <c r="I1056" s="607"/>
      <c r="J1056" s="538"/>
      <c r="K1056" s="538"/>
      <c r="L1056" s="609">
        <f t="shared" si="10"/>
        <v>0</v>
      </c>
      <c r="M1056" s="589"/>
    </row>
    <row r="1057" spans="1:13" ht="15">
      <c r="A1057" s="1461">
        <v>1050</v>
      </c>
      <c r="B1057" s="811"/>
      <c r="C1057" s="545">
        <v>1</v>
      </c>
      <c r="D1057" s="539" t="s">
        <v>312</v>
      </c>
      <c r="E1057" s="782" t="s">
        <v>799</v>
      </c>
      <c r="F1057" s="553">
        <f>SUM(H1057,L1061)</f>
        <v>74</v>
      </c>
      <c r="G1057" s="562">
        <v>0</v>
      </c>
      <c r="H1057" s="914">
        <v>0</v>
      </c>
      <c r="I1057" s="607"/>
      <c r="J1057" s="538"/>
      <c r="K1057" s="538"/>
      <c r="L1057" s="609">
        <f t="shared" si="10"/>
        <v>0</v>
      </c>
      <c r="M1057" s="591"/>
    </row>
    <row r="1058" spans="1:13" ht="15">
      <c r="A1058" s="1461">
        <v>1051</v>
      </c>
      <c r="B1058" s="811"/>
      <c r="C1058" s="545"/>
      <c r="D1058" s="539" t="s">
        <v>403</v>
      </c>
      <c r="E1058" s="782"/>
      <c r="F1058" s="567"/>
      <c r="G1058" s="562"/>
      <c r="H1058" s="914"/>
      <c r="I1058" s="607"/>
      <c r="J1058" s="538">
        <v>74</v>
      </c>
      <c r="K1058" s="538"/>
      <c r="L1058" s="609">
        <f>SUM(I1058:K1058)</f>
        <v>74</v>
      </c>
      <c r="M1058" s="591"/>
    </row>
    <row r="1059" spans="1:13" ht="15">
      <c r="A1059" s="1461">
        <v>1052</v>
      </c>
      <c r="B1059" s="811"/>
      <c r="C1059" s="545"/>
      <c r="D1059" s="539" t="s">
        <v>957</v>
      </c>
      <c r="E1059" s="782"/>
      <c r="F1059" s="567"/>
      <c r="G1059" s="562"/>
      <c r="H1059" s="914"/>
      <c r="I1059" s="607"/>
      <c r="J1059" s="538">
        <v>74</v>
      </c>
      <c r="K1059" s="538"/>
      <c r="L1059" s="609">
        <f>SUM(I1059:K1059)</f>
        <v>74</v>
      </c>
      <c r="M1059" s="591"/>
    </row>
    <row r="1060" spans="1:13" s="753" customFormat="1" ht="15">
      <c r="A1060" s="1461">
        <v>1053</v>
      </c>
      <c r="B1060" s="812"/>
      <c r="C1060" s="1464"/>
      <c r="D1060" s="541" t="s">
        <v>405</v>
      </c>
      <c r="E1060" s="576"/>
      <c r="F1060" s="568"/>
      <c r="G1060" s="567"/>
      <c r="H1060" s="915"/>
      <c r="I1060" s="610"/>
      <c r="J1060" s="555"/>
      <c r="K1060" s="555"/>
      <c r="L1060" s="611">
        <f>SUM(I1060:K1060)</f>
        <v>0</v>
      </c>
      <c r="M1060" s="594"/>
    </row>
    <row r="1061" spans="1:13" s="754" customFormat="1" ht="15">
      <c r="A1061" s="1461">
        <v>1054</v>
      </c>
      <c r="B1061" s="577"/>
      <c r="C1061" s="1465"/>
      <c r="D1061" s="542" t="s">
        <v>1067</v>
      </c>
      <c r="E1061" s="782"/>
      <c r="F1061" s="562"/>
      <c r="G1061" s="568"/>
      <c r="H1061" s="911"/>
      <c r="I1061" s="615">
        <f>SUM(I1059:I1060)</f>
        <v>0</v>
      </c>
      <c r="J1061" s="568">
        <f>SUM(J1059:J1060)</f>
        <v>74</v>
      </c>
      <c r="K1061" s="568">
        <f>SUM(K1059:K1060)</f>
        <v>0</v>
      </c>
      <c r="L1061" s="608">
        <f>SUM(I1061:K1061)</f>
        <v>74</v>
      </c>
      <c r="M1061" s="593">
        <f>SUM(M1058:M1060)</f>
        <v>0</v>
      </c>
    </row>
    <row r="1062" spans="1:13" ht="15">
      <c r="A1062" s="1461">
        <v>1055</v>
      </c>
      <c r="B1062" s="811"/>
      <c r="C1062" s="545">
        <v>2</v>
      </c>
      <c r="D1062" s="539" t="s">
        <v>322</v>
      </c>
      <c r="E1062" s="782" t="s">
        <v>799</v>
      </c>
      <c r="F1062" s="553">
        <f>SUM(H1062,L1066)</f>
        <v>29</v>
      </c>
      <c r="G1062" s="562">
        <v>0</v>
      </c>
      <c r="H1062" s="914">
        <v>0</v>
      </c>
      <c r="I1062" s="607"/>
      <c r="J1062" s="538"/>
      <c r="K1062" s="538"/>
      <c r="L1062" s="609"/>
      <c r="M1062" s="591"/>
    </row>
    <row r="1063" spans="1:13" ht="15">
      <c r="A1063" s="1461">
        <v>1056</v>
      </c>
      <c r="B1063" s="811"/>
      <c r="C1063" s="545"/>
      <c r="D1063" s="539" t="s">
        <v>403</v>
      </c>
      <c r="E1063" s="782"/>
      <c r="F1063" s="567"/>
      <c r="G1063" s="562"/>
      <c r="H1063" s="914"/>
      <c r="I1063" s="607"/>
      <c r="J1063" s="538">
        <v>29</v>
      </c>
      <c r="K1063" s="538"/>
      <c r="L1063" s="609">
        <f>SUM(I1063:K1063)</f>
        <v>29</v>
      </c>
      <c r="M1063" s="591"/>
    </row>
    <row r="1064" spans="1:13" ht="15">
      <c r="A1064" s="1461">
        <v>1057</v>
      </c>
      <c r="B1064" s="811"/>
      <c r="C1064" s="545"/>
      <c r="D1064" s="539" t="s">
        <v>957</v>
      </c>
      <c r="E1064" s="782"/>
      <c r="F1064" s="567"/>
      <c r="G1064" s="562"/>
      <c r="H1064" s="914"/>
      <c r="I1064" s="607"/>
      <c r="J1064" s="538">
        <v>29</v>
      </c>
      <c r="K1064" s="538"/>
      <c r="L1064" s="609">
        <f>SUM(I1064:K1064)</f>
        <v>29</v>
      </c>
      <c r="M1064" s="591"/>
    </row>
    <row r="1065" spans="1:13" s="753" customFormat="1" ht="15">
      <c r="A1065" s="1461">
        <v>1058</v>
      </c>
      <c r="B1065" s="812"/>
      <c r="C1065" s="1464"/>
      <c r="D1065" s="541" t="s">
        <v>405</v>
      </c>
      <c r="E1065" s="576"/>
      <c r="F1065" s="568"/>
      <c r="G1065" s="567"/>
      <c r="H1065" s="915"/>
      <c r="I1065" s="610"/>
      <c r="J1065" s="555"/>
      <c r="K1065" s="555"/>
      <c r="L1065" s="611">
        <f>SUM(I1065:K1065)</f>
        <v>0</v>
      </c>
      <c r="M1065" s="594"/>
    </row>
    <row r="1066" spans="1:13" s="754" customFormat="1" ht="15">
      <c r="A1066" s="1461">
        <v>1059</v>
      </c>
      <c r="B1066" s="577"/>
      <c r="C1066" s="1465"/>
      <c r="D1066" s="542" t="s">
        <v>1067</v>
      </c>
      <c r="E1066" s="782"/>
      <c r="F1066" s="562"/>
      <c r="G1066" s="568"/>
      <c r="H1066" s="911"/>
      <c r="I1066" s="615">
        <f>SUM(I1064:I1065)</f>
        <v>0</v>
      </c>
      <c r="J1066" s="568">
        <f>SUM(J1064:J1065)</f>
        <v>29</v>
      </c>
      <c r="K1066" s="568">
        <f>SUM(K1064:K1065)</f>
        <v>0</v>
      </c>
      <c r="L1066" s="608">
        <f>SUM(I1066:K1066)</f>
        <v>29</v>
      </c>
      <c r="M1066" s="593">
        <f>SUM(M1063:M1065)</f>
        <v>0</v>
      </c>
    </row>
    <row r="1067" spans="1:13" ht="15">
      <c r="A1067" s="1461">
        <v>1060</v>
      </c>
      <c r="B1067" s="811"/>
      <c r="C1067" s="545">
        <v>3</v>
      </c>
      <c r="D1067" s="539" t="s">
        <v>565</v>
      </c>
      <c r="E1067" s="782" t="s">
        <v>799</v>
      </c>
      <c r="F1067" s="553">
        <f>SUM(H1067,L1071)</f>
        <v>75</v>
      </c>
      <c r="G1067" s="562">
        <v>0</v>
      </c>
      <c r="H1067" s="914">
        <v>0</v>
      </c>
      <c r="I1067" s="607"/>
      <c r="J1067" s="538"/>
      <c r="K1067" s="538"/>
      <c r="L1067" s="609"/>
      <c r="M1067" s="591"/>
    </row>
    <row r="1068" spans="1:13" ht="15">
      <c r="A1068" s="1461">
        <v>1061</v>
      </c>
      <c r="B1068" s="811"/>
      <c r="C1068" s="545"/>
      <c r="D1068" s="539" t="s">
        <v>403</v>
      </c>
      <c r="E1068" s="788"/>
      <c r="F1068" s="796"/>
      <c r="G1068" s="562"/>
      <c r="H1068" s="914"/>
      <c r="I1068" s="607"/>
      <c r="J1068" s="538">
        <v>75</v>
      </c>
      <c r="K1068" s="538"/>
      <c r="L1068" s="609">
        <f>SUM(I1068:K1068)</f>
        <v>75</v>
      </c>
      <c r="M1068" s="591"/>
    </row>
    <row r="1069" spans="1:13" ht="15">
      <c r="A1069" s="1461">
        <v>1062</v>
      </c>
      <c r="B1069" s="811"/>
      <c r="C1069" s="545"/>
      <c r="D1069" s="539" t="s">
        <v>957</v>
      </c>
      <c r="E1069" s="788"/>
      <c r="F1069" s="796"/>
      <c r="G1069" s="562"/>
      <c r="H1069" s="914"/>
      <c r="I1069" s="607"/>
      <c r="J1069" s="538">
        <v>75</v>
      </c>
      <c r="K1069" s="538"/>
      <c r="L1069" s="609">
        <f>SUM(I1069:K1069)</f>
        <v>75</v>
      </c>
      <c r="M1069" s="591"/>
    </row>
    <row r="1070" spans="1:13" s="753" customFormat="1" ht="15">
      <c r="A1070" s="1461">
        <v>1063</v>
      </c>
      <c r="B1070" s="812"/>
      <c r="C1070" s="1464"/>
      <c r="D1070" s="541" t="s">
        <v>405</v>
      </c>
      <c r="E1070" s="782"/>
      <c r="F1070" s="567"/>
      <c r="G1070" s="567"/>
      <c r="H1070" s="915"/>
      <c r="I1070" s="610"/>
      <c r="J1070" s="555"/>
      <c r="K1070" s="555"/>
      <c r="L1070" s="611">
        <f>SUM(I1070:K1070)</f>
        <v>0</v>
      </c>
      <c r="M1070" s="594"/>
    </row>
    <row r="1071" spans="1:13" s="754" customFormat="1" ht="15">
      <c r="A1071" s="1461">
        <v>1064</v>
      </c>
      <c r="B1071" s="577"/>
      <c r="C1071" s="1465"/>
      <c r="D1071" s="542" t="s">
        <v>1067</v>
      </c>
      <c r="E1071" s="576"/>
      <c r="F1071" s="568"/>
      <c r="G1071" s="568"/>
      <c r="H1071" s="911"/>
      <c r="I1071" s="615">
        <f>SUM(I1069:I1070)</f>
        <v>0</v>
      </c>
      <c r="J1071" s="568">
        <f>SUM(J1069:J1070)</f>
        <v>75</v>
      </c>
      <c r="K1071" s="568">
        <f>SUM(K1069:K1070)</f>
        <v>0</v>
      </c>
      <c r="L1071" s="608">
        <f>SUM(I1071:K1071)</f>
        <v>75</v>
      </c>
      <c r="M1071" s="593">
        <f>SUM(M1068:M1070)</f>
        <v>0</v>
      </c>
    </row>
    <row r="1072" spans="1:13" ht="15">
      <c r="A1072" s="1461">
        <v>1065</v>
      </c>
      <c r="B1072" s="811"/>
      <c r="C1072" s="545">
        <v>4</v>
      </c>
      <c r="D1072" s="539" t="s">
        <v>759</v>
      </c>
      <c r="E1072" s="782" t="s">
        <v>799</v>
      </c>
      <c r="F1072" s="553">
        <f>SUM(H1072,L1075)</f>
        <v>140</v>
      </c>
      <c r="G1072" s="562">
        <v>0</v>
      </c>
      <c r="H1072" s="914">
        <v>0</v>
      </c>
      <c r="I1072" s="607"/>
      <c r="J1072" s="538"/>
      <c r="K1072" s="538"/>
      <c r="L1072" s="609"/>
      <c r="M1072" s="591"/>
    </row>
    <row r="1073" spans="1:13" ht="15">
      <c r="A1073" s="1461">
        <v>1066</v>
      </c>
      <c r="B1073" s="811"/>
      <c r="C1073" s="545"/>
      <c r="D1073" s="539" t="s">
        <v>957</v>
      </c>
      <c r="E1073" s="782"/>
      <c r="F1073" s="562"/>
      <c r="G1073" s="562"/>
      <c r="H1073" s="914"/>
      <c r="I1073" s="607"/>
      <c r="J1073" s="538">
        <v>140</v>
      </c>
      <c r="K1073" s="538"/>
      <c r="L1073" s="609">
        <f>SUM(I1073:K1073)</f>
        <v>140</v>
      </c>
      <c r="M1073" s="591"/>
    </row>
    <row r="1074" spans="1:13" s="753" customFormat="1" ht="15">
      <c r="A1074" s="1461">
        <v>1067</v>
      </c>
      <c r="B1074" s="812"/>
      <c r="C1074" s="1464"/>
      <c r="D1074" s="541" t="s">
        <v>405</v>
      </c>
      <c r="E1074" s="782"/>
      <c r="F1074" s="567"/>
      <c r="G1074" s="567"/>
      <c r="H1074" s="915"/>
      <c r="I1074" s="610"/>
      <c r="J1074" s="555"/>
      <c r="K1074" s="555"/>
      <c r="L1074" s="611">
        <f>SUM(I1074:K1074)</f>
        <v>0</v>
      </c>
      <c r="M1074" s="594"/>
    </row>
    <row r="1075" spans="1:13" s="754" customFormat="1" ht="15">
      <c r="A1075" s="1461">
        <v>1068</v>
      </c>
      <c r="B1075" s="577"/>
      <c r="C1075" s="1465"/>
      <c r="D1075" s="542" t="s">
        <v>1067</v>
      </c>
      <c r="E1075" s="780"/>
      <c r="F1075" s="568"/>
      <c r="G1075" s="568"/>
      <c r="H1075" s="911"/>
      <c r="I1075" s="615">
        <f>SUM(I1073:I1074)</f>
        <v>0</v>
      </c>
      <c r="J1075" s="568">
        <f>SUM(J1073:J1074)</f>
        <v>140</v>
      </c>
      <c r="K1075" s="568">
        <f>SUM(K1073:K1074)</f>
        <v>0</v>
      </c>
      <c r="L1075" s="608">
        <f>SUM(I1075:K1075)</f>
        <v>140</v>
      </c>
      <c r="M1075" s="593">
        <f>SUM(M1074)</f>
        <v>0</v>
      </c>
    </row>
    <row r="1076" spans="1:13" ht="15">
      <c r="A1076" s="1461">
        <v>1069</v>
      </c>
      <c r="B1076" s="811"/>
      <c r="C1076" s="545">
        <v>5</v>
      </c>
      <c r="D1076" s="539" t="s">
        <v>693</v>
      </c>
      <c r="E1076" s="782" t="s">
        <v>799</v>
      </c>
      <c r="F1076" s="553">
        <f>SUM(H1076,L1079)</f>
        <v>85</v>
      </c>
      <c r="G1076" s="562">
        <v>0</v>
      </c>
      <c r="H1076" s="914">
        <v>0</v>
      </c>
      <c r="I1076" s="607"/>
      <c r="J1076" s="538"/>
      <c r="K1076" s="538"/>
      <c r="L1076" s="609"/>
      <c r="M1076" s="591"/>
    </row>
    <row r="1077" spans="1:13" s="752" customFormat="1" ht="15">
      <c r="A1077" s="1461">
        <v>1070</v>
      </c>
      <c r="B1077" s="811"/>
      <c r="C1077" s="545"/>
      <c r="D1077" s="539" t="s">
        <v>957</v>
      </c>
      <c r="E1077" s="782"/>
      <c r="F1077" s="562"/>
      <c r="G1077" s="557"/>
      <c r="H1077" s="791"/>
      <c r="I1077" s="607"/>
      <c r="J1077" s="538">
        <v>85</v>
      </c>
      <c r="K1077" s="538"/>
      <c r="L1077" s="609">
        <f aca="true" t="shared" si="11" ref="L1077:L1131">SUM(I1077:K1077)</f>
        <v>85</v>
      </c>
      <c r="M1077" s="586"/>
    </row>
    <row r="1078" spans="1:14" s="753" customFormat="1" ht="15">
      <c r="A1078" s="1461">
        <v>1071</v>
      </c>
      <c r="B1078" s="812"/>
      <c r="C1078" s="1464"/>
      <c r="D1078" s="541" t="s">
        <v>234</v>
      </c>
      <c r="E1078" s="805"/>
      <c r="F1078" s="806"/>
      <c r="G1078" s="567"/>
      <c r="H1078" s="745"/>
      <c r="I1078" s="610"/>
      <c r="J1078" s="555"/>
      <c r="K1078" s="555"/>
      <c r="L1078" s="611">
        <f t="shared" si="11"/>
        <v>0</v>
      </c>
      <c r="M1078" s="594"/>
      <c r="N1078" s="753">
        <f>L1078+L1082+L1086+L1090+L1094+L1098+L1102</f>
        <v>0</v>
      </c>
    </row>
    <row r="1079" spans="1:13" s="754" customFormat="1" ht="15">
      <c r="A1079" s="1461">
        <v>1072</v>
      </c>
      <c r="B1079" s="577"/>
      <c r="C1079" s="1465"/>
      <c r="D1079" s="542" t="s">
        <v>1067</v>
      </c>
      <c r="E1079" s="576"/>
      <c r="F1079" s="568"/>
      <c r="G1079" s="568"/>
      <c r="H1079" s="746"/>
      <c r="I1079" s="615">
        <f>SUM(I1077:I1078)</f>
        <v>0</v>
      </c>
      <c r="J1079" s="568">
        <f>SUM(J1077:J1078)</f>
        <v>85</v>
      </c>
      <c r="K1079" s="568">
        <f>SUM(K1077:K1078)</f>
        <v>0</v>
      </c>
      <c r="L1079" s="608">
        <f t="shared" si="11"/>
        <v>85</v>
      </c>
      <c r="M1079" s="593">
        <v>0</v>
      </c>
    </row>
    <row r="1080" spans="1:13" ht="15">
      <c r="A1080" s="1461">
        <v>1073</v>
      </c>
      <c r="B1080" s="811"/>
      <c r="C1080" s="545">
        <v>6</v>
      </c>
      <c r="D1080" s="539" t="s">
        <v>694</v>
      </c>
      <c r="E1080" s="782" t="s">
        <v>799</v>
      </c>
      <c r="F1080" s="553">
        <f>SUM(H1080,L1083)</f>
        <v>10</v>
      </c>
      <c r="G1080" s="562">
        <v>0</v>
      </c>
      <c r="H1080" s="914">
        <v>0</v>
      </c>
      <c r="I1080" s="607"/>
      <c r="J1080" s="538"/>
      <c r="K1080" s="538"/>
      <c r="L1080" s="609"/>
      <c r="M1080" s="591"/>
    </row>
    <row r="1081" spans="1:13" s="752" customFormat="1" ht="15">
      <c r="A1081" s="1461">
        <v>1074</v>
      </c>
      <c r="B1081" s="811"/>
      <c r="C1081" s="545"/>
      <c r="D1081" s="539" t="s">
        <v>957</v>
      </c>
      <c r="E1081" s="782"/>
      <c r="F1081" s="562"/>
      <c r="G1081" s="557"/>
      <c r="H1081" s="791"/>
      <c r="I1081" s="607"/>
      <c r="J1081" s="538">
        <v>10</v>
      </c>
      <c r="K1081" s="538"/>
      <c r="L1081" s="609">
        <f t="shared" si="11"/>
        <v>10</v>
      </c>
      <c r="M1081" s="586"/>
    </row>
    <row r="1082" spans="1:13" s="753" customFormat="1" ht="15">
      <c r="A1082" s="1461">
        <v>1075</v>
      </c>
      <c r="B1082" s="812"/>
      <c r="C1082" s="1464"/>
      <c r="D1082" s="541" t="s">
        <v>234</v>
      </c>
      <c r="E1082" s="805"/>
      <c r="F1082" s="806"/>
      <c r="G1082" s="567"/>
      <c r="H1082" s="745"/>
      <c r="I1082" s="610"/>
      <c r="J1082" s="555"/>
      <c r="K1082" s="555"/>
      <c r="L1082" s="611">
        <f t="shared" si="11"/>
        <v>0</v>
      </c>
      <c r="M1082" s="594"/>
    </row>
    <row r="1083" spans="1:13" s="754" customFormat="1" ht="15">
      <c r="A1083" s="1461">
        <v>1076</v>
      </c>
      <c r="B1083" s="577"/>
      <c r="C1083" s="1465"/>
      <c r="D1083" s="542" t="s">
        <v>1067</v>
      </c>
      <c r="E1083" s="576"/>
      <c r="F1083" s="568"/>
      <c r="G1083" s="568"/>
      <c r="H1083" s="746"/>
      <c r="I1083" s="615">
        <f>SUM(I1081:I1082)</f>
        <v>0</v>
      </c>
      <c r="J1083" s="568">
        <f>SUM(J1081:J1082)</f>
        <v>10</v>
      </c>
      <c r="K1083" s="568">
        <f>SUM(K1081:K1082)</f>
        <v>0</v>
      </c>
      <c r="L1083" s="608">
        <f t="shared" si="11"/>
        <v>10</v>
      </c>
      <c r="M1083" s="593">
        <v>0</v>
      </c>
    </row>
    <row r="1084" spans="1:13" ht="15">
      <c r="A1084" s="1461">
        <v>1077</v>
      </c>
      <c r="B1084" s="811"/>
      <c r="C1084" s="545">
        <v>7</v>
      </c>
      <c r="D1084" s="539" t="s">
        <v>695</v>
      </c>
      <c r="E1084" s="782" t="s">
        <v>799</v>
      </c>
      <c r="F1084" s="553">
        <f>SUM(H1084,L1087)</f>
        <v>42</v>
      </c>
      <c r="G1084" s="562">
        <v>0</v>
      </c>
      <c r="H1084" s="914">
        <v>0</v>
      </c>
      <c r="I1084" s="607"/>
      <c r="J1084" s="538"/>
      <c r="K1084" s="538"/>
      <c r="L1084" s="609"/>
      <c r="M1084" s="591"/>
    </row>
    <row r="1085" spans="1:13" s="752" customFormat="1" ht="15">
      <c r="A1085" s="1461">
        <v>1078</v>
      </c>
      <c r="B1085" s="811"/>
      <c r="C1085" s="545"/>
      <c r="D1085" s="539" t="s">
        <v>957</v>
      </c>
      <c r="E1085" s="782"/>
      <c r="F1085" s="562"/>
      <c r="G1085" s="557"/>
      <c r="H1085" s="791"/>
      <c r="I1085" s="607"/>
      <c r="J1085" s="538">
        <v>42</v>
      </c>
      <c r="K1085" s="538"/>
      <c r="L1085" s="609">
        <f t="shared" si="11"/>
        <v>42</v>
      </c>
      <c r="M1085" s="586"/>
    </row>
    <row r="1086" spans="1:13" s="753" customFormat="1" ht="15">
      <c r="A1086" s="1461">
        <v>1079</v>
      </c>
      <c r="B1086" s="812"/>
      <c r="C1086" s="1464"/>
      <c r="D1086" s="541" t="s">
        <v>234</v>
      </c>
      <c r="E1086" s="805"/>
      <c r="F1086" s="806"/>
      <c r="G1086" s="567"/>
      <c r="H1086" s="745"/>
      <c r="I1086" s="610"/>
      <c r="J1086" s="555"/>
      <c r="K1086" s="555"/>
      <c r="L1086" s="611">
        <f t="shared" si="11"/>
        <v>0</v>
      </c>
      <c r="M1086" s="594"/>
    </row>
    <row r="1087" spans="1:13" s="754" customFormat="1" ht="15">
      <c r="A1087" s="1461">
        <v>1080</v>
      </c>
      <c r="B1087" s="577"/>
      <c r="C1087" s="1465"/>
      <c r="D1087" s="542" t="s">
        <v>1067</v>
      </c>
      <c r="E1087" s="576"/>
      <c r="F1087" s="568"/>
      <c r="G1087" s="568"/>
      <c r="H1087" s="746"/>
      <c r="I1087" s="615">
        <f>SUM(I1085:I1086)</f>
        <v>0</v>
      </c>
      <c r="J1087" s="568">
        <f>SUM(J1085:J1086)</f>
        <v>42</v>
      </c>
      <c r="K1087" s="568">
        <f>SUM(K1085:K1086)</f>
        <v>0</v>
      </c>
      <c r="L1087" s="608">
        <f t="shared" si="11"/>
        <v>42</v>
      </c>
      <c r="M1087" s="593">
        <v>0</v>
      </c>
    </row>
    <row r="1088" spans="1:13" ht="15">
      <c r="A1088" s="1461">
        <v>1081</v>
      </c>
      <c r="B1088" s="811"/>
      <c r="C1088" s="545">
        <v>8</v>
      </c>
      <c r="D1088" s="539" t="s">
        <v>696</v>
      </c>
      <c r="E1088" s="782" t="s">
        <v>799</v>
      </c>
      <c r="F1088" s="553">
        <f>SUM(H1088,L1091)</f>
        <v>19</v>
      </c>
      <c r="G1088" s="562">
        <v>0</v>
      </c>
      <c r="H1088" s="914">
        <v>0</v>
      </c>
      <c r="I1088" s="607"/>
      <c r="J1088" s="538"/>
      <c r="K1088" s="538"/>
      <c r="L1088" s="609"/>
      <c r="M1088" s="591"/>
    </row>
    <row r="1089" spans="1:13" s="752" customFormat="1" ht="15">
      <c r="A1089" s="1461">
        <v>1082</v>
      </c>
      <c r="B1089" s="811"/>
      <c r="C1089" s="545"/>
      <c r="D1089" s="539" t="s">
        <v>957</v>
      </c>
      <c r="E1089" s="782"/>
      <c r="F1089" s="562"/>
      <c r="G1089" s="557"/>
      <c r="H1089" s="791"/>
      <c r="I1089" s="607"/>
      <c r="J1089" s="538">
        <v>19</v>
      </c>
      <c r="K1089" s="538"/>
      <c r="L1089" s="609">
        <f t="shared" si="11"/>
        <v>19</v>
      </c>
      <c r="M1089" s="586"/>
    </row>
    <row r="1090" spans="1:13" s="753" customFormat="1" ht="15">
      <c r="A1090" s="1461">
        <v>1083</v>
      </c>
      <c r="B1090" s="812"/>
      <c r="C1090" s="1464"/>
      <c r="D1090" s="541" t="s">
        <v>234</v>
      </c>
      <c r="E1090" s="805"/>
      <c r="F1090" s="806"/>
      <c r="G1090" s="567"/>
      <c r="H1090" s="745"/>
      <c r="I1090" s="610"/>
      <c r="J1090" s="555"/>
      <c r="K1090" s="555"/>
      <c r="L1090" s="611">
        <f t="shared" si="11"/>
        <v>0</v>
      </c>
      <c r="M1090" s="594"/>
    </row>
    <row r="1091" spans="1:13" s="754" customFormat="1" ht="15">
      <c r="A1091" s="1461">
        <v>1084</v>
      </c>
      <c r="B1091" s="577"/>
      <c r="C1091" s="1465"/>
      <c r="D1091" s="542" t="s">
        <v>1067</v>
      </c>
      <c r="E1091" s="576"/>
      <c r="F1091" s="568"/>
      <c r="G1091" s="568"/>
      <c r="H1091" s="746"/>
      <c r="I1091" s="615">
        <f>SUM(I1089:I1090)</f>
        <v>0</v>
      </c>
      <c r="J1091" s="568">
        <f>SUM(J1089:J1090)</f>
        <v>19</v>
      </c>
      <c r="K1091" s="568">
        <f>SUM(K1089:K1090)</f>
        <v>0</v>
      </c>
      <c r="L1091" s="608">
        <f t="shared" si="11"/>
        <v>19</v>
      </c>
      <c r="M1091" s="593">
        <v>0</v>
      </c>
    </row>
    <row r="1092" spans="1:13" ht="30">
      <c r="A1092" s="1461">
        <v>1085</v>
      </c>
      <c r="B1092" s="566"/>
      <c r="C1092" s="1463">
        <v>9</v>
      </c>
      <c r="D1092" s="539" t="s">
        <v>697</v>
      </c>
      <c r="E1092" s="782" t="s">
        <v>799</v>
      </c>
      <c r="F1092" s="553">
        <f>SUM(H1092,L1095)</f>
        <v>327</v>
      </c>
      <c r="G1092" s="562">
        <v>0</v>
      </c>
      <c r="H1092" s="914">
        <v>0</v>
      </c>
      <c r="I1092" s="607"/>
      <c r="J1092" s="538"/>
      <c r="K1092" s="538"/>
      <c r="L1092" s="609"/>
      <c r="M1092" s="591"/>
    </row>
    <row r="1093" spans="1:13" s="752" customFormat="1" ht="15">
      <c r="A1093" s="1461">
        <v>1086</v>
      </c>
      <c r="B1093" s="811"/>
      <c r="C1093" s="545"/>
      <c r="D1093" s="539" t="s">
        <v>957</v>
      </c>
      <c r="E1093" s="782"/>
      <c r="F1093" s="562"/>
      <c r="G1093" s="557"/>
      <c r="H1093" s="791"/>
      <c r="I1093" s="607"/>
      <c r="J1093" s="538">
        <v>327</v>
      </c>
      <c r="K1093" s="538"/>
      <c r="L1093" s="609">
        <f t="shared" si="11"/>
        <v>327</v>
      </c>
      <c r="M1093" s="586"/>
    </row>
    <row r="1094" spans="1:13" s="753" customFormat="1" ht="15">
      <c r="A1094" s="1461">
        <v>1087</v>
      </c>
      <c r="B1094" s="812"/>
      <c r="C1094" s="1464"/>
      <c r="D1094" s="541" t="s">
        <v>234</v>
      </c>
      <c r="E1094" s="805"/>
      <c r="F1094" s="806"/>
      <c r="G1094" s="567"/>
      <c r="H1094" s="745"/>
      <c r="I1094" s="610"/>
      <c r="J1094" s="555"/>
      <c r="K1094" s="555"/>
      <c r="L1094" s="611">
        <f t="shared" si="11"/>
        <v>0</v>
      </c>
      <c r="M1094" s="594"/>
    </row>
    <row r="1095" spans="1:13" s="754" customFormat="1" ht="15">
      <c r="A1095" s="1461">
        <v>1088</v>
      </c>
      <c r="B1095" s="577"/>
      <c r="C1095" s="1465"/>
      <c r="D1095" s="542" t="s">
        <v>404</v>
      </c>
      <c r="E1095" s="576"/>
      <c r="F1095" s="568"/>
      <c r="G1095" s="568"/>
      <c r="H1095" s="746"/>
      <c r="I1095" s="615">
        <f>SUM(I1093:I1094)</f>
        <v>0</v>
      </c>
      <c r="J1095" s="568">
        <f>SUM(J1093:J1094)</f>
        <v>327</v>
      </c>
      <c r="K1095" s="568">
        <f>SUM(K1093:K1094)</f>
        <v>0</v>
      </c>
      <c r="L1095" s="608">
        <f t="shared" si="11"/>
        <v>327</v>
      </c>
      <c r="M1095" s="593">
        <v>0</v>
      </c>
    </row>
    <row r="1096" spans="1:13" ht="15">
      <c r="A1096" s="1461">
        <v>1089</v>
      </c>
      <c r="B1096" s="811"/>
      <c r="C1096" s="545">
        <v>10</v>
      </c>
      <c r="D1096" s="539" t="s">
        <v>698</v>
      </c>
      <c r="E1096" s="782" t="s">
        <v>799</v>
      </c>
      <c r="F1096" s="553">
        <f>SUM(H1096,L1099)</f>
        <v>119</v>
      </c>
      <c r="G1096" s="562">
        <v>0</v>
      </c>
      <c r="H1096" s="914">
        <v>0</v>
      </c>
      <c r="I1096" s="607"/>
      <c r="J1096" s="538"/>
      <c r="K1096" s="538"/>
      <c r="L1096" s="609"/>
      <c r="M1096" s="591"/>
    </row>
    <row r="1097" spans="1:13" s="752" customFormat="1" ht="15">
      <c r="A1097" s="1461">
        <v>1090</v>
      </c>
      <c r="B1097" s="811"/>
      <c r="C1097" s="545"/>
      <c r="D1097" s="539" t="s">
        <v>957</v>
      </c>
      <c r="E1097" s="782"/>
      <c r="F1097" s="562"/>
      <c r="G1097" s="557"/>
      <c r="H1097" s="791"/>
      <c r="I1097" s="607"/>
      <c r="J1097" s="538">
        <v>119</v>
      </c>
      <c r="K1097" s="538"/>
      <c r="L1097" s="609">
        <f t="shared" si="11"/>
        <v>119</v>
      </c>
      <c r="M1097" s="586"/>
    </row>
    <row r="1098" spans="1:13" s="753" customFormat="1" ht="15">
      <c r="A1098" s="1461">
        <v>1091</v>
      </c>
      <c r="B1098" s="812"/>
      <c r="C1098" s="1464"/>
      <c r="D1098" s="541" t="s">
        <v>699</v>
      </c>
      <c r="E1098" s="805"/>
      <c r="F1098" s="806"/>
      <c r="G1098" s="567"/>
      <c r="H1098" s="745"/>
      <c r="I1098" s="610"/>
      <c r="J1098" s="555"/>
      <c r="K1098" s="555"/>
      <c r="L1098" s="611">
        <f t="shared" si="11"/>
        <v>0</v>
      </c>
      <c r="M1098" s="594"/>
    </row>
    <row r="1099" spans="1:13" s="754" customFormat="1" ht="15">
      <c r="A1099" s="1461">
        <v>1092</v>
      </c>
      <c r="B1099" s="577"/>
      <c r="C1099" s="1465"/>
      <c r="D1099" s="542" t="s">
        <v>404</v>
      </c>
      <c r="E1099" s="576"/>
      <c r="F1099" s="568"/>
      <c r="G1099" s="568"/>
      <c r="H1099" s="746"/>
      <c r="I1099" s="615">
        <f>SUM(I1097:I1098)</f>
        <v>0</v>
      </c>
      <c r="J1099" s="568">
        <f>SUM(J1097:J1098)</f>
        <v>119</v>
      </c>
      <c r="K1099" s="568">
        <f>SUM(K1097:K1098)</f>
        <v>0</v>
      </c>
      <c r="L1099" s="608">
        <f t="shared" si="11"/>
        <v>119</v>
      </c>
      <c r="M1099" s="593">
        <v>0</v>
      </c>
    </row>
    <row r="1100" spans="1:13" ht="15">
      <c r="A1100" s="1461">
        <v>1093</v>
      </c>
      <c r="B1100" s="811"/>
      <c r="C1100" s="545">
        <v>11</v>
      </c>
      <c r="D1100" s="539" t="s">
        <v>700</v>
      </c>
      <c r="E1100" s="782" t="s">
        <v>799</v>
      </c>
      <c r="F1100" s="553">
        <f>SUM(H1100,L1103)</f>
        <v>64</v>
      </c>
      <c r="G1100" s="562">
        <v>0</v>
      </c>
      <c r="H1100" s="914">
        <v>0</v>
      </c>
      <c r="I1100" s="607"/>
      <c r="J1100" s="538"/>
      <c r="K1100" s="538"/>
      <c r="L1100" s="609"/>
      <c r="M1100" s="591"/>
    </row>
    <row r="1101" spans="1:13" s="752" customFormat="1" ht="15">
      <c r="A1101" s="1461">
        <v>1094</v>
      </c>
      <c r="B1101" s="811"/>
      <c r="C1101" s="545"/>
      <c r="D1101" s="539" t="s">
        <v>957</v>
      </c>
      <c r="E1101" s="782"/>
      <c r="F1101" s="562"/>
      <c r="G1101" s="557"/>
      <c r="H1101" s="791"/>
      <c r="I1101" s="607"/>
      <c r="J1101" s="538">
        <v>64</v>
      </c>
      <c r="K1101" s="538"/>
      <c r="L1101" s="609">
        <f t="shared" si="11"/>
        <v>64</v>
      </c>
      <c r="M1101" s="586"/>
    </row>
    <row r="1102" spans="1:13" s="753" customFormat="1" ht="15">
      <c r="A1102" s="1461">
        <v>1095</v>
      </c>
      <c r="B1102" s="812"/>
      <c r="C1102" s="1464"/>
      <c r="D1102" s="541" t="s">
        <v>234</v>
      </c>
      <c r="E1102" s="805"/>
      <c r="F1102" s="806"/>
      <c r="G1102" s="567"/>
      <c r="H1102" s="745"/>
      <c r="I1102" s="610"/>
      <c r="J1102" s="555"/>
      <c r="K1102" s="555"/>
      <c r="L1102" s="611">
        <f t="shared" si="11"/>
        <v>0</v>
      </c>
      <c r="M1102" s="594"/>
    </row>
    <row r="1103" spans="1:13" s="754" customFormat="1" ht="15">
      <c r="A1103" s="1461">
        <v>1096</v>
      </c>
      <c r="B1103" s="577"/>
      <c r="C1103" s="1465"/>
      <c r="D1103" s="542" t="s">
        <v>404</v>
      </c>
      <c r="E1103" s="576"/>
      <c r="F1103" s="568"/>
      <c r="G1103" s="568"/>
      <c r="H1103" s="746"/>
      <c r="I1103" s="615">
        <f>SUM(I1101:I1102)</f>
        <v>0</v>
      </c>
      <c r="J1103" s="568">
        <f>SUM(J1101:J1102)</f>
        <v>64</v>
      </c>
      <c r="K1103" s="568">
        <f>SUM(K1101:K1102)</f>
        <v>0</v>
      </c>
      <c r="L1103" s="608">
        <f t="shared" si="11"/>
        <v>64</v>
      </c>
      <c r="M1103" s="593">
        <v>0</v>
      </c>
    </row>
    <row r="1104" spans="1:13" ht="45">
      <c r="A1104" s="1461">
        <v>1097</v>
      </c>
      <c r="B1104" s="566"/>
      <c r="C1104" s="1463">
        <v>12</v>
      </c>
      <c r="D1104" s="539" t="s">
        <v>703</v>
      </c>
      <c r="E1104" s="782" t="s">
        <v>799</v>
      </c>
      <c r="F1104" s="553">
        <f>SUM(H1104,L1107)</f>
        <v>1520</v>
      </c>
      <c r="G1104" s="562">
        <v>0</v>
      </c>
      <c r="H1104" s="914">
        <v>0</v>
      </c>
      <c r="I1104" s="607"/>
      <c r="J1104" s="538"/>
      <c r="K1104" s="538"/>
      <c r="L1104" s="609"/>
      <c r="M1104" s="591"/>
    </row>
    <row r="1105" spans="1:13" s="752" customFormat="1" ht="15">
      <c r="A1105" s="1461">
        <v>1098</v>
      </c>
      <c r="B1105" s="811"/>
      <c r="C1105" s="545"/>
      <c r="D1105" s="539" t="s">
        <v>957</v>
      </c>
      <c r="E1105" s="782"/>
      <c r="F1105" s="562"/>
      <c r="G1105" s="557"/>
      <c r="H1105" s="791"/>
      <c r="I1105" s="607"/>
      <c r="J1105" s="538">
        <v>1520</v>
      </c>
      <c r="K1105" s="538"/>
      <c r="L1105" s="609">
        <f t="shared" si="11"/>
        <v>1520</v>
      </c>
      <c r="M1105" s="586"/>
    </row>
    <row r="1106" spans="1:13" s="753" customFormat="1" ht="15">
      <c r="A1106" s="1461">
        <v>1099</v>
      </c>
      <c r="B1106" s="812"/>
      <c r="C1106" s="1464"/>
      <c r="D1106" s="541" t="s">
        <v>234</v>
      </c>
      <c r="E1106" s="805"/>
      <c r="F1106" s="806"/>
      <c r="G1106" s="567"/>
      <c r="H1106" s="745"/>
      <c r="I1106" s="610"/>
      <c r="J1106" s="555"/>
      <c r="K1106" s="555"/>
      <c r="L1106" s="611">
        <f t="shared" si="11"/>
        <v>0</v>
      </c>
      <c r="M1106" s="594"/>
    </row>
    <row r="1107" spans="1:13" s="754" customFormat="1" ht="15">
      <c r="A1107" s="1461">
        <v>1100</v>
      </c>
      <c r="B1107" s="577"/>
      <c r="C1107" s="1465"/>
      <c r="D1107" s="542" t="s">
        <v>1067</v>
      </c>
      <c r="E1107" s="576"/>
      <c r="F1107" s="568"/>
      <c r="G1107" s="568"/>
      <c r="H1107" s="746"/>
      <c r="I1107" s="615">
        <f>SUM(I1105:I1106)</f>
        <v>0</v>
      </c>
      <c r="J1107" s="568">
        <f>SUM(J1105:J1106)</f>
        <v>1520</v>
      </c>
      <c r="K1107" s="568">
        <f>SUM(K1105:K1106)</f>
        <v>0</v>
      </c>
      <c r="L1107" s="608">
        <f t="shared" si="11"/>
        <v>1520</v>
      </c>
      <c r="M1107" s="593">
        <v>0</v>
      </c>
    </row>
    <row r="1108" spans="1:13" ht="15">
      <c r="A1108" s="1461">
        <v>1101</v>
      </c>
      <c r="B1108" s="811"/>
      <c r="C1108" s="545">
        <v>13</v>
      </c>
      <c r="D1108" s="539" t="s">
        <v>978</v>
      </c>
      <c r="E1108" s="782" t="s">
        <v>799</v>
      </c>
      <c r="F1108" s="553">
        <f>SUM(H1108,L1111)</f>
        <v>15</v>
      </c>
      <c r="G1108" s="562">
        <v>0</v>
      </c>
      <c r="H1108" s="914">
        <v>0</v>
      </c>
      <c r="I1108" s="607"/>
      <c r="J1108" s="538"/>
      <c r="K1108" s="538"/>
      <c r="L1108" s="609"/>
      <c r="M1108" s="591"/>
    </row>
    <row r="1109" spans="1:13" s="752" customFormat="1" ht="15">
      <c r="A1109" s="1461">
        <v>1102</v>
      </c>
      <c r="B1109" s="811"/>
      <c r="C1109" s="545"/>
      <c r="D1109" s="539" t="s">
        <v>957</v>
      </c>
      <c r="E1109" s="782"/>
      <c r="F1109" s="562"/>
      <c r="G1109" s="557"/>
      <c r="H1109" s="791"/>
      <c r="I1109" s="607"/>
      <c r="J1109" s="538">
        <v>15</v>
      </c>
      <c r="K1109" s="538"/>
      <c r="L1109" s="609">
        <f t="shared" si="11"/>
        <v>15</v>
      </c>
      <c r="M1109" s="586"/>
    </row>
    <row r="1110" spans="1:13" s="753" customFormat="1" ht="15">
      <c r="A1110" s="1461">
        <v>1103</v>
      </c>
      <c r="B1110" s="812"/>
      <c r="C1110" s="1464"/>
      <c r="D1110" s="541" t="s">
        <v>405</v>
      </c>
      <c r="E1110" s="805"/>
      <c r="F1110" s="806"/>
      <c r="G1110" s="567"/>
      <c r="H1110" s="745"/>
      <c r="I1110" s="610"/>
      <c r="J1110" s="555"/>
      <c r="K1110" s="555"/>
      <c r="L1110" s="611">
        <f t="shared" si="11"/>
        <v>0</v>
      </c>
      <c r="M1110" s="594"/>
    </row>
    <row r="1111" spans="1:13" s="754" customFormat="1" ht="15">
      <c r="A1111" s="1461">
        <v>1104</v>
      </c>
      <c r="B1111" s="577"/>
      <c r="C1111" s="1465"/>
      <c r="D1111" s="542" t="s">
        <v>1067</v>
      </c>
      <c r="E1111" s="576"/>
      <c r="F1111" s="568"/>
      <c r="G1111" s="568"/>
      <c r="H1111" s="746"/>
      <c r="I1111" s="615">
        <f>SUM(I1109:I1110)</f>
        <v>0</v>
      </c>
      <c r="J1111" s="568">
        <f>SUM(J1109:J1110)</f>
        <v>15</v>
      </c>
      <c r="K1111" s="568">
        <f>SUM(K1109:K1110)</f>
        <v>0</v>
      </c>
      <c r="L1111" s="608">
        <f t="shared" si="11"/>
        <v>15</v>
      </c>
      <c r="M1111" s="593">
        <v>0</v>
      </c>
    </row>
    <row r="1112" spans="1:13" ht="15">
      <c r="A1112" s="1461">
        <v>1105</v>
      </c>
      <c r="B1112" s="811"/>
      <c r="C1112" s="545">
        <v>14</v>
      </c>
      <c r="D1112" s="539" t="s">
        <v>979</v>
      </c>
      <c r="E1112" s="782" t="s">
        <v>799</v>
      </c>
      <c r="F1112" s="553">
        <f>SUM(H1112,L1115)</f>
        <v>263</v>
      </c>
      <c r="G1112" s="562">
        <v>0</v>
      </c>
      <c r="H1112" s="914">
        <v>0</v>
      </c>
      <c r="I1112" s="607"/>
      <c r="J1112" s="538"/>
      <c r="K1112" s="538"/>
      <c r="L1112" s="609"/>
      <c r="M1112" s="591"/>
    </row>
    <row r="1113" spans="1:13" s="752" customFormat="1" ht="15">
      <c r="A1113" s="1461">
        <v>1106</v>
      </c>
      <c r="B1113" s="811"/>
      <c r="C1113" s="545"/>
      <c r="D1113" s="539" t="s">
        <v>957</v>
      </c>
      <c r="E1113" s="782"/>
      <c r="F1113" s="562"/>
      <c r="G1113" s="557"/>
      <c r="H1113" s="791"/>
      <c r="I1113" s="607"/>
      <c r="J1113" s="538">
        <v>263</v>
      </c>
      <c r="K1113" s="538"/>
      <c r="L1113" s="609">
        <f t="shared" si="11"/>
        <v>263</v>
      </c>
      <c r="M1113" s="586"/>
    </row>
    <row r="1114" spans="1:13" s="753" customFormat="1" ht="15">
      <c r="A1114" s="1461">
        <v>1107</v>
      </c>
      <c r="B1114" s="812"/>
      <c r="C1114" s="1464"/>
      <c r="D1114" s="541" t="s">
        <v>405</v>
      </c>
      <c r="E1114" s="805"/>
      <c r="F1114" s="806"/>
      <c r="G1114" s="567"/>
      <c r="H1114" s="745"/>
      <c r="I1114" s="610"/>
      <c r="J1114" s="555"/>
      <c r="K1114" s="555"/>
      <c r="L1114" s="611">
        <f t="shared" si="11"/>
        <v>0</v>
      </c>
      <c r="M1114" s="594"/>
    </row>
    <row r="1115" spans="1:13" s="754" customFormat="1" ht="15">
      <c r="A1115" s="1461">
        <v>1108</v>
      </c>
      <c r="B1115" s="577"/>
      <c r="C1115" s="1465"/>
      <c r="D1115" s="542" t="s">
        <v>1067</v>
      </c>
      <c r="E1115" s="576"/>
      <c r="F1115" s="568"/>
      <c r="G1115" s="568"/>
      <c r="H1115" s="746"/>
      <c r="I1115" s="615">
        <f>SUM(I1113:I1114)</f>
        <v>0</v>
      </c>
      <c r="J1115" s="568">
        <f>SUM(J1113:J1114)</f>
        <v>263</v>
      </c>
      <c r="K1115" s="568">
        <f>SUM(K1113:K1114)</f>
        <v>0</v>
      </c>
      <c r="L1115" s="608">
        <f t="shared" si="11"/>
        <v>263</v>
      </c>
      <c r="M1115" s="593">
        <v>0</v>
      </c>
    </row>
    <row r="1116" spans="1:13" ht="30">
      <c r="A1116" s="1461">
        <v>1109</v>
      </c>
      <c r="B1116" s="566"/>
      <c r="C1116" s="1463">
        <v>15</v>
      </c>
      <c r="D1116" s="539" t="s">
        <v>980</v>
      </c>
      <c r="E1116" s="782" t="s">
        <v>799</v>
      </c>
      <c r="F1116" s="553">
        <f>SUM(H1116,L1119)</f>
        <v>693</v>
      </c>
      <c r="G1116" s="562">
        <v>0</v>
      </c>
      <c r="H1116" s="914">
        <v>0</v>
      </c>
      <c r="I1116" s="607"/>
      <c r="J1116" s="538"/>
      <c r="K1116" s="538"/>
      <c r="L1116" s="609"/>
      <c r="M1116" s="591"/>
    </row>
    <row r="1117" spans="1:13" s="752" customFormat="1" ht="15">
      <c r="A1117" s="1461">
        <v>1110</v>
      </c>
      <c r="B1117" s="811"/>
      <c r="C1117" s="545"/>
      <c r="D1117" s="539" t="s">
        <v>957</v>
      </c>
      <c r="E1117" s="782"/>
      <c r="F1117" s="562"/>
      <c r="G1117" s="557"/>
      <c r="H1117" s="791"/>
      <c r="I1117" s="607"/>
      <c r="J1117" s="538">
        <v>693</v>
      </c>
      <c r="K1117" s="538"/>
      <c r="L1117" s="609">
        <f t="shared" si="11"/>
        <v>693</v>
      </c>
      <c r="M1117" s="586"/>
    </row>
    <row r="1118" spans="1:13" s="753" customFormat="1" ht="15">
      <c r="A1118" s="1461">
        <v>1111</v>
      </c>
      <c r="B1118" s="812"/>
      <c r="C1118" s="1464"/>
      <c r="D1118" s="541" t="s">
        <v>405</v>
      </c>
      <c r="E1118" s="805"/>
      <c r="F1118" s="806"/>
      <c r="G1118" s="567"/>
      <c r="H1118" s="745"/>
      <c r="I1118" s="610"/>
      <c r="J1118" s="555"/>
      <c r="K1118" s="555"/>
      <c r="L1118" s="611">
        <f t="shared" si="11"/>
        <v>0</v>
      </c>
      <c r="M1118" s="594"/>
    </row>
    <row r="1119" spans="1:13" s="754" customFormat="1" ht="15">
      <c r="A1119" s="1461">
        <v>1112</v>
      </c>
      <c r="B1119" s="577"/>
      <c r="C1119" s="1465"/>
      <c r="D1119" s="542" t="s">
        <v>1067</v>
      </c>
      <c r="E1119" s="576"/>
      <c r="F1119" s="568"/>
      <c r="G1119" s="568"/>
      <c r="H1119" s="746"/>
      <c r="I1119" s="615">
        <f>SUM(I1117:I1118)</f>
        <v>0</v>
      </c>
      <c r="J1119" s="568">
        <f>SUM(J1117:J1118)</f>
        <v>693</v>
      </c>
      <c r="K1119" s="568">
        <f>SUM(K1117:K1118)</f>
        <v>0</v>
      </c>
      <c r="L1119" s="608">
        <f t="shared" si="11"/>
        <v>693</v>
      </c>
      <c r="M1119" s="593">
        <v>0</v>
      </c>
    </row>
    <row r="1120" spans="1:13" ht="15">
      <c r="A1120" s="1461">
        <v>1113</v>
      </c>
      <c r="B1120" s="811"/>
      <c r="C1120" s="545">
        <v>16</v>
      </c>
      <c r="D1120" s="539" t="s">
        <v>981</v>
      </c>
      <c r="E1120" s="782" t="s">
        <v>799</v>
      </c>
      <c r="F1120" s="553">
        <f>SUM(H1120,L1123)</f>
        <v>198</v>
      </c>
      <c r="G1120" s="562">
        <v>0</v>
      </c>
      <c r="H1120" s="914">
        <v>0</v>
      </c>
      <c r="I1120" s="607"/>
      <c r="J1120" s="538"/>
      <c r="K1120" s="538"/>
      <c r="L1120" s="609"/>
      <c r="M1120" s="591"/>
    </row>
    <row r="1121" spans="1:13" s="752" customFormat="1" ht="15">
      <c r="A1121" s="1461">
        <v>1114</v>
      </c>
      <c r="B1121" s="811"/>
      <c r="C1121" s="545"/>
      <c r="D1121" s="539" t="s">
        <v>957</v>
      </c>
      <c r="E1121" s="782"/>
      <c r="F1121" s="562"/>
      <c r="G1121" s="557"/>
      <c r="H1121" s="791"/>
      <c r="I1121" s="607"/>
      <c r="J1121" s="538">
        <v>198</v>
      </c>
      <c r="K1121" s="538"/>
      <c r="L1121" s="609">
        <f t="shared" si="11"/>
        <v>198</v>
      </c>
      <c r="M1121" s="586"/>
    </row>
    <row r="1122" spans="1:13" s="753" customFormat="1" ht="15">
      <c r="A1122" s="1461">
        <v>1115</v>
      </c>
      <c r="B1122" s="812"/>
      <c r="C1122" s="1464"/>
      <c r="D1122" s="541" t="s">
        <v>405</v>
      </c>
      <c r="E1122" s="805"/>
      <c r="F1122" s="806"/>
      <c r="G1122" s="567"/>
      <c r="H1122" s="745"/>
      <c r="I1122" s="610"/>
      <c r="J1122" s="555"/>
      <c r="K1122" s="555"/>
      <c r="L1122" s="611">
        <f t="shared" si="11"/>
        <v>0</v>
      </c>
      <c r="M1122" s="594"/>
    </row>
    <row r="1123" spans="1:13" s="754" customFormat="1" ht="15">
      <c r="A1123" s="1461">
        <v>1116</v>
      </c>
      <c r="B1123" s="577"/>
      <c r="C1123" s="1465"/>
      <c r="D1123" s="542" t="s">
        <v>1067</v>
      </c>
      <c r="E1123" s="576"/>
      <c r="F1123" s="568"/>
      <c r="G1123" s="568"/>
      <c r="H1123" s="746"/>
      <c r="I1123" s="615">
        <f>SUM(I1121:I1122)</f>
        <v>0</v>
      </c>
      <c r="J1123" s="568">
        <f>SUM(J1121:J1122)</f>
        <v>198</v>
      </c>
      <c r="K1123" s="568">
        <f>SUM(K1121:K1122)</f>
        <v>0</v>
      </c>
      <c r="L1123" s="608">
        <f t="shared" si="11"/>
        <v>198</v>
      </c>
      <c r="M1123" s="593">
        <v>0</v>
      </c>
    </row>
    <row r="1124" spans="1:13" ht="15">
      <c r="A1124" s="1461">
        <v>1117</v>
      </c>
      <c r="B1124" s="811"/>
      <c r="C1124" s="545">
        <v>17</v>
      </c>
      <c r="D1124" s="539" t="s">
        <v>982</v>
      </c>
      <c r="E1124" s="782" t="s">
        <v>799</v>
      </c>
      <c r="F1124" s="553">
        <f>SUM(H1124,L1127)</f>
        <v>300</v>
      </c>
      <c r="G1124" s="562">
        <v>0</v>
      </c>
      <c r="H1124" s="914">
        <v>0</v>
      </c>
      <c r="I1124" s="607"/>
      <c r="J1124" s="538"/>
      <c r="K1124" s="538"/>
      <c r="L1124" s="609"/>
      <c r="M1124" s="591"/>
    </row>
    <row r="1125" spans="1:13" s="752" customFormat="1" ht="15">
      <c r="A1125" s="1461">
        <v>1118</v>
      </c>
      <c r="B1125" s="811"/>
      <c r="C1125" s="545"/>
      <c r="D1125" s="539" t="s">
        <v>957</v>
      </c>
      <c r="E1125" s="782"/>
      <c r="F1125" s="562"/>
      <c r="G1125" s="557"/>
      <c r="H1125" s="791"/>
      <c r="I1125" s="607"/>
      <c r="J1125" s="538">
        <v>300</v>
      </c>
      <c r="K1125" s="538"/>
      <c r="L1125" s="609">
        <f t="shared" si="11"/>
        <v>300</v>
      </c>
      <c r="M1125" s="586"/>
    </row>
    <row r="1126" spans="1:13" s="753" customFormat="1" ht="15">
      <c r="A1126" s="1461">
        <v>1119</v>
      </c>
      <c r="B1126" s="812"/>
      <c r="C1126" s="1464"/>
      <c r="D1126" s="541" t="s">
        <v>405</v>
      </c>
      <c r="E1126" s="805"/>
      <c r="F1126" s="806"/>
      <c r="G1126" s="567"/>
      <c r="H1126" s="745"/>
      <c r="I1126" s="610"/>
      <c r="J1126" s="555"/>
      <c r="K1126" s="555"/>
      <c r="L1126" s="611">
        <f t="shared" si="11"/>
        <v>0</v>
      </c>
      <c r="M1126" s="594"/>
    </row>
    <row r="1127" spans="1:13" s="754" customFormat="1" ht="15">
      <c r="A1127" s="1461">
        <v>1120</v>
      </c>
      <c r="B1127" s="577"/>
      <c r="C1127" s="1465"/>
      <c r="D1127" s="542" t="s">
        <v>1067</v>
      </c>
      <c r="E1127" s="576"/>
      <c r="F1127" s="568"/>
      <c r="G1127" s="568"/>
      <c r="H1127" s="746"/>
      <c r="I1127" s="615">
        <f>SUM(I1125:I1126)</f>
        <v>0</v>
      </c>
      <c r="J1127" s="568">
        <f>SUM(J1125:J1126)</f>
        <v>300</v>
      </c>
      <c r="K1127" s="568">
        <f>SUM(K1125:K1126)</f>
        <v>0</v>
      </c>
      <c r="L1127" s="608">
        <f t="shared" si="11"/>
        <v>300</v>
      </c>
      <c r="M1127" s="593"/>
    </row>
    <row r="1128" spans="1:13" ht="15">
      <c r="A1128" s="1461">
        <v>1121</v>
      </c>
      <c r="B1128" s="811"/>
      <c r="C1128" s="545">
        <v>18</v>
      </c>
      <c r="D1128" s="539" t="s">
        <v>983</v>
      </c>
      <c r="E1128" s="782" t="s">
        <v>799</v>
      </c>
      <c r="F1128" s="553">
        <f>SUM(H1128,L1131)</f>
        <v>50</v>
      </c>
      <c r="G1128" s="562">
        <v>0</v>
      </c>
      <c r="H1128" s="914">
        <v>0</v>
      </c>
      <c r="I1128" s="607"/>
      <c r="J1128" s="538"/>
      <c r="K1128" s="538"/>
      <c r="L1128" s="609"/>
      <c r="M1128" s="591">
        <v>0</v>
      </c>
    </row>
    <row r="1129" spans="1:13" s="752" customFormat="1" ht="15">
      <c r="A1129" s="1461">
        <v>1122</v>
      </c>
      <c r="B1129" s="811"/>
      <c r="C1129" s="545"/>
      <c r="D1129" s="539" t="s">
        <v>957</v>
      </c>
      <c r="E1129" s="782"/>
      <c r="F1129" s="562"/>
      <c r="G1129" s="557"/>
      <c r="H1129" s="791"/>
      <c r="I1129" s="607"/>
      <c r="J1129" s="538">
        <v>50</v>
      </c>
      <c r="K1129" s="538"/>
      <c r="L1129" s="609">
        <f t="shared" si="11"/>
        <v>50</v>
      </c>
      <c r="M1129" s="586"/>
    </row>
    <row r="1130" spans="1:13" s="753" customFormat="1" ht="15">
      <c r="A1130" s="1461">
        <v>1123</v>
      </c>
      <c r="B1130" s="812"/>
      <c r="C1130" s="1464"/>
      <c r="D1130" s="541" t="s">
        <v>405</v>
      </c>
      <c r="E1130" s="805"/>
      <c r="F1130" s="806"/>
      <c r="G1130" s="567"/>
      <c r="H1130" s="745"/>
      <c r="I1130" s="610"/>
      <c r="J1130" s="555"/>
      <c r="K1130" s="555"/>
      <c r="L1130" s="611">
        <f t="shared" si="11"/>
        <v>0</v>
      </c>
      <c r="M1130" s="594"/>
    </row>
    <row r="1131" spans="1:13" s="754" customFormat="1" ht="15">
      <c r="A1131" s="1461">
        <v>1124</v>
      </c>
      <c r="B1131" s="577"/>
      <c r="C1131" s="1465"/>
      <c r="D1131" s="542" t="s">
        <v>1067</v>
      </c>
      <c r="E1131" s="576"/>
      <c r="F1131" s="568"/>
      <c r="G1131" s="568"/>
      <c r="H1131" s="746"/>
      <c r="I1131" s="615">
        <f>SUM(I1129:I1130)</f>
        <v>0</v>
      </c>
      <c r="J1131" s="568">
        <f>SUM(J1129:J1130)</f>
        <v>50</v>
      </c>
      <c r="K1131" s="568">
        <f>SUM(K1129:K1130)</f>
        <v>0</v>
      </c>
      <c r="L1131" s="608">
        <f t="shared" si="11"/>
        <v>50</v>
      </c>
      <c r="M1131" s="593">
        <v>0</v>
      </c>
    </row>
    <row r="1132" spans="1:13" s="752" customFormat="1" ht="15">
      <c r="A1132" s="1461">
        <v>1125</v>
      </c>
      <c r="B1132" s="535">
        <v>6</v>
      </c>
      <c r="C1132" s="545"/>
      <c r="D1132" s="536" t="s">
        <v>323</v>
      </c>
      <c r="E1132" s="782"/>
      <c r="F1132" s="564"/>
      <c r="G1132" s="564"/>
      <c r="H1132" s="912"/>
      <c r="I1132" s="607"/>
      <c r="J1132" s="538"/>
      <c r="K1132" s="538"/>
      <c r="L1132" s="609"/>
      <c r="M1132" s="589"/>
    </row>
    <row r="1133" spans="1:13" s="752" customFormat="1" ht="15">
      <c r="A1133" s="1461">
        <v>1126</v>
      </c>
      <c r="B1133" s="535"/>
      <c r="C1133" s="545">
        <v>19</v>
      </c>
      <c r="D1133" s="557" t="s">
        <v>324</v>
      </c>
      <c r="E1133" s="782" t="s">
        <v>799</v>
      </c>
      <c r="F1133" s="553">
        <f>SUM(H1133,L1137)</f>
        <v>128</v>
      </c>
      <c r="G1133" s="557">
        <v>0</v>
      </c>
      <c r="H1133" s="913">
        <v>0</v>
      </c>
      <c r="I1133" s="607"/>
      <c r="J1133" s="538"/>
      <c r="K1133" s="538"/>
      <c r="L1133" s="609"/>
      <c r="M1133" s="586"/>
    </row>
    <row r="1134" spans="1:13" ht="15">
      <c r="A1134" s="1461">
        <v>1127</v>
      </c>
      <c r="B1134" s="811"/>
      <c r="C1134" s="545"/>
      <c r="D1134" s="539" t="s">
        <v>403</v>
      </c>
      <c r="E1134" s="782"/>
      <c r="F1134" s="567"/>
      <c r="G1134" s="562"/>
      <c r="H1134" s="914"/>
      <c r="I1134" s="607"/>
      <c r="J1134" s="538">
        <v>178</v>
      </c>
      <c r="K1134" s="538"/>
      <c r="L1134" s="609">
        <f>SUM(I1134:K1134)</f>
        <v>178</v>
      </c>
      <c r="M1134" s="591"/>
    </row>
    <row r="1135" spans="1:13" ht="15">
      <c r="A1135" s="1461">
        <v>1128</v>
      </c>
      <c r="B1135" s="811"/>
      <c r="C1135" s="545"/>
      <c r="D1135" s="539" t="s">
        <v>957</v>
      </c>
      <c r="E1135" s="782"/>
      <c r="F1135" s="567"/>
      <c r="G1135" s="562"/>
      <c r="H1135" s="914"/>
      <c r="I1135" s="607"/>
      <c r="J1135" s="538">
        <v>128</v>
      </c>
      <c r="K1135" s="538"/>
      <c r="L1135" s="609">
        <f>SUM(I1135:K1135)</f>
        <v>128</v>
      </c>
      <c r="M1135" s="591"/>
    </row>
    <row r="1136" spans="1:13" s="753" customFormat="1" ht="15">
      <c r="A1136" s="1461">
        <v>1129</v>
      </c>
      <c r="B1136" s="812"/>
      <c r="C1136" s="1464"/>
      <c r="D1136" s="541" t="s">
        <v>405</v>
      </c>
      <c r="E1136" s="576"/>
      <c r="F1136" s="568"/>
      <c r="G1136" s="567"/>
      <c r="H1136" s="915"/>
      <c r="I1136" s="610"/>
      <c r="J1136" s="555"/>
      <c r="K1136" s="555"/>
      <c r="L1136" s="611">
        <f>SUM(I1136:K1136)</f>
        <v>0</v>
      </c>
      <c r="M1136" s="594"/>
    </row>
    <row r="1137" spans="1:13" s="754" customFormat="1" ht="15">
      <c r="A1137" s="1461">
        <v>1130</v>
      </c>
      <c r="B1137" s="577"/>
      <c r="C1137" s="1465"/>
      <c r="D1137" s="542" t="s">
        <v>1067</v>
      </c>
      <c r="E1137" s="779"/>
      <c r="F1137" s="557"/>
      <c r="G1137" s="568"/>
      <c r="H1137" s="911"/>
      <c r="I1137" s="615">
        <f>SUM(I1135:I1136)</f>
        <v>0</v>
      </c>
      <c r="J1137" s="568">
        <f>SUM(J1135:J1136)</f>
        <v>128</v>
      </c>
      <c r="K1137" s="568">
        <f>SUM(K1135:K1136)</f>
        <v>0</v>
      </c>
      <c r="L1137" s="608">
        <f>SUM(I1137:K1137)</f>
        <v>128</v>
      </c>
      <c r="M1137" s="593">
        <f>SUM(M1134:M1136)</f>
        <v>0</v>
      </c>
    </row>
    <row r="1138" spans="1:13" s="752" customFormat="1" ht="15">
      <c r="A1138" s="1461">
        <v>1131</v>
      </c>
      <c r="B1138" s="535"/>
      <c r="C1138" s="545">
        <v>20</v>
      </c>
      <c r="D1138" s="557" t="s">
        <v>577</v>
      </c>
      <c r="E1138" s="782" t="s">
        <v>799</v>
      </c>
      <c r="F1138" s="553">
        <f>SUM(H1138,L1142)</f>
        <v>15</v>
      </c>
      <c r="G1138" s="557">
        <v>0</v>
      </c>
      <c r="H1138" s="913">
        <v>0</v>
      </c>
      <c r="I1138" s="607"/>
      <c r="J1138" s="538"/>
      <c r="K1138" s="538"/>
      <c r="L1138" s="609"/>
      <c r="M1138" s="586"/>
    </row>
    <row r="1139" spans="1:13" ht="15">
      <c r="A1139" s="1461">
        <v>1132</v>
      </c>
      <c r="B1139" s="811"/>
      <c r="C1139" s="545"/>
      <c r="D1139" s="539" t="s">
        <v>403</v>
      </c>
      <c r="E1139" s="782"/>
      <c r="F1139" s="567"/>
      <c r="G1139" s="562"/>
      <c r="H1139" s="914"/>
      <c r="I1139" s="607"/>
      <c r="J1139" s="538">
        <v>15</v>
      </c>
      <c r="K1139" s="538"/>
      <c r="L1139" s="609">
        <f>SUM(I1139:K1139)</f>
        <v>15</v>
      </c>
      <c r="M1139" s="591"/>
    </row>
    <row r="1140" spans="1:13" ht="15">
      <c r="A1140" s="1461">
        <v>1133</v>
      </c>
      <c r="B1140" s="811"/>
      <c r="C1140" s="545"/>
      <c r="D1140" s="539" t="s">
        <v>957</v>
      </c>
      <c r="E1140" s="782"/>
      <c r="F1140" s="567"/>
      <c r="G1140" s="562"/>
      <c r="H1140" s="914"/>
      <c r="I1140" s="607"/>
      <c r="J1140" s="538">
        <v>15</v>
      </c>
      <c r="K1140" s="538"/>
      <c r="L1140" s="609">
        <f>SUM(I1140:K1140)</f>
        <v>15</v>
      </c>
      <c r="M1140" s="591"/>
    </row>
    <row r="1141" spans="1:13" s="753" customFormat="1" ht="15">
      <c r="A1141" s="1461">
        <v>1134</v>
      </c>
      <c r="B1141" s="812"/>
      <c r="C1141" s="1464"/>
      <c r="D1141" s="541" t="s">
        <v>405</v>
      </c>
      <c r="E1141" s="576"/>
      <c r="F1141" s="568"/>
      <c r="G1141" s="567"/>
      <c r="H1141" s="915"/>
      <c r="I1141" s="610"/>
      <c r="J1141" s="555"/>
      <c r="K1141" s="555"/>
      <c r="L1141" s="611">
        <f>SUM(I1141:K1141)</f>
        <v>0</v>
      </c>
      <c r="M1141" s="594"/>
    </row>
    <row r="1142" spans="1:13" s="754" customFormat="1" ht="15">
      <c r="A1142" s="1461">
        <v>1135</v>
      </c>
      <c r="B1142" s="577"/>
      <c r="C1142" s="1465"/>
      <c r="D1142" s="542" t="s">
        <v>1067</v>
      </c>
      <c r="E1142" s="779"/>
      <c r="F1142" s="557"/>
      <c r="G1142" s="568"/>
      <c r="H1142" s="911"/>
      <c r="I1142" s="615">
        <f>SUM(I1140:I1141)</f>
        <v>0</v>
      </c>
      <c r="J1142" s="568">
        <f>SUM(J1140:J1141)</f>
        <v>15</v>
      </c>
      <c r="K1142" s="568">
        <f>SUM(K1140:K1141)</f>
        <v>0</v>
      </c>
      <c r="L1142" s="608">
        <f>SUM(I1142:K1142)</f>
        <v>15</v>
      </c>
      <c r="M1142" s="593">
        <f>SUM(M1139:M1141)</f>
        <v>0</v>
      </c>
    </row>
    <row r="1143" spans="1:13" s="752" customFormat="1" ht="15">
      <c r="A1143" s="1461">
        <v>1136</v>
      </c>
      <c r="B1143" s="535"/>
      <c r="C1143" s="545">
        <v>21</v>
      </c>
      <c r="D1143" s="557" t="s">
        <v>578</v>
      </c>
      <c r="E1143" s="782" t="s">
        <v>799</v>
      </c>
      <c r="F1143" s="553">
        <f>SUM(H1143,L1147)</f>
        <v>125</v>
      </c>
      <c r="G1143" s="557">
        <v>0</v>
      </c>
      <c r="H1143" s="913">
        <v>0</v>
      </c>
      <c r="I1143" s="607"/>
      <c r="J1143" s="538"/>
      <c r="K1143" s="538"/>
      <c r="L1143" s="609"/>
      <c r="M1143" s="586"/>
    </row>
    <row r="1144" spans="1:13" ht="15">
      <c r="A1144" s="1461">
        <v>1137</v>
      </c>
      <c r="B1144" s="811"/>
      <c r="C1144" s="545"/>
      <c r="D1144" s="539" t="s">
        <v>403</v>
      </c>
      <c r="E1144" s="788"/>
      <c r="F1144" s="796"/>
      <c r="G1144" s="562"/>
      <c r="H1144" s="914"/>
      <c r="I1144" s="607"/>
      <c r="J1144" s="538">
        <v>60</v>
      </c>
      <c r="K1144" s="538"/>
      <c r="L1144" s="609">
        <f>SUM(I1144:K1144)</f>
        <v>60</v>
      </c>
      <c r="M1144" s="591"/>
    </row>
    <row r="1145" spans="1:13" ht="15">
      <c r="A1145" s="1461">
        <v>1138</v>
      </c>
      <c r="B1145" s="811"/>
      <c r="C1145" s="545"/>
      <c r="D1145" s="539" t="s">
        <v>957</v>
      </c>
      <c r="E1145" s="788"/>
      <c r="F1145" s="796"/>
      <c r="G1145" s="562"/>
      <c r="H1145" s="914"/>
      <c r="I1145" s="607"/>
      <c r="J1145" s="538">
        <v>125</v>
      </c>
      <c r="K1145" s="538"/>
      <c r="L1145" s="609">
        <f>SUM(I1145:K1145)</f>
        <v>125</v>
      </c>
      <c r="M1145" s="591"/>
    </row>
    <row r="1146" spans="1:13" s="753" customFormat="1" ht="15">
      <c r="A1146" s="1461">
        <v>1139</v>
      </c>
      <c r="B1146" s="812"/>
      <c r="C1146" s="1464"/>
      <c r="D1146" s="541" t="s">
        <v>74</v>
      </c>
      <c r="E1146" s="782"/>
      <c r="F1146" s="567"/>
      <c r="G1146" s="567"/>
      <c r="H1146" s="915"/>
      <c r="I1146" s="610"/>
      <c r="J1146" s="555"/>
      <c r="K1146" s="555"/>
      <c r="L1146" s="611">
        <f>SUM(I1146:K1146)</f>
        <v>0</v>
      </c>
      <c r="M1146" s="594"/>
    </row>
    <row r="1147" spans="1:13" s="754" customFormat="1" ht="15">
      <c r="A1147" s="1461">
        <v>1140</v>
      </c>
      <c r="B1147" s="577"/>
      <c r="C1147" s="1465"/>
      <c r="D1147" s="542" t="s">
        <v>1067</v>
      </c>
      <c r="E1147" s="576"/>
      <c r="F1147" s="568"/>
      <c r="G1147" s="568"/>
      <c r="H1147" s="911"/>
      <c r="I1147" s="615">
        <f>SUM(I1145:I1146)</f>
        <v>0</v>
      </c>
      <c r="J1147" s="568">
        <f>SUM(J1145:J1146)</f>
        <v>125</v>
      </c>
      <c r="K1147" s="568">
        <f>SUM(K1145:K1146)</f>
        <v>0</v>
      </c>
      <c r="L1147" s="608">
        <f>SUM(I1147:K1147)</f>
        <v>125</v>
      </c>
      <c r="M1147" s="593">
        <f>SUM(M1144:M1146)</f>
        <v>0</v>
      </c>
    </row>
    <row r="1148" spans="1:13" s="752" customFormat="1" ht="15">
      <c r="A1148" s="1461">
        <v>1141</v>
      </c>
      <c r="B1148" s="811"/>
      <c r="C1148" s="545">
        <v>22</v>
      </c>
      <c r="D1148" s="557" t="s">
        <v>882</v>
      </c>
      <c r="E1148" s="782" t="s">
        <v>799</v>
      </c>
      <c r="F1148" s="553">
        <f>SUM(H1148,L1151)</f>
        <v>50</v>
      </c>
      <c r="G1148" s="557">
        <v>0</v>
      </c>
      <c r="H1148" s="913">
        <v>0</v>
      </c>
      <c r="I1148" s="607"/>
      <c r="J1148" s="538"/>
      <c r="K1148" s="538"/>
      <c r="L1148" s="609"/>
      <c r="M1148" s="586"/>
    </row>
    <row r="1149" spans="1:13" s="752" customFormat="1" ht="15">
      <c r="A1149" s="1461">
        <v>1142</v>
      </c>
      <c r="B1149" s="811"/>
      <c r="C1149" s="545"/>
      <c r="D1149" s="557" t="s">
        <v>957</v>
      </c>
      <c r="E1149" s="782"/>
      <c r="F1149" s="562"/>
      <c r="G1149" s="557"/>
      <c r="H1149" s="913"/>
      <c r="I1149" s="607"/>
      <c r="J1149" s="538">
        <v>50</v>
      </c>
      <c r="K1149" s="538"/>
      <c r="L1149" s="609">
        <f>SUM(I1149:K1149)</f>
        <v>50</v>
      </c>
      <c r="M1149" s="586"/>
    </row>
    <row r="1150" spans="1:13" s="753" customFormat="1" ht="15">
      <c r="A1150" s="1461">
        <v>1143</v>
      </c>
      <c r="B1150" s="812"/>
      <c r="C1150" s="1464"/>
      <c r="D1150" s="541" t="s">
        <v>497</v>
      </c>
      <c r="E1150" s="782"/>
      <c r="F1150" s="567"/>
      <c r="G1150" s="567"/>
      <c r="H1150" s="915"/>
      <c r="I1150" s="610"/>
      <c r="J1150" s="555"/>
      <c r="K1150" s="555"/>
      <c r="L1150" s="611">
        <f>SUM(I1150:K1150)</f>
        <v>0</v>
      </c>
      <c r="M1150" s="594"/>
    </row>
    <row r="1151" spans="1:13" s="754" customFormat="1" ht="15">
      <c r="A1151" s="1461">
        <v>1144</v>
      </c>
      <c r="B1151" s="577"/>
      <c r="C1151" s="1465"/>
      <c r="D1151" s="542" t="s">
        <v>1067</v>
      </c>
      <c r="E1151" s="576"/>
      <c r="F1151" s="568"/>
      <c r="G1151" s="568"/>
      <c r="H1151" s="911"/>
      <c r="I1151" s="615">
        <f>SUM(I1149:I1150)</f>
        <v>0</v>
      </c>
      <c r="J1151" s="568">
        <f>SUM(J1149:J1150)</f>
        <v>50</v>
      </c>
      <c r="K1151" s="568">
        <f>SUM(K1149:K1150)</f>
        <v>0</v>
      </c>
      <c r="L1151" s="608">
        <f>SUM(I1151:K1151)</f>
        <v>50</v>
      </c>
      <c r="M1151" s="593">
        <v>0</v>
      </c>
    </row>
    <row r="1152" spans="1:13" ht="15">
      <c r="A1152" s="1461">
        <v>1145</v>
      </c>
      <c r="B1152" s="811"/>
      <c r="C1152" s="545">
        <v>23</v>
      </c>
      <c r="D1152" s="539" t="s">
        <v>701</v>
      </c>
      <c r="E1152" s="782" t="s">
        <v>799</v>
      </c>
      <c r="F1152" s="553">
        <f>SUM(H1152,L1155)</f>
        <v>40</v>
      </c>
      <c r="G1152" s="562">
        <v>0</v>
      </c>
      <c r="H1152" s="914">
        <v>0</v>
      </c>
      <c r="I1152" s="607"/>
      <c r="J1152" s="538"/>
      <c r="K1152" s="538"/>
      <c r="L1152" s="608"/>
      <c r="M1152" s="591"/>
    </row>
    <row r="1153" spans="1:13" s="752" customFormat="1" ht="15">
      <c r="A1153" s="1461">
        <v>1146</v>
      </c>
      <c r="B1153" s="811"/>
      <c r="C1153" s="545"/>
      <c r="D1153" s="539" t="s">
        <v>957</v>
      </c>
      <c r="E1153" s="782"/>
      <c r="F1153" s="562"/>
      <c r="G1153" s="557"/>
      <c r="H1153" s="791"/>
      <c r="I1153" s="607"/>
      <c r="J1153" s="538">
        <v>40</v>
      </c>
      <c r="K1153" s="538"/>
      <c r="L1153" s="609">
        <f aca="true" t="shared" si="12" ref="L1153:L1167">SUM(I1153:K1153)</f>
        <v>40</v>
      </c>
      <c r="M1153" s="586"/>
    </row>
    <row r="1154" spans="1:13" s="753" customFormat="1" ht="15">
      <c r="A1154" s="1461">
        <v>1147</v>
      </c>
      <c r="B1154" s="812"/>
      <c r="C1154" s="1464"/>
      <c r="D1154" s="541" t="s">
        <v>405</v>
      </c>
      <c r="E1154" s="805"/>
      <c r="F1154" s="806"/>
      <c r="G1154" s="567"/>
      <c r="H1154" s="745"/>
      <c r="I1154" s="610"/>
      <c r="J1154" s="555"/>
      <c r="K1154" s="555"/>
      <c r="L1154" s="611">
        <f t="shared" si="12"/>
        <v>0</v>
      </c>
      <c r="M1154" s="594"/>
    </row>
    <row r="1155" spans="1:13" s="754" customFormat="1" ht="15">
      <c r="A1155" s="1461">
        <v>1148</v>
      </c>
      <c r="B1155" s="577"/>
      <c r="C1155" s="1465"/>
      <c r="D1155" s="542" t="s">
        <v>1067</v>
      </c>
      <c r="E1155" s="576"/>
      <c r="F1155" s="568"/>
      <c r="G1155" s="568"/>
      <c r="H1155" s="746"/>
      <c r="I1155" s="615">
        <f>SUM(I1153:I1154)</f>
        <v>0</v>
      </c>
      <c r="J1155" s="568">
        <f>SUM(J1153:J1154)</f>
        <v>40</v>
      </c>
      <c r="K1155" s="568">
        <f>SUM(K1153:K1154)</f>
        <v>0</v>
      </c>
      <c r="L1155" s="608">
        <f t="shared" si="12"/>
        <v>40</v>
      </c>
      <c r="M1155" s="593">
        <v>0</v>
      </c>
    </row>
    <row r="1156" spans="1:13" ht="15">
      <c r="A1156" s="1461">
        <v>1149</v>
      </c>
      <c r="B1156" s="811"/>
      <c r="C1156" s="545">
        <v>24</v>
      </c>
      <c r="D1156" s="539" t="s">
        <v>702</v>
      </c>
      <c r="E1156" s="782" t="s">
        <v>799</v>
      </c>
      <c r="F1156" s="553">
        <f>SUM(H1156,L1159)</f>
        <v>25</v>
      </c>
      <c r="G1156" s="562">
        <v>0</v>
      </c>
      <c r="H1156" s="914">
        <v>0</v>
      </c>
      <c r="I1156" s="607"/>
      <c r="J1156" s="538"/>
      <c r="K1156" s="538"/>
      <c r="L1156" s="608"/>
      <c r="M1156" s="591"/>
    </row>
    <row r="1157" spans="1:13" s="752" customFormat="1" ht="15">
      <c r="A1157" s="1461">
        <v>1150</v>
      </c>
      <c r="B1157" s="811"/>
      <c r="C1157" s="545"/>
      <c r="D1157" s="539" t="s">
        <v>957</v>
      </c>
      <c r="E1157" s="782"/>
      <c r="F1157" s="562"/>
      <c r="G1157" s="557"/>
      <c r="H1157" s="791"/>
      <c r="I1157" s="607"/>
      <c r="J1157" s="538">
        <v>25</v>
      </c>
      <c r="K1157" s="538"/>
      <c r="L1157" s="609">
        <f t="shared" si="12"/>
        <v>25</v>
      </c>
      <c r="M1157" s="586"/>
    </row>
    <row r="1158" spans="1:13" s="753" customFormat="1" ht="15">
      <c r="A1158" s="1461">
        <v>1151</v>
      </c>
      <c r="B1158" s="812"/>
      <c r="C1158" s="1464"/>
      <c r="D1158" s="541" t="s">
        <v>405</v>
      </c>
      <c r="E1158" s="805"/>
      <c r="F1158" s="806"/>
      <c r="G1158" s="567"/>
      <c r="H1158" s="745"/>
      <c r="I1158" s="610"/>
      <c r="J1158" s="555"/>
      <c r="K1158" s="555"/>
      <c r="L1158" s="611">
        <f t="shared" si="12"/>
        <v>0</v>
      </c>
      <c r="M1158" s="594"/>
    </row>
    <row r="1159" spans="1:13" s="754" customFormat="1" ht="15">
      <c r="A1159" s="1461">
        <v>1152</v>
      </c>
      <c r="B1159" s="577"/>
      <c r="C1159" s="1465"/>
      <c r="D1159" s="542" t="s">
        <v>1067</v>
      </c>
      <c r="E1159" s="576"/>
      <c r="F1159" s="568"/>
      <c r="G1159" s="568"/>
      <c r="H1159" s="746"/>
      <c r="I1159" s="615">
        <f>SUM(I1157:I1158)</f>
        <v>0</v>
      </c>
      <c r="J1159" s="568">
        <f>SUM(J1157:J1158)</f>
        <v>25</v>
      </c>
      <c r="K1159" s="568">
        <f>SUM(K1157:K1158)</f>
        <v>0</v>
      </c>
      <c r="L1159" s="608">
        <f t="shared" si="12"/>
        <v>25</v>
      </c>
      <c r="M1159" s="593">
        <v>0</v>
      </c>
    </row>
    <row r="1160" spans="1:13" ht="30">
      <c r="A1160" s="1461">
        <v>1153</v>
      </c>
      <c r="B1160" s="566"/>
      <c r="C1160" s="1463">
        <v>25</v>
      </c>
      <c r="D1160" s="539" t="s">
        <v>697</v>
      </c>
      <c r="E1160" s="782" t="s">
        <v>799</v>
      </c>
      <c r="F1160" s="553">
        <f>SUM(H1160,L1163)</f>
        <v>164</v>
      </c>
      <c r="G1160" s="562">
        <v>0</v>
      </c>
      <c r="H1160" s="914">
        <v>0</v>
      </c>
      <c r="I1160" s="607"/>
      <c r="J1160" s="538"/>
      <c r="K1160" s="538"/>
      <c r="L1160" s="608"/>
      <c r="M1160" s="591"/>
    </row>
    <row r="1161" spans="1:13" s="752" customFormat="1" ht="15">
      <c r="A1161" s="1461">
        <v>1154</v>
      </c>
      <c r="B1161" s="811"/>
      <c r="C1161" s="545"/>
      <c r="D1161" s="539" t="s">
        <v>957</v>
      </c>
      <c r="E1161" s="782"/>
      <c r="F1161" s="562"/>
      <c r="G1161" s="557"/>
      <c r="H1161" s="791"/>
      <c r="I1161" s="607"/>
      <c r="J1161" s="538">
        <v>164</v>
      </c>
      <c r="K1161" s="538"/>
      <c r="L1161" s="609">
        <f t="shared" si="12"/>
        <v>164</v>
      </c>
      <c r="M1161" s="586"/>
    </row>
    <row r="1162" spans="1:13" s="753" customFormat="1" ht="15">
      <c r="A1162" s="1461">
        <v>1155</v>
      </c>
      <c r="B1162" s="812"/>
      <c r="C1162" s="1464"/>
      <c r="D1162" s="541" t="s">
        <v>405</v>
      </c>
      <c r="E1162" s="805"/>
      <c r="F1162" s="806"/>
      <c r="G1162" s="567"/>
      <c r="H1162" s="745"/>
      <c r="I1162" s="610"/>
      <c r="J1162" s="555"/>
      <c r="K1162" s="555"/>
      <c r="L1162" s="611">
        <f t="shared" si="12"/>
        <v>0</v>
      </c>
      <c r="M1162" s="594"/>
    </row>
    <row r="1163" spans="1:13" s="754" customFormat="1" ht="15">
      <c r="A1163" s="1461">
        <v>1156</v>
      </c>
      <c r="B1163" s="577"/>
      <c r="C1163" s="1465"/>
      <c r="D1163" s="542" t="s">
        <v>1067</v>
      </c>
      <c r="E1163" s="576"/>
      <c r="F1163" s="568"/>
      <c r="G1163" s="568"/>
      <c r="H1163" s="746"/>
      <c r="I1163" s="615">
        <f>SUM(I1161:I1162)</f>
        <v>0</v>
      </c>
      <c r="J1163" s="568">
        <f>SUM(J1161:J1162)</f>
        <v>164</v>
      </c>
      <c r="K1163" s="568">
        <f>SUM(K1161:K1162)</f>
        <v>0</v>
      </c>
      <c r="L1163" s="608">
        <f t="shared" si="12"/>
        <v>164</v>
      </c>
      <c r="M1163" s="593">
        <v>0</v>
      </c>
    </row>
    <row r="1164" spans="1:13" ht="15">
      <c r="A1164" s="1461">
        <v>1157</v>
      </c>
      <c r="B1164" s="811"/>
      <c r="C1164" s="545">
        <v>26</v>
      </c>
      <c r="D1164" s="539" t="s">
        <v>698</v>
      </c>
      <c r="E1164" s="782" t="s">
        <v>799</v>
      </c>
      <c r="F1164" s="553">
        <f>SUM(H1164,L1167)</f>
        <v>60</v>
      </c>
      <c r="G1164" s="562">
        <v>0</v>
      </c>
      <c r="H1164" s="914">
        <v>0</v>
      </c>
      <c r="I1164" s="607"/>
      <c r="J1164" s="538"/>
      <c r="K1164" s="538"/>
      <c r="L1164" s="608"/>
      <c r="M1164" s="591"/>
    </row>
    <row r="1165" spans="1:13" s="752" customFormat="1" ht="15">
      <c r="A1165" s="1461">
        <v>1158</v>
      </c>
      <c r="B1165" s="811"/>
      <c r="C1165" s="545"/>
      <c r="D1165" s="539" t="s">
        <v>957</v>
      </c>
      <c r="E1165" s="782"/>
      <c r="F1165" s="562"/>
      <c r="G1165" s="557"/>
      <c r="H1165" s="791"/>
      <c r="I1165" s="607"/>
      <c r="J1165" s="538">
        <v>60</v>
      </c>
      <c r="K1165" s="538"/>
      <c r="L1165" s="609">
        <f t="shared" si="12"/>
        <v>60</v>
      </c>
      <c r="M1165" s="586"/>
    </row>
    <row r="1166" spans="1:13" s="753" customFormat="1" ht="15">
      <c r="A1166" s="1461">
        <v>1159</v>
      </c>
      <c r="B1166" s="812"/>
      <c r="C1166" s="1464"/>
      <c r="D1166" s="541" t="s">
        <v>405</v>
      </c>
      <c r="E1166" s="805"/>
      <c r="F1166" s="806"/>
      <c r="G1166" s="567"/>
      <c r="H1166" s="745"/>
      <c r="I1166" s="610"/>
      <c r="J1166" s="555"/>
      <c r="K1166" s="555"/>
      <c r="L1166" s="611">
        <f t="shared" si="12"/>
        <v>0</v>
      </c>
      <c r="M1166" s="594"/>
    </row>
    <row r="1167" spans="1:13" s="754" customFormat="1" ht="15">
      <c r="A1167" s="1461">
        <v>1160</v>
      </c>
      <c r="B1167" s="577"/>
      <c r="C1167" s="1465"/>
      <c r="D1167" s="542" t="s">
        <v>1067</v>
      </c>
      <c r="E1167" s="576"/>
      <c r="F1167" s="568"/>
      <c r="G1167" s="568"/>
      <c r="H1167" s="746"/>
      <c r="I1167" s="615">
        <f>SUM(I1165:I1166)</f>
        <v>0</v>
      </c>
      <c r="J1167" s="568">
        <f>SUM(J1165:J1166)</f>
        <v>60</v>
      </c>
      <c r="K1167" s="568">
        <f>SUM(K1165:K1166)</f>
        <v>0</v>
      </c>
      <c r="L1167" s="608">
        <f t="shared" si="12"/>
        <v>60</v>
      </c>
      <c r="M1167" s="593">
        <v>0</v>
      </c>
    </row>
    <row r="1168" spans="1:13" ht="15">
      <c r="A1168" s="1461">
        <v>1161</v>
      </c>
      <c r="B1168" s="811"/>
      <c r="C1168" s="545">
        <v>27</v>
      </c>
      <c r="D1168" s="539" t="s">
        <v>1157</v>
      </c>
      <c r="E1168" s="782" t="s">
        <v>799</v>
      </c>
      <c r="F1168" s="553">
        <v>150</v>
      </c>
      <c r="G1168" s="562">
        <v>0</v>
      </c>
      <c r="H1168" s="914">
        <v>0</v>
      </c>
      <c r="I1168" s="607"/>
      <c r="J1168" s="538"/>
      <c r="K1168" s="538"/>
      <c r="L1168" s="608"/>
      <c r="M1168" s="591"/>
    </row>
    <row r="1169" spans="1:13" s="753" customFormat="1" ht="15">
      <c r="A1169" s="1461">
        <v>1162</v>
      </c>
      <c r="B1169" s="812"/>
      <c r="C1169" s="1464"/>
      <c r="D1169" s="541" t="s">
        <v>234</v>
      </c>
      <c r="E1169" s="805"/>
      <c r="F1169" s="806"/>
      <c r="G1169" s="567"/>
      <c r="H1169" s="745"/>
      <c r="I1169" s="610"/>
      <c r="J1169" s="555">
        <v>150</v>
      </c>
      <c r="K1169" s="555"/>
      <c r="L1169" s="611">
        <f>SUM(I1169:K1169)</f>
        <v>150</v>
      </c>
      <c r="M1169" s="594"/>
    </row>
    <row r="1170" spans="1:13" s="754" customFormat="1" ht="15">
      <c r="A1170" s="1461">
        <v>1163</v>
      </c>
      <c r="B1170" s="577"/>
      <c r="C1170" s="1465"/>
      <c r="D1170" s="542" t="s">
        <v>404</v>
      </c>
      <c r="E1170" s="576"/>
      <c r="F1170" s="568"/>
      <c r="G1170" s="568"/>
      <c r="H1170" s="746"/>
      <c r="I1170" s="615">
        <f>SUM(I1169)</f>
        <v>0</v>
      </c>
      <c r="J1170" s="568">
        <f>SUM(J1169)</f>
        <v>150</v>
      </c>
      <c r="K1170" s="568">
        <f>SUM(K1169)</f>
        <v>0</v>
      </c>
      <c r="L1170" s="608">
        <f>SUM(L1169)</f>
        <v>150</v>
      </c>
      <c r="M1170" s="593">
        <v>0</v>
      </c>
    </row>
    <row r="1171" spans="1:13" s="752" customFormat="1" ht="15">
      <c r="A1171" s="1461">
        <v>1164</v>
      </c>
      <c r="B1171" s="535">
        <v>7</v>
      </c>
      <c r="C1171" s="545"/>
      <c r="D1171" s="536" t="s">
        <v>551</v>
      </c>
      <c r="E1171" s="782"/>
      <c r="F1171" s="564"/>
      <c r="G1171" s="564"/>
      <c r="H1171" s="912"/>
      <c r="I1171" s="607"/>
      <c r="J1171" s="538"/>
      <c r="K1171" s="538"/>
      <c r="L1171" s="609"/>
      <c r="M1171" s="589"/>
    </row>
    <row r="1172" spans="1:13" s="752" customFormat="1" ht="15">
      <c r="A1172" s="1461">
        <v>1165</v>
      </c>
      <c r="B1172" s="811"/>
      <c r="C1172" s="545">
        <v>1</v>
      </c>
      <c r="D1172" s="557" t="s">
        <v>325</v>
      </c>
      <c r="E1172" s="782" t="s">
        <v>799</v>
      </c>
      <c r="F1172" s="553">
        <f>SUM(H1172,L1176)</f>
        <v>80</v>
      </c>
      <c r="G1172" s="557">
        <v>0</v>
      </c>
      <c r="H1172" s="913">
        <v>0</v>
      </c>
      <c r="I1172" s="607"/>
      <c r="J1172" s="538"/>
      <c r="K1172" s="538"/>
      <c r="L1172" s="609"/>
      <c r="M1172" s="586"/>
    </row>
    <row r="1173" spans="1:13" ht="15">
      <c r="A1173" s="1461">
        <v>1166</v>
      </c>
      <c r="B1173" s="811"/>
      <c r="C1173" s="545"/>
      <c r="D1173" s="539" t="s">
        <v>403</v>
      </c>
      <c r="E1173" s="782"/>
      <c r="F1173" s="567"/>
      <c r="G1173" s="562"/>
      <c r="H1173" s="914"/>
      <c r="I1173" s="607"/>
      <c r="J1173" s="538">
        <v>80</v>
      </c>
      <c r="K1173" s="538"/>
      <c r="L1173" s="609">
        <f aca="true" t="shared" si="13" ref="L1173:L1279">SUM(I1173:K1173)</f>
        <v>80</v>
      </c>
      <c r="M1173" s="591"/>
    </row>
    <row r="1174" spans="1:13" ht="15">
      <c r="A1174" s="1461">
        <v>1167</v>
      </c>
      <c r="B1174" s="811"/>
      <c r="C1174" s="545"/>
      <c r="D1174" s="539" t="s">
        <v>957</v>
      </c>
      <c r="E1174" s="782"/>
      <c r="F1174" s="567"/>
      <c r="G1174" s="562"/>
      <c r="H1174" s="914"/>
      <c r="I1174" s="607"/>
      <c r="J1174" s="538">
        <v>80</v>
      </c>
      <c r="K1174" s="538"/>
      <c r="L1174" s="609">
        <f t="shared" si="13"/>
        <v>80</v>
      </c>
      <c r="M1174" s="591"/>
    </row>
    <row r="1175" spans="1:13" s="753" customFormat="1" ht="15">
      <c r="A1175" s="1461">
        <v>1168</v>
      </c>
      <c r="B1175" s="812"/>
      <c r="C1175" s="1464"/>
      <c r="D1175" s="541" t="s">
        <v>405</v>
      </c>
      <c r="E1175" s="576"/>
      <c r="F1175" s="568"/>
      <c r="G1175" s="567"/>
      <c r="H1175" s="915"/>
      <c r="I1175" s="610"/>
      <c r="J1175" s="555"/>
      <c r="K1175" s="555"/>
      <c r="L1175" s="611">
        <f t="shared" si="13"/>
        <v>0</v>
      </c>
      <c r="M1175" s="594"/>
    </row>
    <row r="1176" spans="1:13" s="754" customFormat="1" ht="15">
      <c r="A1176" s="1461">
        <v>1169</v>
      </c>
      <c r="B1176" s="577"/>
      <c r="C1176" s="1465"/>
      <c r="D1176" s="542" t="s">
        <v>1067</v>
      </c>
      <c r="E1176" s="779"/>
      <c r="F1176" s="557"/>
      <c r="G1176" s="568"/>
      <c r="H1176" s="911"/>
      <c r="I1176" s="615">
        <f>SUM(I1174:I1175)</f>
        <v>0</v>
      </c>
      <c r="J1176" s="568">
        <f>SUM(J1174:J1175)</f>
        <v>80</v>
      </c>
      <c r="K1176" s="568">
        <f>SUM(K1174:K1175)</f>
        <v>0</v>
      </c>
      <c r="L1176" s="608">
        <f t="shared" si="13"/>
        <v>80</v>
      </c>
      <c r="M1176" s="593">
        <f>SUM(M1173:M1175)</f>
        <v>0</v>
      </c>
    </row>
    <row r="1177" spans="1:13" s="752" customFormat="1" ht="15">
      <c r="A1177" s="1461">
        <v>1170</v>
      </c>
      <c r="B1177" s="811"/>
      <c r="C1177" s="545">
        <v>2</v>
      </c>
      <c r="D1177" s="557" t="s">
        <v>579</v>
      </c>
      <c r="E1177" s="782" t="s">
        <v>799</v>
      </c>
      <c r="F1177" s="553">
        <f>SUM(H1177,L1181)</f>
        <v>97</v>
      </c>
      <c r="G1177" s="557">
        <v>0</v>
      </c>
      <c r="H1177" s="913">
        <v>0</v>
      </c>
      <c r="I1177" s="607"/>
      <c r="J1177" s="538"/>
      <c r="K1177" s="538"/>
      <c r="L1177" s="609"/>
      <c r="M1177" s="586"/>
    </row>
    <row r="1178" spans="1:13" ht="15">
      <c r="A1178" s="1461">
        <v>1171</v>
      </c>
      <c r="B1178" s="811"/>
      <c r="C1178" s="545"/>
      <c r="D1178" s="539" t="s">
        <v>403</v>
      </c>
      <c r="E1178" s="782"/>
      <c r="F1178" s="567"/>
      <c r="G1178" s="562"/>
      <c r="H1178" s="914"/>
      <c r="I1178" s="607"/>
      <c r="J1178" s="538">
        <v>97</v>
      </c>
      <c r="K1178" s="538"/>
      <c r="L1178" s="609">
        <f t="shared" si="13"/>
        <v>97</v>
      </c>
      <c r="M1178" s="591"/>
    </row>
    <row r="1179" spans="1:13" ht="15">
      <c r="A1179" s="1461">
        <v>1172</v>
      </c>
      <c r="B1179" s="811"/>
      <c r="C1179" s="545"/>
      <c r="D1179" s="539" t="s">
        <v>957</v>
      </c>
      <c r="E1179" s="782"/>
      <c r="F1179" s="567"/>
      <c r="G1179" s="562"/>
      <c r="H1179" s="914"/>
      <c r="I1179" s="607"/>
      <c r="J1179" s="538">
        <v>97</v>
      </c>
      <c r="K1179" s="538"/>
      <c r="L1179" s="609">
        <f t="shared" si="13"/>
        <v>97</v>
      </c>
      <c r="M1179" s="591"/>
    </row>
    <row r="1180" spans="1:13" s="753" customFormat="1" ht="15">
      <c r="A1180" s="1461">
        <v>1173</v>
      </c>
      <c r="B1180" s="812"/>
      <c r="C1180" s="1464"/>
      <c r="D1180" s="541" t="s">
        <v>405</v>
      </c>
      <c r="E1180" s="576"/>
      <c r="F1180" s="568"/>
      <c r="G1180" s="567"/>
      <c r="H1180" s="915"/>
      <c r="I1180" s="610"/>
      <c r="J1180" s="555"/>
      <c r="K1180" s="555"/>
      <c r="L1180" s="611">
        <f t="shared" si="13"/>
        <v>0</v>
      </c>
      <c r="M1180" s="594"/>
    </row>
    <row r="1181" spans="1:13" s="754" customFormat="1" ht="15">
      <c r="A1181" s="1461">
        <v>1174</v>
      </c>
      <c r="B1181" s="577"/>
      <c r="C1181" s="1465"/>
      <c r="D1181" s="542" t="s">
        <v>1067</v>
      </c>
      <c r="E1181" s="779"/>
      <c r="F1181" s="557"/>
      <c r="G1181" s="568"/>
      <c r="H1181" s="911"/>
      <c r="I1181" s="615">
        <f>SUM(I1179:I1180)</f>
        <v>0</v>
      </c>
      <c r="J1181" s="568">
        <f>SUM(J1179:J1180)</f>
        <v>97</v>
      </c>
      <c r="K1181" s="568">
        <f>SUM(K1179:K1180)</f>
        <v>0</v>
      </c>
      <c r="L1181" s="608">
        <f t="shared" si="13"/>
        <v>97</v>
      </c>
      <c r="M1181" s="593">
        <f>SUM(M1178:M1180)</f>
        <v>0</v>
      </c>
    </row>
    <row r="1182" spans="1:13" s="752" customFormat="1" ht="15">
      <c r="A1182" s="1461">
        <v>1175</v>
      </c>
      <c r="B1182" s="811"/>
      <c r="C1182" s="545">
        <v>3</v>
      </c>
      <c r="D1182" s="557" t="s">
        <v>580</v>
      </c>
      <c r="E1182" s="782" t="s">
        <v>799</v>
      </c>
      <c r="F1182" s="553">
        <f>SUM(H1182,L1186)</f>
        <v>0</v>
      </c>
      <c r="G1182" s="557">
        <v>0</v>
      </c>
      <c r="H1182" s="913">
        <v>0</v>
      </c>
      <c r="I1182" s="607"/>
      <c r="J1182" s="538"/>
      <c r="K1182" s="538"/>
      <c r="L1182" s="609"/>
      <c r="M1182" s="586"/>
    </row>
    <row r="1183" spans="1:13" ht="15">
      <c r="A1183" s="1461">
        <v>1176</v>
      </c>
      <c r="B1183" s="811"/>
      <c r="C1183" s="545"/>
      <c r="D1183" s="539" t="s">
        <v>403</v>
      </c>
      <c r="E1183" s="788"/>
      <c r="F1183" s="796"/>
      <c r="G1183" s="562"/>
      <c r="H1183" s="914"/>
      <c r="I1183" s="607"/>
      <c r="J1183" s="538">
        <v>50</v>
      </c>
      <c r="K1183" s="538"/>
      <c r="L1183" s="609">
        <f t="shared" si="13"/>
        <v>50</v>
      </c>
      <c r="M1183" s="591"/>
    </row>
    <row r="1184" spans="1:13" ht="15">
      <c r="A1184" s="1461">
        <v>1177</v>
      </c>
      <c r="B1184" s="811"/>
      <c r="C1184" s="545"/>
      <c r="D1184" s="539" t="s">
        <v>957</v>
      </c>
      <c r="E1184" s="788"/>
      <c r="F1184" s="796"/>
      <c r="G1184" s="562"/>
      <c r="H1184" s="914"/>
      <c r="I1184" s="607"/>
      <c r="J1184" s="538">
        <v>0</v>
      </c>
      <c r="K1184" s="538"/>
      <c r="L1184" s="609">
        <f t="shared" si="13"/>
        <v>0</v>
      </c>
      <c r="M1184" s="591"/>
    </row>
    <row r="1185" spans="1:13" s="753" customFormat="1" ht="15">
      <c r="A1185" s="1461">
        <v>1178</v>
      </c>
      <c r="B1185" s="812"/>
      <c r="C1185" s="1464"/>
      <c r="D1185" s="541" t="s">
        <v>405</v>
      </c>
      <c r="E1185" s="782"/>
      <c r="F1185" s="567"/>
      <c r="G1185" s="567"/>
      <c r="H1185" s="915"/>
      <c r="I1185" s="610"/>
      <c r="J1185" s="555"/>
      <c r="K1185" s="555"/>
      <c r="L1185" s="611">
        <f t="shared" si="13"/>
        <v>0</v>
      </c>
      <c r="M1185" s="594"/>
    </row>
    <row r="1186" spans="1:13" s="754" customFormat="1" ht="15">
      <c r="A1186" s="1461">
        <v>1179</v>
      </c>
      <c r="B1186" s="577"/>
      <c r="C1186" s="1465"/>
      <c r="D1186" s="542" t="s">
        <v>1067</v>
      </c>
      <c r="E1186" s="576"/>
      <c r="F1186" s="568"/>
      <c r="G1186" s="568"/>
      <c r="H1186" s="911"/>
      <c r="I1186" s="615">
        <f>SUM(I1184:I1185)</f>
        <v>0</v>
      </c>
      <c r="J1186" s="568">
        <f>SUM(J1184:J1185)</f>
        <v>0</v>
      </c>
      <c r="K1186" s="568">
        <f>SUM(K1184:K1185)</f>
        <v>0</v>
      </c>
      <c r="L1186" s="608">
        <f t="shared" si="13"/>
        <v>0</v>
      </c>
      <c r="M1186" s="593">
        <f>SUM(M1183:M1185)</f>
        <v>0</v>
      </c>
    </row>
    <row r="1187" spans="1:13" s="752" customFormat="1" ht="15">
      <c r="A1187" s="1461">
        <v>1180</v>
      </c>
      <c r="B1187" s="811"/>
      <c r="C1187" s="545">
        <v>4</v>
      </c>
      <c r="D1187" s="557" t="s">
        <v>581</v>
      </c>
      <c r="E1187" s="782" t="s">
        <v>799</v>
      </c>
      <c r="F1187" s="553">
        <f>SUM(H1187,L1191)</f>
        <v>485</v>
      </c>
      <c r="G1187" s="557">
        <v>0</v>
      </c>
      <c r="H1187" s="913">
        <v>0</v>
      </c>
      <c r="I1187" s="607"/>
      <c r="J1187" s="538"/>
      <c r="K1187" s="538"/>
      <c r="L1187" s="609"/>
      <c r="M1187" s="586"/>
    </row>
    <row r="1188" spans="1:13" ht="15">
      <c r="A1188" s="1461">
        <v>1181</v>
      </c>
      <c r="B1188" s="811"/>
      <c r="C1188" s="545"/>
      <c r="D1188" s="539" t="s">
        <v>403</v>
      </c>
      <c r="E1188" s="782"/>
      <c r="F1188" s="567"/>
      <c r="G1188" s="562"/>
      <c r="H1188" s="914"/>
      <c r="I1188" s="607"/>
      <c r="J1188" s="538">
        <v>600</v>
      </c>
      <c r="K1188" s="538"/>
      <c r="L1188" s="609">
        <f t="shared" si="13"/>
        <v>600</v>
      </c>
      <c r="M1188" s="591"/>
    </row>
    <row r="1189" spans="1:13" ht="15">
      <c r="A1189" s="1461">
        <v>1182</v>
      </c>
      <c r="B1189" s="811"/>
      <c r="C1189" s="545"/>
      <c r="D1189" s="539" t="s">
        <v>957</v>
      </c>
      <c r="E1189" s="782"/>
      <c r="F1189" s="567"/>
      <c r="G1189" s="562"/>
      <c r="H1189" s="914"/>
      <c r="I1189" s="607"/>
      <c r="J1189" s="538">
        <v>485</v>
      </c>
      <c r="K1189" s="538"/>
      <c r="L1189" s="609">
        <f t="shared" si="13"/>
        <v>485</v>
      </c>
      <c r="M1189" s="591"/>
    </row>
    <row r="1190" spans="1:13" s="753" customFormat="1" ht="15">
      <c r="A1190" s="1461">
        <v>1183</v>
      </c>
      <c r="B1190" s="812"/>
      <c r="C1190" s="1464"/>
      <c r="D1190" s="541" t="s">
        <v>405</v>
      </c>
      <c r="E1190" s="576"/>
      <c r="F1190" s="568"/>
      <c r="G1190" s="567"/>
      <c r="H1190" s="915"/>
      <c r="I1190" s="610"/>
      <c r="J1190" s="555"/>
      <c r="K1190" s="555"/>
      <c r="L1190" s="611">
        <f t="shared" si="13"/>
        <v>0</v>
      </c>
      <c r="M1190" s="594"/>
    </row>
    <row r="1191" spans="1:13" s="754" customFormat="1" ht="15">
      <c r="A1191" s="1461">
        <v>1184</v>
      </c>
      <c r="B1191" s="577"/>
      <c r="C1191" s="1465"/>
      <c r="D1191" s="542" t="s">
        <v>1067</v>
      </c>
      <c r="E1191" s="779"/>
      <c r="F1191" s="557"/>
      <c r="G1191" s="568"/>
      <c r="H1191" s="911"/>
      <c r="I1191" s="615">
        <f>SUM(I1189:I1190)</f>
        <v>0</v>
      </c>
      <c r="J1191" s="568">
        <f>SUM(J1189:J1190)</f>
        <v>485</v>
      </c>
      <c r="K1191" s="568">
        <f>SUM(K1189:K1190)</f>
        <v>0</v>
      </c>
      <c r="L1191" s="608">
        <f t="shared" si="13"/>
        <v>485</v>
      </c>
      <c r="M1191" s="593">
        <f>SUM(M1188:M1190)</f>
        <v>0</v>
      </c>
    </row>
    <row r="1192" spans="1:13" s="752" customFormat="1" ht="15">
      <c r="A1192" s="1461">
        <v>1185</v>
      </c>
      <c r="B1192" s="811"/>
      <c r="C1192" s="545">
        <v>5</v>
      </c>
      <c r="D1192" s="557" t="s">
        <v>582</v>
      </c>
      <c r="E1192" s="782" t="s">
        <v>799</v>
      </c>
      <c r="F1192" s="553">
        <f>SUM(H1192,L1196)</f>
        <v>283</v>
      </c>
      <c r="G1192" s="557">
        <v>0</v>
      </c>
      <c r="H1192" s="913">
        <v>0</v>
      </c>
      <c r="I1192" s="607"/>
      <c r="J1192" s="538"/>
      <c r="K1192" s="538"/>
      <c r="L1192" s="609"/>
      <c r="M1192" s="586"/>
    </row>
    <row r="1193" spans="1:13" ht="15">
      <c r="A1193" s="1461">
        <v>1186</v>
      </c>
      <c r="B1193" s="811"/>
      <c r="C1193" s="545"/>
      <c r="D1193" s="539" t="s">
        <v>403</v>
      </c>
      <c r="E1193" s="788"/>
      <c r="F1193" s="796"/>
      <c r="G1193" s="562"/>
      <c r="H1193" s="914"/>
      <c r="I1193" s="607"/>
      <c r="J1193" s="538">
        <v>283</v>
      </c>
      <c r="K1193" s="538"/>
      <c r="L1193" s="609">
        <f t="shared" si="13"/>
        <v>283</v>
      </c>
      <c r="M1193" s="591"/>
    </row>
    <row r="1194" spans="1:13" ht="15">
      <c r="A1194" s="1461">
        <v>1187</v>
      </c>
      <c r="B1194" s="811"/>
      <c r="C1194" s="545"/>
      <c r="D1194" s="539" t="s">
        <v>957</v>
      </c>
      <c r="E1194" s="788"/>
      <c r="F1194" s="796"/>
      <c r="G1194" s="562"/>
      <c r="H1194" s="914"/>
      <c r="I1194" s="607"/>
      <c r="J1194" s="538">
        <v>283</v>
      </c>
      <c r="K1194" s="538"/>
      <c r="L1194" s="609">
        <f t="shared" si="13"/>
        <v>283</v>
      </c>
      <c r="M1194" s="591"/>
    </row>
    <row r="1195" spans="1:13" s="753" customFormat="1" ht="15">
      <c r="A1195" s="1461">
        <v>1188</v>
      </c>
      <c r="B1195" s="812"/>
      <c r="C1195" s="1464"/>
      <c r="D1195" s="541" t="s">
        <v>405</v>
      </c>
      <c r="E1195" s="782"/>
      <c r="F1195" s="567"/>
      <c r="G1195" s="567"/>
      <c r="H1195" s="915"/>
      <c r="I1195" s="610"/>
      <c r="J1195" s="555"/>
      <c r="K1195" s="555"/>
      <c r="L1195" s="611">
        <f t="shared" si="13"/>
        <v>0</v>
      </c>
      <c r="M1195" s="594"/>
    </row>
    <row r="1196" spans="1:13" s="754" customFormat="1" ht="15">
      <c r="A1196" s="1461">
        <v>1189</v>
      </c>
      <c r="B1196" s="577"/>
      <c r="C1196" s="1465"/>
      <c r="D1196" s="542" t="s">
        <v>1067</v>
      </c>
      <c r="E1196" s="779"/>
      <c r="F1196" s="557"/>
      <c r="G1196" s="568"/>
      <c r="H1196" s="911"/>
      <c r="I1196" s="615">
        <f>SUM(I1194:I1195)</f>
        <v>0</v>
      </c>
      <c r="J1196" s="568">
        <f>SUM(J1194:J1195)</f>
        <v>283</v>
      </c>
      <c r="K1196" s="568">
        <f>SUM(K1194:K1195)</f>
        <v>0</v>
      </c>
      <c r="L1196" s="608">
        <f t="shared" si="13"/>
        <v>283</v>
      </c>
      <c r="M1196" s="593">
        <v>0</v>
      </c>
    </row>
    <row r="1197" spans="1:13" ht="15">
      <c r="A1197" s="1461">
        <v>1190</v>
      </c>
      <c r="B1197" s="811"/>
      <c r="C1197" s="545">
        <v>6</v>
      </c>
      <c r="D1197" s="539" t="s">
        <v>720</v>
      </c>
      <c r="E1197" s="782" t="s">
        <v>799</v>
      </c>
      <c r="F1197" s="553">
        <f>SUM(H1197,L1200)</f>
        <v>63</v>
      </c>
      <c r="G1197" s="562">
        <v>0</v>
      </c>
      <c r="H1197" s="914">
        <v>0</v>
      </c>
      <c r="I1197" s="607"/>
      <c r="J1197" s="538"/>
      <c r="K1197" s="538"/>
      <c r="L1197" s="608"/>
      <c r="M1197" s="591"/>
    </row>
    <row r="1198" spans="1:13" s="752" customFormat="1" ht="15">
      <c r="A1198" s="1461">
        <v>1191</v>
      </c>
      <c r="B1198" s="811"/>
      <c r="C1198" s="545"/>
      <c r="D1198" s="539" t="s">
        <v>957</v>
      </c>
      <c r="E1198" s="782"/>
      <c r="F1198" s="562"/>
      <c r="G1198" s="557"/>
      <c r="H1198" s="791"/>
      <c r="I1198" s="607"/>
      <c r="J1198" s="538">
        <v>63</v>
      </c>
      <c r="K1198" s="538"/>
      <c r="L1198" s="609">
        <f t="shared" si="13"/>
        <v>63</v>
      </c>
      <c r="M1198" s="586"/>
    </row>
    <row r="1199" spans="1:13" s="753" customFormat="1" ht="15">
      <c r="A1199" s="1461">
        <v>1192</v>
      </c>
      <c r="B1199" s="812"/>
      <c r="C1199" s="1464"/>
      <c r="D1199" s="541" t="s">
        <v>405</v>
      </c>
      <c r="E1199" s="805"/>
      <c r="F1199" s="806"/>
      <c r="G1199" s="567"/>
      <c r="H1199" s="745"/>
      <c r="I1199" s="610"/>
      <c r="J1199" s="555"/>
      <c r="K1199" s="555"/>
      <c r="L1199" s="611">
        <f t="shared" si="13"/>
        <v>0</v>
      </c>
      <c r="M1199" s="594"/>
    </row>
    <row r="1200" spans="1:13" s="754" customFormat="1" ht="15">
      <c r="A1200" s="1461">
        <v>1193</v>
      </c>
      <c r="B1200" s="577"/>
      <c r="C1200" s="1465"/>
      <c r="D1200" s="542" t="s">
        <v>1067</v>
      </c>
      <c r="E1200" s="576"/>
      <c r="F1200" s="568"/>
      <c r="G1200" s="568"/>
      <c r="H1200" s="746"/>
      <c r="I1200" s="615">
        <f>SUM(I1198:I1199)</f>
        <v>0</v>
      </c>
      <c r="J1200" s="568">
        <f>SUM(J1198:J1199)</f>
        <v>63</v>
      </c>
      <c r="K1200" s="568">
        <f>SUM(K1198:K1199)</f>
        <v>0</v>
      </c>
      <c r="L1200" s="608">
        <f t="shared" si="13"/>
        <v>63</v>
      </c>
      <c r="M1200" s="593">
        <v>0</v>
      </c>
    </row>
    <row r="1201" spans="1:13" ht="15">
      <c r="A1201" s="1461">
        <v>1194</v>
      </c>
      <c r="B1201" s="811"/>
      <c r="C1201" s="545">
        <v>7</v>
      </c>
      <c r="D1201" s="539" t="s">
        <v>965</v>
      </c>
      <c r="E1201" s="782" t="s">
        <v>799</v>
      </c>
      <c r="F1201" s="553">
        <f>SUM(H1201,L1204)</f>
        <v>102</v>
      </c>
      <c r="G1201" s="562">
        <v>0</v>
      </c>
      <c r="H1201" s="914">
        <v>0</v>
      </c>
      <c r="I1201" s="607"/>
      <c r="J1201" s="538"/>
      <c r="K1201" s="538"/>
      <c r="L1201" s="608"/>
      <c r="M1201" s="591"/>
    </row>
    <row r="1202" spans="1:13" s="752" customFormat="1" ht="15">
      <c r="A1202" s="1461">
        <v>1195</v>
      </c>
      <c r="B1202" s="811"/>
      <c r="C1202" s="545"/>
      <c r="D1202" s="539" t="s">
        <v>957</v>
      </c>
      <c r="E1202" s="782"/>
      <c r="F1202" s="562"/>
      <c r="G1202" s="557"/>
      <c r="H1202" s="791"/>
      <c r="I1202" s="607"/>
      <c r="J1202" s="538">
        <v>102</v>
      </c>
      <c r="K1202" s="538"/>
      <c r="L1202" s="609">
        <f t="shared" si="13"/>
        <v>102</v>
      </c>
      <c r="M1202" s="586"/>
    </row>
    <row r="1203" spans="1:13" s="753" customFormat="1" ht="15">
      <c r="A1203" s="1461">
        <v>1196</v>
      </c>
      <c r="B1203" s="812"/>
      <c r="C1203" s="1464"/>
      <c r="D1203" s="541" t="s">
        <v>405</v>
      </c>
      <c r="E1203" s="805"/>
      <c r="F1203" s="806"/>
      <c r="G1203" s="567"/>
      <c r="H1203" s="745"/>
      <c r="I1203" s="610"/>
      <c r="J1203" s="555"/>
      <c r="K1203" s="555"/>
      <c r="L1203" s="611">
        <f t="shared" si="13"/>
        <v>0</v>
      </c>
      <c r="M1203" s="594"/>
    </row>
    <row r="1204" spans="1:13" s="754" customFormat="1" ht="15">
      <c r="A1204" s="1461">
        <v>1197</v>
      </c>
      <c r="B1204" s="577"/>
      <c r="C1204" s="1465"/>
      <c r="D1204" s="542" t="s">
        <v>1067</v>
      </c>
      <c r="E1204" s="576"/>
      <c r="F1204" s="568"/>
      <c r="G1204" s="568"/>
      <c r="H1204" s="746"/>
      <c r="I1204" s="615">
        <f>SUM(I1202:I1203)</f>
        <v>0</v>
      </c>
      <c r="J1204" s="568">
        <f>SUM(J1202:J1203)</f>
        <v>102</v>
      </c>
      <c r="K1204" s="568">
        <f>SUM(K1202:K1203)</f>
        <v>0</v>
      </c>
      <c r="L1204" s="608">
        <f t="shared" si="13"/>
        <v>102</v>
      </c>
      <c r="M1204" s="593">
        <v>0</v>
      </c>
    </row>
    <row r="1205" spans="1:13" s="752" customFormat="1" ht="15">
      <c r="A1205" s="1461">
        <v>1198</v>
      </c>
      <c r="B1205" s="535">
        <v>8</v>
      </c>
      <c r="C1205" s="545"/>
      <c r="D1205" s="536" t="s">
        <v>583</v>
      </c>
      <c r="E1205" s="782"/>
      <c r="F1205" s="564"/>
      <c r="G1205" s="564"/>
      <c r="H1205" s="912"/>
      <c r="I1205" s="607"/>
      <c r="J1205" s="538"/>
      <c r="K1205" s="538"/>
      <c r="L1205" s="609"/>
      <c r="M1205" s="589"/>
    </row>
    <row r="1206" spans="1:13" s="752" customFormat="1" ht="15">
      <c r="A1206" s="1461">
        <v>1199</v>
      </c>
      <c r="B1206" s="535"/>
      <c r="C1206" s="545"/>
      <c r="D1206" s="536" t="s">
        <v>326</v>
      </c>
      <c r="E1206" s="576"/>
      <c r="F1206" s="536"/>
      <c r="G1206" s="536"/>
      <c r="H1206" s="916"/>
      <c r="I1206" s="607"/>
      <c r="J1206" s="538"/>
      <c r="K1206" s="538"/>
      <c r="L1206" s="609"/>
      <c r="M1206" s="589"/>
    </row>
    <row r="1207" spans="1:13" s="752" customFormat="1" ht="15">
      <c r="A1207" s="1461">
        <v>1200</v>
      </c>
      <c r="B1207" s="811"/>
      <c r="C1207" s="545">
        <v>1</v>
      </c>
      <c r="D1207" s="557" t="s">
        <v>327</v>
      </c>
      <c r="E1207" s="782" t="s">
        <v>799</v>
      </c>
      <c r="F1207" s="553">
        <f>SUM(H1207,L1211)</f>
        <v>103</v>
      </c>
      <c r="G1207" s="557">
        <v>0</v>
      </c>
      <c r="H1207" s="913">
        <v>0</v>
      </c>
      <c r="I1207" s="607"/>
      <c r="J1207" s="538"/>
      <c r="K1207" s="538"/>
      <c r="L1207" s="609"/>
      <c r="M1207" s="586"/>
    </row>
    <row r="1208" spans="1:13" ht="15">
      <c r="A1208" s="1461">
        <v>1201</v>
      </c>
      <c r="B1208" s="811"/>
      <c r="C1208" s="545"/>
      <c r="D1208" s="539" t="s">
        <v>403</v>
      </c>
      <c r="E1208" s="782"/>
      <c r="F1208" s="567"/>
      <c r="G1208" s="562"/>
      <c r="H1208" s="914"/>
      <c r="I1208" s="607"/>
      <c r="J1208" s="538">
        <v>120</v>
      </c>
      <c r="K1208" s="538"/>
      <c r="L1208" s="609">
        <f t="shared" si="13"/>
        <v>120</v>
      </c>
      <c r="M1208" s="591"/>
    </row>
    <row r="1209" spans="1:13" ht="15">
      <c r="A1209" s="1461">
        <v>1202</v>
      </c>
      <c r="B1209" s="811"/>
      <c r="C1209" s="545"/>
      <c r="D1209" s="539" t="s">
        <v>957</v>
      </c>
      <c r="E1209" s="782"/>
      <c r="F1209" s="567"/>
      <c r="G1209" s="562"/>
      <c r="H1209" s="914"/>
      <c r="I1209" s="607"/>
      <c r="J1209" s="538">
        <v>103</v>
      </c>
      <c r="K1209" s="538"/>
      <c r="L1209" s="609">
        <f t="shared" si="13"/>
        <v>103</v>
      </c>
      <c r="M1209" s="591"/>
    </row>
    <row r="1210" spans="1:13" s="753" customFormat="1" ht="15">
      <c r="A1210" s="1461">
        <v>1203</v>
      </c>
      <c r="B1210" s="812"/>
      <c r="C1210" s="1464"/>
      <c r="D1210" s="541" t="s">
        <v>405</v>
      </c>
      <c r="E1210" s="576"/>
      <c r="F1210" s="568"/>
      <c r="G1210" s="567"/>
      <c r="H1210" s="915"/>
      <c r="I1210" s="610"/>
      <c r="J1210" s="555"/>
      <c r="K1210" s="555"/>
      <c r="L1210" s="611">
        <f t="shared" si="13"/>
        <v>0</v>
      </c>
      <c r="M1210" s="594"/>
    </row>
    <row r="1211" spans="1:13" s="754" customFormat="1" ht="15">
      <c r="A1211" s="1461">
        <v>1204</v>
      </c>
      <c r="B1211" s="577"/>
      <c r="C1211" s="1465"/>
      <c r="D1211" s="542" t="s">
        <v>1067</v>
      </c>
      <c r="E1211" s="782"/>
      <c r="F1211" s="540"/>
      <c r="G1211" s="568"/>
      <c r="H1211" s="911"/>
      <c r="I1211" s="615">
        <f>SUM(I1209:I1210)</f>
        <v>0</v>
      </c>
      <c r="J1211" s="568">
        <f>SUM(J1209:J1210)</f>
        <v>103</v>
      </c>
      <c r="K1211" s="568">
        <f>SUM(K1209:K1210)</f>
        <v>0</v>
      </c>
      <c r="L1211" s="608">
        <f t="shared" si="13"/>
        <v>103</v>
      </c>
      <c r="M1211" s="593">
        <f>SUM(M1208:M1210)</f>
        <v>0</v>
      </c>
    </row>
    <row r="1212" spans="1:13" ht="15">
      <c r="A1212" s="1461">
        <v>1205</v>
      </c>
      <c r="B1212" s="811"/>
      <c r="C1212" s="545">
        <v>2</v>
      </c>
      <c r="D1212" s="539" t="s">
        <v>443</v>
      </c>
      <c r="E1212" s="782" t="s">
        <v>799</v>
      </c>
      <c r="F1212" s="553">
        <f>SUM(H1212,L1215)</f>
        <v>300</v>
      </c>
      <c r="G1212" s="562">
        <v>0</v>
      </c>
      <c r="H1212" s="914">
        <v>0</v>
      </c>
      <c r="I1212" s="607"/>
      <c r="J1212" s="538"/>
      <c r="K1212" s="538"/>
      <c r="L1212" s="608"/>
      <c r="M1212" s="591"/>
    </row>
    <row r="1213" spans="1:13" s="752" customFormat="1" ht="15">
      <c r="A1213" s="1461">
        <v>1206</v>
      </c>
      <c r="B1213" s="811"/>
      <c r="C1213" s="545"/>
      <c r="D1213" s="539" t="s">
        <v>957</v>
      </c>
      <c r="E1213" s="782"/>
      <c r="F1213" s="562"/>
      <c r="G1213" s="557"/>
      <c r="H1213" s="791"/>
      <c r="I1213" s="607"/>
      <c r="J1213" s="538">
        <v>300</v>
      </c>
      <c r="K1213" s="538"/>
      <c r="L1213" s="609">
        <f t="shared" si="13"/>
        <v>300</v>
      </c>
      <c r="M1213" s="586"/>
    </row>
    <row r="1214" spans="1:13" s="753" customFormat="1" ht="15">
      <c r="A1214" s="1461">
        <v>1207</v>
      </c>
      <c r="B1214" s="812"/>
      <c r="C1214" s="1464"/>
      <c r="D1214" s="541" t="s">
        <v>969</v>
      </c>
      <c r="E1214" s="805"/>
      <c r="F1214" s="806"/>
      <c r="G1214" s="567"/>
      <c r="H1214" s="745"/>
      <c r="I1214" s="610"/>
      <c r="J1214" s="555"/>
      <c r="K1214" s="555"/>
      <c r="L1214" s="611">
        <f t="shared" si="13"/>
        <v>0</v>
      </c>
      <c r="M1214" s="594"/>
    </row>
    <row r="1215" spans="1:13" s="754" customFormat="1" ht="15">
      <c r="A1215" s="1461">
        <v>1208</v>
      </c>
      <c r="B1215" s="577"/>
      <c r="C1215" s="1465"/>
      <c r="D1215" s="542" t="s">
        <v>1067</v>
      </c>
      <c r="E1215" s="576"/>
      <c r="F1215" s="568"/>
      <c r="G1215" s="568"/>
      <c r="H1215" s="746"/>
      <c r="I1215" s="615">
        <f>SUM(I1213:I1214)</f>
        <v>0</v>
      </c>
      <c r="J1215" s="568">
        <f>SUM(J1213:J1214)</f>
        <v>300</v>
      </c>
      <c r="K1215" s="568">
        <f>SUM(K1213:K1214)</f>
        <v>0</v>
      </c>
      <c r="L1215" s="608">
        <f t="shared" si="13"/>
        <v>300</v>
      </c>
      <c r="M1215" s="593">
        <v>0</v>
      </c>
    </row>
    <row r="1216" spans="1:13" ht="15">
      <c r="A1216" s="1461">
        <v>1209</v>
      </c>
      <c r="B1216" s="811"/>
      <c r="C1216" s="545">
        <v>3</v>
      </c>
      <c r="D1216" s="539" t="s">
        <v>314</v>
      </c>
      <c r="E1216" s="782" t="s">
        <v>799</v>
      </c>
      <c r="F1216" s="553">
        <f>SUM(H1216,L1219)</f>
        <v>17</v>
      </c>
      <c r="G1216" s="562">
        <v>0</v>
      </c>
      <c r="H1216" s="914">
        <v>0</v>
      </c>
      <c r="I1216" s="607"/>
      <c r="J1216" s="538"/>
      <c r="K1216" s="538"/>
      <c r="L1216" s="608"/>
      <c r="M1216" s="591"/>
    </row>
    <row r="1217" spans="1:13" s="752" customFormat="1" ht="15">
      <c r="A1217" s="1461">
        <v>1210</v>
      </c>
      <c r="B1217" s="811"/>
      <c r="C1217" s="545"/>
      <c r="D1217" s="539" t="s">
        <v>957</v>
      </c>
      <c r="E1217" s="782"/>
      <c r="F1217" s="562"/>
      <c r="G1217" s="557"/>
      <c r="H1217" s="791"/>
      <c r="I1217" s="607"/>
      <c r="J1217" s="538">
        <v>17</v>
      </c>
      <c r="K1217" s="538"/>
      <c r="L1217" s="609">
        <f t="shared" si="13"/>
        <v>17</v>
      </c>
      <c r="M1217" s="586"/>
    </row>
    <row r="1218" spans="1:13" s="753" customFormat="1" ht="15">
      <c r="A1218" s="1461">
        <v>1211</v>
      </c>
      <c r="B1218" s="812"/>
      <c r="C1218" s="1464"/>
      <c r="D1218" s="541" t="s">
        <v>234</v>
      </c>
      <c r="E1218" s="805"/>
      <c r="F1218" s="806"/>
      <c r="G1218" s="567"/>
      <c r="H1218" s="745"/>
      <c r="I1218" s="610"/>
      <c r="J1218" s="555"/>
      <c r="K1218" s="555"/>
      <c r="L1218" s="611">
        <f t="shared" si="13"/>
        <v>0</v>
      </c>
      <c r="M1218" s="594"/>
    </row>
    <row r="1219" spans="1:13" s="754" customFormat="1" ht="15">
      <c r="A1219" s="1461">
        <v>1212</v>
      </c>
      <c r="B1219" s="577"/>
      <c r="C1219" s="1465"/>
      <c r="D1219" s="542" t="s">
        <v>1067</v>
      </c>
      <c r="E1219" s="576"/>
      <c r="F1219" s="568"/>
      <c r="G1219" s="568"/>
      <c r="H1219" s="746"/>
      <c r="I1219" s="615">
        <f>SUM(I1217:I1218)</f>
        <v>0</v>
      </c>
      <c r="J1219" s="568">
        <f>SUM(J1217:J1218)</f>
        <v>17</v>
      </c>
      <c r="K1219" s="568">
        <f>SUM(K1217:K1218)</f>
        <v>0</v>
      </c>
      <c r="L1219" s="608">
        <f t="shared" si="13"/>
        <v>17</v>
      </c>
      <c r="M1219" s="593">
        <v>0</v>
      </c>
    </row>
    <row r="1220" spans="1:13" ht="30">
      <c r="A1220" s="1461">
        <v>1213</v>
      </c>
      <c r="B1220" s="811"/>
      <c r="C1220" s="545">
        <v>4</v>
      </c>
      <c r="D1220" s="539" t="s">
        <v>1126</v>
      </c>
      <c r="E1220" s="782" t="s">
        <v>799</v>
      </c>
      <c r="F1220" s="553">
        <v>1000</v>
      </c>
      <c r="G1220" s="562">
        <v>0</v>
      </c>
      <c r="H1220" s="914">
        <v>0</v>
      </c>
      <c r="I1220" s="607"/>
      <c r="J1220" s="538"/>
      <c r="K1220" s="538"/>
      <c r="L1220" s="608"/>
      <c r="M1220" s="591"/>
    </row>
    <row r="1221" spans="1:13" s="753" customFormat="1" ht="15">
      <c r="A1221" s="1461">
        <v>1214</v>
      </c>
      <c r="B1221" s="812"/>
      <c r="C1221" s="1464"/>
      <c r="D1221" s="541" t="s">
        <v>234</v>
      </c>
      <c r="E1221" s="805"/>
      <c r="F1221" s="806"/>
      <c r="G1221" s="567"/>
      <c r="H1221" s="745"/>
      <c r="I1221" s="610"/>
      <c r="J1221" s="555">
        <v>1000</v>
      </c>
      <c r="K1221" s="555"/>
      <c r="L1221" s="611">
        <f>SUM(I1221:K1221)</f>
        <v>1000</v>
      </c>
      <c r="M1221" s="594"/>
    </row>
    <row r="1222" spans="1:13" s="754" customFormat="1" ht="15">
      <c r="A1222" s="1461">
        <v>1215</v>
      </c>
      <c r="B1222" s="577"/>
      <c r="C1222" s="1465"/>
      <c r="D1222" s="542" t="s">
        <v>1067</v>
      </c>
      <c r="E1222" s="576"/>
      <c r="F1222" s="568"/>
      <c r="G1222" s="568"/>
      <c r="H1222" s="746"/>
      <c r="I1222" s="615">
        <f>SUM(I1221)</f>
        <v>0</v>
      </c>
      <c r="J1222" s="568">
        <f>SUM(J1221)</f>
        <v>1000</v>
      </c>
      <c r="K1222" s="568">
        <f>SUM(K1221)</f>
        <v>0</v>
      </c>
      <c r="L1222" s="608">
        <f>SUM(L1221)</f>
        <v>1000</v>
      </c>
      <c r="M1222" s="593">
        <v>0</v>
      </c>
    </row>
    <row r="1223" spans="1:13" s="752" customFormat="1" ht="15">
      <c r="A1223" s="1461">
        <v>1216</v>
      </c>
      <c r="B1223" s="535"/>
      <c r="C1223" s="545"/>
      <c r="D1223" s="536" t="s">
        <v>328</v>
      </c>
      <c r="E1223" s="1474"/>
      <c r="F1223" s="1473"/>
      <c r="G1223" s="1475"/>
      <c r="H1223" s="1476"/>
      <c r="I1223" s="1477"/>
      <c r="J1223" s="1478"/>
      <c r="K1223" s="1478"/>
      <c r="L1223" s="1479"/>
      <c r="M1223" s="1480"/>
    </row>
    <row r="1224" spans="1:13" s="752" customFormat="1" ht="15">
      <c r="A1224" s="1461">
        <v>1217</v>
      </c>
      <c r="B1224" s="535"/>
      <c r="C1224" s="545">
        <v>5</v>
      </c>
      <c r="D1224" s="557" t="s">
        <v>329</v>
      </c>
      <c r="E1224" s="782" t="s">
        <v>799</v>
      </c>
      <c r="F1224" s="553">
        <f>SUM(H1224,L1228)</f>
        <v>112</v>
      </c>
      <c r="G1224" s="557">
        <v>0</v>
      </c>
      <c r="H1224" s="913">
        <v>0</v>
      </c>
      <c r="I1224" s="607"/>
      <c r="J1224" s="538"/>
      <c r="K1224" s="538"/>
      <c r="L1224" s="609"/>
      <c r="M1224" s="586"/>
    </row>
    <row r="1225" spans="1:13" ht="15">
      <c r="A1225" s="1461">
        <v>1218</v>
      </c>
      <c r="B1225" s="811"/>
      <c r="C1225" s="545"/>
      <c r="D1225" s="539" t="s">
        <v>403</v>
      </c>
      <c r="E1225" s="782"/>
      <c r="F1225" s="567"/>
      <c r="G1225" s="562"/>
      <c r="H1225" s="914"/>
      <c r="I1225" s="607"/>
      <c r="J1225" s="538">
        <v>150</v>
      </c>
      <c r="K1225" s="538"/>
      <c r="L1225" s="609">
        <f t="shared" si="13"/>
        <v>150</v>
      </c>
      <c r="M1225" s="591"/>
    </row>
    <row r="1226" spans="1:13" ht="15">
      <c r="A1226" s="1461">
        <v>1219</v>
      </c>
      <c r="B1226" s="811"/>
      <c r="C1226" s="545"/>
      <c r="D1226" s="539" t="s">
        <v>957</v>
      </c>
      <c r="E1226" s="782"/>
      <c r="F1226" s="567"/>
      <c r="G1226" s="562"/>
      <c r="H1226" s="914"/>
      <c r="I1226" s="607"/>
      <c r="J1226" s="538">
        <v>112</v>
      </c>
      <c r="K1226" s="538"/>
      <c r="L1226" s="609">
        <f t="shared" si="13"/>
        <v>112</v>
      </c>
      <c r="M1226" s="591"/>
    </row>
    <row r="1227" spans="1:13" s="753" customFormat="1" ht="15">
      <c r="A1227" s="1461">
        <v>1220</v>
      </c>
      <c r="B1227" s="812"/>
      <c r="C1227" s="1464"/>
      <c r="D1227" s="541" t="s">
        <v>405</v>
      </c>
      <c r="E1227" s="576"/>
      <c r="F1227" s="568"/>
      <c r="G1227" s="567"/>
      <c r="H1227" s="915"/>
      <c r="I1227" s="610"/>
      <c r="J1227" s="555"/>
      <c r="K1227" s="555"/>
      <c r="L1227" s="611">
        <f t="shared" si="13"/>
        <v>0</v>
      </c>
      <c r="M1227" s="594"/>
    </row>
    <row r="1228" spans="1:13" s="754" customFormat="1" ht="15">
      <c r="A1228" s="1461">
        <v>1221</v>
      </c>
      <c r="B1228" s="577"/>
      <c r="C1228" s="1465"/>
      <c r="D1228" s="542" t="s">
        <v>1067</v>
      </c>
      <c r="E1228" s="779"/>
      <c r="F1228" s="557"/>
      <c r="G1228" s="568"/>
      <c r="H1228" s="911"/>
      <c r="I1228" s="615">
        <f>SUM(I1226:I1227)</f>
        <v>0</v>
      </c>
      <c r="J1228" s="568">
        <f>SUM(J1226:J1227)</f>
        <v>112</v>
      </c>
      <c r="K1228" s="568">
        <f>SUM(K1226:K1227)</f>
        <v>0</v>
      </c>
      <c r="L1228" s="608">
        <f t="shared" si="13"/>
        <v>112</v>
      </c>
      <c r="M1228" s="593">
        <f>SUM(M1225:M1227)</f>
        <v>0</v>
      </c>
    </row>
    <row r="1229" spans="1:13" s="752" customFormat="1" ht="15">
      <c r="A1229" s="1461">
        <v>1222</v>
      </c>
      <c r="B1229" s="535"/>
      <c r="C1229" s="545">
        <v>6</v>
      </c>
      <c r="D1229" s="1303" t="s">
        <v>444</v>
      </c>
      <c r="E1229" s="782" t="s">
        <v>799</v>
      </c>
      <c r="F1229" s="553">
        <f>SUM(H1229,L1232)</f>
        <v>51</v>
      </c>
      <c r="G1229" s="553">
        <v>0</v>
      </c>
      <c r="H1229" s="1304">
        <v>0</v>
      </c>
      <c r="I1229" s="607"/>
      <c r="J1229" s="538"/>
      <c r="K1229" s="538"/>
      <c r="L1229" s="608"/>
      <c r="M1229" s="591"/>
    </row>
    <row r="1230" spans="1:13" s="752" customFormat="1" ht="15">
      <c r="A1230" s="1461">
        <v>1223</v>
      </c>
      <c r="B1230" s="811"/>
      <c r="C1230" s="545"/>
      <c r="D1230" s="539" t="s">
        <v>957</v>
      </c>
      <c r="E1230" s="782"/>
      <c r="F1230" s="562"/>
      <c r="G1230" s="557"/>
      <c r="H1230" s="791"/>
      <c r="I1230" s="607"/>
      <c r="J1230" s="538">
        <v>51</v>
      </c>
      <c r="K1230" s="538"/>
      <c r="L1230" s="609">
        <f t="shared" si="13"/>
        <v>51</v>
      </c>
      <c r="M1230" s="586"/>
    </row>
    <row r="1231" spans="1:13" s="753" customFormat="1" ht="15">
      <c r="A1231" s="1461">
        <v>1224</v>
      </c>
      <c r="B1231" s="812"/>
      <c r="C1231" s="1464"/>
      <c r="D1231" s="541" t="s">
        <v>234</v>
      </c>
      <c r="E1231" s="805"/>
      <c r="F1231" s="806"/>
      <c r="G1231" s="567"/>
      <c r="H1231" s="745"/>
      <c r="I1231" s="610"/>
      <c r="J1231" s="555"/>
      <c r="K1231" s="555"/>
      <c r="L1231" s="611">
        <f t="shared" si="13"/>
        <v>0</v>
      </c>
      <c r="M1231" s="594"/>
    </row>
    <row r="1232" spans="1:13" s="754" customFormat="1" ht="15">
      <c r="A1232" s="1461">
        <v>1225</v>
      </c>
      <c r="B1232" s="577"/>
      <c r="C1232" s="1465"/>
      <c r="D1232" s="542" t="s">
        <v>1067</v>
      </c>
      <c r="E1232" s="576"/>
      <c r="F1232" s="568"/>
      <c r="G1232" s="568"/>
      <c r="H1232" s="746"/>
      <c r="I1232" s="615">
        <f>SUM(I1230:I1231)</f>
        <v>0</v>
      </c>
      <c r="J1232" s="568">
        <f>SUM(J1230:J1231)</f>
        <v>51</v>
      </c>
      <c r="K1232" s="568">
        <f>SUM(K1230:K1231)</f>
        <v>0</v>
      </c>
      <c r="L1232" s="608">
        <f t="shared" si="13"/>
        <v>51</v>
      </c>
      <c r="M1232" s="593">
        <v>0</v>
      </c>
    </row>
    <row r="1233" spans="1:13" s="752" customFormat="1" ht="15">
      <c r="A1233" s="1461">
        <v>1226</v>
      </c>
      <c r="B1233" s="535"/>
      <c r="C1233" s="545">
        <v>7</v>
      </c>
      <c r="D1233" s="1303" t="s">
        <v>446</v>
      </c>
      <c r="E1233" s="782" t="s">
        <v>799</v>
      </c>
      <c r="F1233" s="553">
        <f>SUM(H1233,L1236)</f>
        <v>58</v>
      </c>
      <c r="G1233" s="553">
        <v>0</v>
      </c>
      <c r="H1233" s="1304">
        <v>0</v>
      </c>
      <c r="I1233" s="607"/>
      <c r="J1233" s="538"/>
      <c r="K1233" s="538"/>
      <c r="L1233" s="608"/>
      <c r="M1233" s="591"/>
    </row>
    <row r="1234" spans="1:13" s="752" customFormat="1" ht="15">
      <c r="A1234" s="1461">
        <v>1227</v>
      </c>
      <c r="B1234" s="811"/>
      <c r="C1234" s="545"/>
      <c r="D1234" s="539" t="s">
        <v>957</v>
      </c>
      <c r="E1234" s="782"/>
      <c r="F1234" s="562"/>
      <c r="G1234" s="557"/>
      <c r="H1234" s="791"/>
      <c r="I1234" s="607"/>
      <c r="J1234" s="538">
        <v>58</v>
      </c>
      <c r="K1234" s="538"/>
      <c r="L1234" s="609">
        <f t="shared" si="13"/>
        <v>58</v>
      </c>
      <c r="M1234" s="586"/>
    </row>
    <row r="1235" spans="1:13" s="753" customFormat="1" ht="15">
      <c r="A1235" s="1461">
        <v>1228</v>
      </c>
      <c r="B1235" s="812"/>
      <c r="C1235" s="1464"/>
      <c r="D1235" s="541" t="s">
        <v>234</v>
      </c>
      <c r="E1235" s="805"/>
      <c r="F1235" s="806"/>
      <c r="G1235" s="567"/>
      <c r="H1235" s="745"/>
      <c r="I1235" s="610"/>
      <c r="J1235" s="555"/>
      <c r="K1235" s="555"/>
      <c r="L1235" s="611">
        <f t="shared" si="13"/>
        <v>0</v>
      </c>
      <c r="M1235" s="594"/>
    </row>
    <row r="1236" spans="1:13" s="754" customFormat="1" ht="15">
      <c r="A1236" s="1461">
        <v>1229</v>
      </c>
      <c r="B1236" s="577"/>
      <c r="C1236" s="1465"/>
      <c r="D1236" s="542" t="s">
        <v>1067</v>
      </c>
      <c r="E1236" s="576"/>
      <c r="F1236" s="568"/>
      <c r="G1236" s="568"/>
      <c r="H1236" s="746"/>
      <c r="I1236" s="615">
        <f>SUM(I1234:I1235)</f>
        <v>0</v>
      </c>
      <c r="J1236" s="568">
        <f>SUM(J1234:J1235)</f>
        <v>58</v>
      </c>
      <c r="K1236" s="568">
        <f>SUM(K1234:K1235)</f>
        <v>0</v>
      </c>
      <c r="L1236" s="608">
        <f t="shared" si="13"/>
        <v>58</v>
      </c>
      <c r="M1236" s="593">
        <v>0</v>
      </c>
    </row>
    <row r="1237" spans="1:13" s="752" customFormat="1" ht="15">
      <c r="A1237" s="1461">
        <v>1230</v>
      </c>
      <c r="B1237" s="535"/>
      <c r="C1237" s="545">
        <v>8</v>
      </c>
      <c r="D1237" s="1303" t="s">
        <v>445</v>
      </c>
      <c r="E1237" s="782" t="s">
        <v>799</v>
      </c>
      <c r="F1237" s="553">
        <f>SUM(H1237,L1240)</f>
        <v>220</v>
      </c>
      <c r="G1237" s="553">
        <v>0</v>
      </c>
      <c r="H1237" s="1304">
        <v>0</v>
      </c>
      <c r="I1237" s="607"/>
      <c r="J1237" s="538"/>
      <c r="K1237" s="538"/>
      <c r="L1237" s="608"/>
      <c r="M1237" s="591"/>
    </row>
    <row r="1238" spans="1:13" s="752" customFormat="1" ht="15">
      <c r="A1238" s="1461">
        <v>1231</v>
      </c>
      <c r="B1238" s="811"/>
      <c r="C1238" s="545"/>
      <c r="D1238" s="539" t="s">
        <v>957</v>
      </c>
      <c r="E1238" s="782"/>
      <c r="F1238" s="562"/>
      <c r="G1238" s="557"/>
      <c r="H1238" s="791"/>
      <c r="I1238" s="607"/>
      <c r="J1238" s="538">
        <v>220</v>
      </c>
      <c r="K1238" s="538"/>
      <c r="L1238" s="609">
        <f t="shared" si="13"/>
        <v>220</v>
      </c>
      <c r="M1238" s="586"/>
    </row>
    <row r="1239" spans="1:13" s="753" customFormat="1" ht="15">
      <c r="A1239" s="1461">
        <v>1232</v>
      </c>
      <c r="B1239" s="812"/>
      <c r="C1239" s="1464"/>
      <c r="D1239" s="541" t="s">
        <v>234</v>
      </c>
      <c r="E1239" s="805"/>
      <c r="F1239" s="806"/>
      <c r="G1239" s="567"/>
      <c r="H1239" s="745"/>
      <c r="I1239" s="610"/>
      <c r="J1239" s="555"/>
      <c r="K1239" s="555"/>
      <c r="L1239" s="611">
        <f t="shared" si="13"/>
        <v>0</v>
      </c>
      <c r="M1239" s="594"/>
    </row>
    <row r="1240" spans="1:13" s="754" customFormat="1" ht="15">
      <c r="A1240" s="1461">
        <v>1233</v>
      </c>
      <c r="B1240" s="577"/>
      <c r="C1240" s="1465"/>
      <c r="D1240" s="542" t="s">
        <v>1067</v>
      </c>
      <c r="E1240" s="576"/>
      <c r="F1240" s="568"/>
      <c r="G1240" s="568"/>
      <c r="H1240" s="746"/>
      <c r="I1240" s="615">
        <f>SUM(I1238:I1239)</f>
        <v>0</v>
      </c>
      <c r="J1240" s="568">
        <f>SUM(J1238:J1239)</f>
        <v>220</v>
      </c>
      <c r="K1240" s="568">
        <f>SUM(K1238:K1239)</f>
        <v>0</v>
      </c>
      <c r="L1240" s="608">
        <f t="shared" si="13"/>
        <v>220</v>
      </c>
      <c r="M1240" s="593">
        <v>0</v>
      </c>
    </row>
    <row r="1241" spans="1:13" s="752" customFormat="1" ht="15">
      <c r="A1241" s="1461">
        <v>1234</v>
      </c>
      <c r="B1241" s="535"/>
      <c r="C1241" s="545">
        <v>9</v>
      </c>
      <c r="D1241" s="1303" t="s">
        <v>447</v>
      </c>
      <c r="E1241" s="782" t="s">
        <v>799</v>
      </c>
      <c r="F1241" s="553">
        <f>SUM(H1241,L1244)</f>
        <v>77</v>
      </c>
      <c r="G1241" s="553">
        <v>0</v>
      </c>
      <c r="H1241" s="1304">
        <v>0</v>
      </c>
      <c r="I1241" s="607"/>
      <c r="J1241" s="538"/>
      <c r="K1241" s="538"/>
      <c r="L1241" s="608"/>
      <c r="M1241" s="591"/>
    </row>
    <row r="1242" spans="1:13" s="752" customFormat="1" ht="15">
      <c r="A1242" s="1461">
        <v>1235</v>
      </c>
      <c r="B1242" s="811"/>
      <c r="C1242" s="545"/>
      <c r="D1242" s="539" t="s">
        <v>957</v>
      </c>
      <c r="E1242" s="782"/>
      <c r="F1242" s="562"/>
      <c r="G1242" s="557"/>
      <c r="H1242" s="791"/>
      <c r="I1242" s="607"/>
      <c r="J1242" s="538">
        <v>77</v>
      </c>
      <c r="K1242" s="538"/>
      <c r="L1242" s="609">
        <f t="shared" si="13"/>
        <v>77</v>
      </c>
      <c r="M1242" s="586"/>
    </row>
    <row r="1243" spans="1:13" s="753" customFormat="1" ht="15">
      <c r="A1243" s="1461">
        <v>1236</v>
      </c>
      <c r="B1243" s="812"/>
      <c r="C1243" s="1464"/>
      <c r="D1243" s="541" t="s">
        <v>234</v>
      </c>
      <c r="E1243" s="805"/>
      <c r="F1243" s="806"/>
      <c r="G1243" s="567"/>
      <c r="H1243" s="745"/>
      <c r="I1243" s="610"/>
      <c r="J1243" s="555"/>
      <c r="K1243" s="555"/>
      <c r="L1243" s="611">
        <f t="shared" si="13"/>
        <v>0</v>
      </c>
      <c r="M1243" s="594"/>
    </row>
    <row r="1244" spans="1:13" s="754" customFormat="1" ht="15">
      <c r="A1244" s="1461">
        <v>1237</v>
      </c>
      <c r="B1244" s="577"/>
      <c r="C1244" s="1465"/>
      <c r="D1244" s="542" t="s">
        <v>1067</v>
      </c>
      <c r="E1244" s="576"/>
      <c r="F1244" s="568"/>
      <c r="G1244" s="568"/>
      <c r="H1244" s="746"/>
      <c r="I1244" s="615">
        <f>SUM(I1242:I1243)</f>
        <v>0</v>
      </c>
      <c r="J1244" s="568">
        <f>SUM(J1242:J1243)</f>
        <v>77</v>
      </c>
      <c r="K1244" s="568">
        <f>SUM(K1242:K1243)</f>
        <v>0</v>
      </c>
      <c r="L1244" s="608">
        <f t="shared" si="13"/>
        <v>77</v>
      </c>
      <c r="M1244" s="593">
        <v>0</v>
      </c>
    </row>
    <row r="1245" spans="1:13" s="752" customFormat="1" ht="15">
      <c r="A1245" s="1461">
        <v>1238</v>
      </c>
      <c r="B1245" s="535"/>
      <c r="C1245" s="545">
        <v>10</v>
      </c>
      <c r="D1245" s="1303" t="s">
        <v>315</v>
      </c>
      <c r="E1245" s="782" t="s">
        <v>799</v>
      </c>
      <c r="F1245" s="553">
        <f>SUM(H1245,L1248)</f>
        <v>58</v>
      </c>
      <c r="G1245" s="553">
        <v>0</v>
      </c>
      <c r="H1245" s="1304">
        <v>0</v>
      </c>
      <c r="I1245" s="607"/>
      <c r="J1245" s="538"/>
      <c r="K1245" s="538"/>
      <c r="L1245" s="608"/>
      <c r="M1245" s="591"/>
    </row>
    <row r="1246" spans="1:13" s="752" customFormat="1" ht="15">
      <c r="A1246" s="1461">
        <v>1239</v>
      </c>
      <c r="B1246" s="811"/>
      <c r="C1246" s="545"/>
      <c r="D1246" s="539" t="s">
        <v>957</v>
      </c>
      <c r="E1246" s="782"/>
      <c r="F1246" s="562"/>
      <c r="G1246" s="557"/>
      <c r="H1246" s="791"/>
      <c r="I1246" s="607"/>
      <c r="J1246" s="538">
        <v>58</v>
      </c>
      <c r="K1246" s="538"/>
      <c r="L1246" s="609">
        <f t="shared" si="13"/>
        <v>58</v>
      </c>
      <c r="M1246" s="586"/>
    </row>
    <row r="1247" spans="1:13" s="753" customFormat="1" ht="15">
      <c r="A1247" s="1461">
        <v>1240</v>
      </c>
      <c r="B1247" s="812"/>
      <c r="C1247" s="1464"/>
      <c r="D1247" s="541" t="s">
        <v>405</v>
      </c>
      <c r="E1247" s="805"/>
      <c r="F1247" s="806"/>
      <c r="G1247" s="567"/>
      <c r="H1247" s="745"/>
      <c r="I1247" s="610"/>
      <c r="J1247" s="555"/>
      <c r="K1247" s="555"/>
      <c r="L1247" s="611">
        <f t="shared" si="13"/>
        <v>0</v>
      </c>
      <c r="M1247" s="594"/>
    </row>
    <row r="1248" spans="1:13" s="754" customFormat="1" ht="15">
      <c r="A1248" s="1461">
        <v>1241</v>
      </c>
      <c r="B1248" s="577"/>
      <c r="C1248" s="1465"/>
      <c r="D1248" s="542" t="s">
        <v>1067</v>
      </c>
      <c r="E1248" s="576"/>
      <c r="F1248" s="568"/>
      <c r="G1248" s="568"/>
      <c r="H1248" s="746"/>
      <c r="I1248" s="615">
        <f>SUM(I1246:I1247)</f>
        <v>0</v>
      </c>
      <c r="J1248" s="568">
        <f>SUM(J1246:J1247)</f>
        <v>58</v>
      </c>
      <c r="K1248" s="568">
        <f>SUM(K1246:K1247)</f>
        <v>0</v>
      </c>
      <c r="L1248" s="608">
        <f t="shared" si="13"/>
        <v>58</v>
      </c>
      <c r="M1248" s="593">
        <v>0</v>
      </c>
    </row>
    <row r="1249" spans="1:13" s="752" customFormat="1" ht="15">
      <c r="A1249" s="1461">
        <v>1242</v>
      </c>
      <c r="B1249" s="535"/>
      <c r="C1249" s="545">
        <v>11</v>
      </c>
      <c r="D1249" s="557" t="s">
        <v>330</v>
      </c>
      <c r="E1249" s="782" t="s">
        <v>799</v>
      </c>
      <c r="F1249" s="553">
        <f>SUM(H1249,L1253)</f>
        <v>94</v>
      </c>
      <c r="G1249" s="557">
        <v>0</v>
      </c>
      <c r="H1249" s="913">
        <v>0</v>
      </c>
      <c r="I1249" s="607"/>
      <c r="J1249" s="538"/>
      <c r="K1249" s="538"/>
      <c r="L1249" s="609"/>
      <c r="M1249" s="586"/>
    </row>
    <row r="1250" spans="1:13" ht="15">
      <c r="A1250" s="1461">
        <v>1243</v>
      </c>
      <c r="B1250" s="811"/>
      <c r="C1250" s="545"/>
      <c r="D1250" s="539" t="s">
        <v>403</v>
      </c>
      <c r="E1250" s="788"/>
      <c r="F1250" s="796"/>
      <c r="G1250" s="562"/>
      <c r="H1250" s="914"/>
      <c r="I1250" s="607"/>
      <c r="J1250" s="538">
        <v>130</v>
      </c>
      <c r="K1250" s="538"/>
      <c r="L1250" s="609">
        <f t="shared" si="13"/>
        <v>130</v>
      </c>
      <c r="M1250" s="591"/>
    </row>
    <row r="1251" spans="1:13" ht="15">
      <c r="A1251" s="1461">
        <v>1244</v>
      </c>
      <c r="B1251" s="811"/>
      <c r="C1251" s="545"/>
      <c r="D1251" s="539" t="s">
        <v>957</v>
      </c>
      <c r="E1251" s="788"/>
      <c r="F1251" s="796"/>
      <c r="G1251" s="562"/>
      <c r="H1251" s="914"/>
      <c r="I1251" s="607"/>
      <c r="J1251" s="538">
        <v>94</v>
      </c>
      <c r="K1251" s="538"/>
      <c r="L1251" s="609">
        <f t="shared" si="13"/>
        <v>94</v>
      </c>
      <c r="M1251" s="591"/>
    </row>
    <row r="1252" spans="1:13" s="753" customFormat="1" ht="15">
      <c r="A1252" s="1461">
        <v>1245</v>
      </c>
      <c r="B1252" s="812"/>
      <c r="C1252" s="1464"/>
      <c r="D1252" s="541" t="s">
        <v>405</v>
      </c>
      <c r="E1252" s="782"/>
      <c r="F1252" s="567"/>
      <c r="G1252" s="567"/>
      <c r="H1252" s="915"/>
      <c r="I1252" s="610"/>
      <c r="J1252" s="555"/>
      <c r="K1252" s="555"/>
      <c r="L1252" s="611">
        <f t="shared" si="13"/>
        <v>0</v>
      </c>
      <c r="M1252" s="594"/>
    </row>
    <row r="1253" spans="1:13" s="754" customFormat="1" ht="15">
      <c r="A1253" s="1461">
        <v>1246</v>
      </c>
      <c r="B1253" s="577"/>
      <c r="C1253" s="1465"/>
      <c r="D1253" s="542" t="s">
        <v>1067</v>
      </c>
      <c r="E1253" s="576"/>
      <c r="F1253" s="568"/>
      <c r="G1253" s="568"/>
      <c r="H1253" s="911"/>
      <c r="I1253" s="615">
        <f>SUM(I1251:I1252)</f>
        <v>0</v>
      </c>
      <c r="J1253" s="568">
        <f>SUM(J1251:J1252)</f>
        <v>94</v>
      </c>
      <c r="K1253" s="568">
        <f>SUM(K1251:K1252)</f>
        <v>0</v>
      </c>
      <c r="L1253" s="608">
        <f t="shared" si="13"/>
        <v>94</v>
      </c>
      <c r="M1253" s="593">
        <f>SUM(M1250:M1252)</f>
        <v>0</v>
      </c>
    </row>
    <row r="1254" spans="1:13" s="752" customFormat="1" ht="15">
      <c r="A1254" s="1461">
        <v>1247</v>
      </c>
      <c r="B1254" s="535"/>
      <c r="C1254" s="545">
        <v>12</v>
      </c>
      <c r="D1254" s="1303" t="s">
        <v>762</v>
      </c>
      <c r="E1254" s="782" t="s">
        <v>799</v>
      </c>
      <c r="F1254" s="553">
        <f>SUM(H1254,L1257)</f>
        <v>130</v>
      </c>
      <c r="G1254" s="553">
        <v>0</v>
      </c>
      <c r="H1254" s="1304">
        <v>0</v>
      </c>
      <c r="I1254" s="607"/>
      <c r="J1254" s="538"/>
      <c r="K1254" s="538"/>
      <c r="L1254" s="609"/>
      <c r="M1254" s="591"/>
    </row>
    <row r="1255" spans="1:13" ht="15">
      <c r="A1255" s="1461">
        <v>1248</v>
      </c>
      <c r="B1255" s="811"/>
      <c r="C1255" s="545"/>
      <c r="D1255" s="539" t="s">
        <v>957</v>
      </c>
      <c r="E1255" s="782"/>
      <c r="F1255" s="567"/>
      <c r="G1255" s="562"/>
      <c r="H1255" s="914"/>
      <c r="I1255" s="607"/>
      <c r="J1255" s="538">
        <v>130</v>
      </c>
      <c r="K1255" s="538"/>
      <c r="L1255" s="609">
        <f t="shared" si="13"/>
        <v>130</v>
      </c>
      <c r="M1255" s="591"/>
    </row>
    <row r="1256" spans="1:13" s="753" customFormat="1" ht="15">
      <c r="A1256" s="1461">
        <v>1249</v>
      </c>
      <c r="B1256" s="812"/>
      <c r="C1256" s="1464"/>
      <c r="D1256" s="541" t="s">
        <v>405</v>
      </c>
      <c r="E1256" s="780"/>
      <c r="F1256" s="568"/>
      <c r="G1256" s="567"/>
      <c r="H1256" s="915"/>
      <c r="I1256" s="610"/>
      <c r="J1256" s="555"/>
      <c r="K1256" s="555"/>
      <c r="L1256" s="611">
        <f t="shared" si="13"/>
        <v>0</v>
      </c>
      <c r="M1256" s="594"/>
    </row>
    <row r="1257" spans="1:13" s="754" customFormat="1" ht="15">
      <c r="A1257" s="1461">
        <v>1250</v>
      </c>
      <c r="B1257" s="577"/>
      <c r="C1257" s="1465"/>
      <c r="D1257" s="542" t="s">
        <v>1067</v>
      </c>
      <c r="E1257" s="782"/>
      <c r="F1257" s="540"/>
      <c r="G1257" s="568"/>
      <c r="H1257" s="911"/>
      <c r="I1257" s="615">
        <f>SUM(I1255:I1256)</f>
        <v>0</v>
      </c>
      <c r="J1257" s="568">
        <f>SUM(J1255:J1256)</f>
        <v>130</v>
      </c>
      <c r="K1257" s="568">
        <f>SUM(K1255:K1256)</f>
        <v>0</v>
      </c>
      <c r="L1257" s="608">
        <f>SUM(I1257:K1257)</f>
        <v>130</v>
      </c>
      <c r="M1257" s="593">
        <f>SUM(M1256)</f>
        <v>0</v>
      </c>
    </row>
    <row r="1258" spans="1:13" s="752" customFormat="1" ht="15">
      <c r="A1258" s="1461">
        <v>1251</v>
      </c>
      <c r="B1258" s="535"/>
      <c r="C1258" s="545">
        <v>13</v>
      </c>
      <c r="D1258" s="1303" t="s">
        <v>314</v>
      </c>
      <c r="E1258" s="782" t="s">
        <v>799</v>
      </c>
      <c r="F1258" s="553">
        <f>SUM(H1258,L1261)</f>
        <v>20</v>
      </c>
      <c r="G1258" s="553">
        <v>0</v>
      </c>
      <c r="H1258" s="1304">
        <v>0</v>
      </c>
      <c r="I1258" s="607"/>
      <c r="J1258" s="538"/>
      <c r="K1258" s="538"/>
      <c r="L1258" s="609"/>
      <c r="M1258" s="591"/>
    </row>
    <row r="1259" spans="1:13" ht="15">
      <c r="A1259" s="1461">
        <v>1252</v>
      </c>
      <c r="B1259" s="811"/>
      <c r="C1259" s="545"/>
      <c r="D1259" s="539" t="s">
        <v>957</v>
      </c>
      <c r="E1259" s="782"/>
      <c r="F1259" s="567"/>
      <c r="G1259" s="562"/>
      <c r="H1259" s="914"/>
      <c r="I1259" s="607"/>
      <c r="J1259" s="538">
        <v>20</v>
      </c>
      <c r="K1259" s="538"/>
      <c r="L1259" s="609">
        <f>SUM(I1259:K1259)</f>
        <v>20</v>
      </c>
      <c r="M1259" s="591"/>
    </row>
    <row r="1260" spans="1:13" s="753" customFormat="1" ht="15">
      <c r="A1260" s="1461">
        <v>1253</v>
      </c>
      <c r="B1260" s="812"/>
      <c r="C1260" s="1464"/>
      <c r="D1260" s="541" t="s">
        <v>405</v>
      </c>
      <c r="E1260" s="780"/>
      <c r="F1260" s="568"/>
      <c r="G1260" s="567"/>
      <c r="H1260" s="915"/>
      <c r="I1260" s="610"/>
      <c r="J1260" s="555"/>
      <c r="K1260" s="555"/>
      <c r="L1260" s="611">
        <f>SUM(I1260:K1260)</f>
        <v>0</v>
      </c>
      <c r="M1260" s="594"/>
    </row>
    <row r="1261" spans="1:13" s="754" customFormat="1" ht="15">
      <c r="A1261" s="1461">
        <v>1254</v>
      </c>
      <c r="B1261" s="577"/>
      <c r="C1261" s="1465"/>
      <c r="D1261" s="542" t="s">
        <v>1067</v>
      </c>
      <c r="E1261" s="782"/>
      <c r="F1261" s="540"/>
      <c r="G1261" s="568"/>
      <c r="H1261" s="911"/>
      <c r="I1261" s="615">
        <f>SUM(I1259:I1260)</f>
        <v>0</v>
      </c>
      <c r="J1261" s="568">
        <f>SUM(J1259:J1260)</f>
        <v>20</v>
      </c>
      <c r="K1261" s="568">
        <f>SUM(K1259:K1260)</f>
        <v>0</v>
      </c>
      <c r="L1261" s="608">
        <f>SUM(I1261:K1261)</f>
        <v>20</v>
      </c>
      <c r="M1261" s="593">
        <v>0</v>
      </c>
    </row>
    <row r="1262" spans="1:13" ht="15">
      <c r="A1262" s="1461">
        <v>1255</v>
      </c>
      <c r="B1262" s="811"/>
      <c r="C1262" s="545"/>
      <c r="D1262" s="536" t="s">
        <v>331</v>
      </c>
      <c r="E1262" s="779"/>
      <c r="F1262" s="557"/>
      <c r="G1262" s="537"/>
      <c r="H1262" s="914"/>
      <c r="I1262" s="607"/>
      <c r="J1262" s="538"/>
      <c r="K1262" s="538"/>
      <c r="L1262" s="609"/>
      <c r="M1262" s="591"/>
    </row>
    <row r="1263" spans="1:13" s="752" customFormat="1" ht="15">
      <c r="A1263" s="1461">
        <v>1256</v>
      </c>
      <c r="B1263" s="811"/>
      <c r="C1263" s="545">
        <v>14</v>
      </c>
      <c r="D1263" s="557" t="s">
        <v>520</v>
      </c>
      <c r="E1263" s="782" t="s">
        <v>799</v>
      </c>
      <c r="F1263" s="553">
        <f>SUM(H1263,L1267)</f>
        <v>0</v>
      </c>
      <c r="G1263" s="557">
        <v>0</v>
      </c>
      <c r="H1263" s="913">
        <v>0</v>
      </c>
      <c r="I1263" s="607"/>
      <c r="J1263" s="538"/>
      <c r="K1263" s="538"/>
      <c r="L1263" s="609"/>
      <c r="M1263" s="586"/>
    </row>
    <row r="1264" spans="1:13" ht="15">
      <c r="A1264" s="1461">
        <v>1257</v>
      </c>
      <c r="B1264" s="811"/>
      <c r="C1264" s="545"/>
      <c r="D1264" s="539" t="s">
        <v>403</v>
      </c>
      <c r="E1264" s="782"/>
      <c r="F1264" s="567"/>
      <c r="G1264" s="562"/>
      <c r="H1264" s="914"/>
      <c r="I1264" s="607"/>
      <c r="J1264" s="538">
        <v>150</v>
      </c>
      <c r="K1264" s="538"/>
      <c r="L1264" s="609">
        <f t="shared" si="13"/>
        <v>150</v>
      </c>
      <c r="M1264" s="591"/>
    </row>
    <row r="1265" spans="1:13" ht="15">
      <c r="A1265" s="1461">
        <v>1258</v>
      </c>
      <c r="B1265" s="811"/>
      <c r="C1265" s="545"/>
      <c r="D1265" s="539" t="s">
        <v>957</v>
      </c>
      <c r="E1265" s="782"/>
      <c r="F1265" s="567"/>
      <c r="G1265" s="562"/>
      <c r="H1265" s="914"/>
      <c r="I1265" s="607"/>
      <c r="J1265" s="538">
        <v>0</v>
      </c>
      <c r="K1265" s="538"/>
      <c r="L1265" s="609">
        <f t="shared" si="13"/>
        <v>0</v>
      </c>
      <c r="M1265" s="591"/>
    </row>
    <row r="1266" spans="1:13" s="753" customFormat="1" ht="15">
      <c r="A1266" s="1461">
        <v>1259</v>
      </c>
      <c r="B1266" s="812"/>
      <c r="C1266" s="1464"/>
      <c r="D1266" s="541" t="s">
        <v>405</v>
      </c>
      <c r="E1266" s="576"/>
      <c r="F1266" s="568"/>
      <c r="G1266" s="567"/>
      <c r="H1266" s="915"/>
      <c r="I1266" s="610"/>
      <c r="J1266" s="555"/>
      <c r="K1266" s="555"/>
      <c r="L1266" s="611">
        <f t="shared" si="13"/>
        <v>0</v>
      </c>
      <c r="M1266" s="594"/>
    </row>
    <row r="1267" spans="1:13" s="754" customFormat="1" ht="15">
      <c r="A1267" s="1461">
        <v>1260</v>
      </c>
      <c r="B1267" s="577"/>
      <c r="C1267" s="1465"/>
      <c r="D1267" s="542" t="s">
        <v>1067</v>
      </c>
      <c r="E1267" s="779"/>
      <c r="F1267" s="557"/>
      <c r="G1267" s="568"/>
      <c r="H1267" s="911"/>
      <c r="I1267" s="615">
        <f>SUM(I1265:I1266)</f>
        <v>0</v>
      </c>
      <c r="J1267" s="568">
        <f>SUM(J1265:J1266)</f>
        <v>0</v>
      </c>
      <c r="K1267" s="568">
        <f>SUM(K1265:K1266)</f>
        <v>0</v>
      </c>
      <c r="L1267" s="608">
        <f t="shared" si="13"/>
        <v>0</v>
      </c>
      <c r="M1267" s="593">
        <f>SUM(M1264:M1266)</f>
        <v>0</v>
      </c>
    </row>
    <row r="1268" spans="1:13" s="752" customFormat="1" ht="15">
      <c r="A1268" s="1461">
        <v>1261</v>
      </c>
      <c r="B1268" s="535"/>
      <c r="C1268" s="545">
        <v>15</v>
      </c>
      <c r="D1268" s="557" t="s">
        <v>521</v>
      </c>
      <c r="E1268" s="782" t="s">
        <v>799</v>
      </c>
      <c r="F1268" s="553">
        <f>SUM(H1268,L1272)</f>
        <v>131</v>
      </c>
      <c r="G1268" s="557">
        <v>0</v>
      </c>
      <c r="H1268" s="913">
        <v>0</v>
      </c>
      <c r="I1268" s="607"/>
      <c r="J1268" s="538"/>
      <c r="K1268" s="538"/>
      <c r="L1268" s="609"/>
      <c r="M1268" s="586"/>
    </row>
    <row r="1269" spans="1:13" ht="15">
      <c r="A1269" s="1461">
        <v>1262</v>
      </c>
      <c r="B1269" s="811"/>
      <c r="C1269" s="545"/>
      <c r="D1269" s="539" t="s">
        <v>403</v>
      </c>
      <c r="E1269" s="782"/>
      <c r="F1269" s="567"/>
      <c r="G1269" s="562"/>
      <c r="H1269" s="914"/>
      <c r="I1269" s="607"/>
      <c r="J1269" s="538">
        <v>150</v>
      </c>
      <c r="K1269" s="538"/>
      <c r="L1269" s="609">
        <f t="shared" si="13"/>
        <v>150</v>
      </c>
      <c r="M1269" s="591"/>
    </row>
    <row r="1270" spans="1:13" ht="15">
      <c r="A1270" s="1461">
        <v>1263</v>
      </c>
      <c r="B1270" s="811"/>
      <c r="C1270" s="545"/>
      <c r="D1270" s="539" t="s">
        <v>957</v>
      </c>
      <c r="E1270" s="782"/>
      <c r="F1270" s="567"/>
      <c r="G1270" s="562"/>
      <c r="H1270" s="914"/>
      <c r="I1270" s="607"/>
      <c r="J1270" s="538">
        <v>131</v>
      </c>
      <c r="K1270" s="538"/>
      <c r="L1270" s="609">
        <f t="shared" si="13"/>
        <v>131</v>
      </c>
      <c r="M1270" s="591"/>
    </row>
    <row r="1271" spans="1:13" s="753" customFormat="1" ht="15">
      <c r="A1271" s="1461">
        <v>1264</v>
      </c>
      <c r="B1271" s="812"/>
      <c r="C1271" s="1464"/>
      <c r="D1271" s="541" t="s">
        <v>405</v>
      </c>
      <c r="E1271" s="576"/>
      <c r="F1271" s="568"/>
      <c r="G1271" s="567"/>
      <c r="H1271" s="915"/>
      <c r="I1271" s="610"/>
      <c r="J1271" s="555"/>
      <c r="K1271" s="555"/>
      <c r="L1271" s="611">
        <f t="shared" si="13"/>
        <v>0</v>
      </c>
      <c r="M1271" s="594"/>
    </row>
    <row r="1272" spans="1:13" s="754" customFormat="1" ht="15">
      <c r="A1272" s="1461">
        <v>1265</v>
      </c>
      <c r="B1272" s="577"/>
      <c r="C1272" s="1465"/>
      <c r="D1272" s="542" t="s">
        <v>1067</v>
      </c>
      <c r="E1272" s="779"/>
      <c r="F1272" s="557"/>
      <c r="G1272" s="568"/>
      <c r="H1272" s="911"/>
      <c r="I1272" s="615">
        <f>SUM(I1270:I1271)</f>
        <v>0</v>
      </c>
      <c r="J1272" s="568">
        <f>SUM(J1270:J1271)</f>
        <v>131</v>
      </c>
      <c r="K1272" s="568">
        <f>SUM(K1270:K1271)</f>
        <v>0</v>
      </c>
      <c r="L1272" s="608">
        <f t="shared" si="13"/>
        <v>131</v>
      </c>
      <c r="M1272" s="593">
        <f>SUM(M1269:M1271)</f>
        <v>0</v>
      </c>
    </row>
    <row r="1273" spans="1:13" s="752" customFormat="1" ht="15">
      <c r="A1273" s="1461">
        <v>1266</v>
      </c>
      <c r="B1273" s="535"/>
      <c r="C1273" s="545">
        <v>16</v>
      </c>
      <c r="D1273" s="557" t="s">
        <v>1044</v>
      </c>
      <c r="E1273" s="782" t="s">
        <v>799</v>
      </c>
      <c r="F1273" s="553">
        <f>SUM(H1273,L1277)</f>
        <v>196</v>
      </c>
      <c r="G1273" s="557">
        <v>0</v>
      </c>
      <c r="H1273" s="913">
        <v>0</v>
      </c>
      <c r="I1273" s="607"/>
      <c r="J1273" s="538"/>
      <c r="K1273" s="538"/>
      <c r="L1273" s="609"/>
      <c r="M1273" s="586"/>
    </row>
    <row r="1274" spans="1:13" ht="15">
      <c r="A1274" s="1461">
        <v>1267</v>
      </c>
      <c r="B1274" s="811"/>
      <c r="C1274" s="545"/>
      <c r="D1274" s="539" t="s">
        <v>403</v>
      </c>
      <c r="E1274" s="788"/>
      <c r="F1274" s="796"/>
      <c r="G1274" s="562"/>
      <c r="H1274" s="914"/>
      <c r="I1274" s="607"/>
      <c r="J1274" s="538">
        <v>150</v>
      </c>
      <c r="K1274" s="538"/>
      <c r="L1274" s="609">
        <f t="shared" si="13"/>
        <v>150</v>
      </c>
      <c r="M1274" s="591"/>
    </row>
    <row r="1275" spans="1:13" ht="15">
      <c r="A1275" s="1461">
        <v>1268</v>
      </c>
      <c r="B1275" s="811"/>
      <c r="C1275" s="545"/>
      <c r="D1275" s="539" t="s">
        <v>957</v>
      </c>
      <c r="E1275" s="788"/>
      <c r="F1275" s="796"/>
      <c r="G1275" s="562"/>
      <c r="H1275" s="914"/>
      <c r="I1275" s="607"/>
      <c r="J1275" s="538">
        <v>196</v>
      </c>
      <c r="K1275" s="538"/>
      <c r="L1275" s="609">
        <f t="shared" si="13"/>
        <v>196</v>
      </c>
      <c r="M1275" s="591"/>
    </row>
    <row r="1276" spans="1:13" s="753" customFormat="1" ht="15">
      <c r="A1276" s="1461">
        <v>1269</v>
      </c>
      <c r="B1276" s="812"/>
      <c r="C1276" s="1464"/>
      <c r="D1276" s="541" t="s">
        <v>405</v>
      </c>
      <c r="E1276" s="782"/>
      <c r="F1276" s="567"/>
      <c r="G1276" s="567"/>
      <c r="H1276" s="915"/>
      <c r="I1276" s="610"/>
      <c r="J1276" s="555"/>
      <c r="K1276" s="555"/>
      <c r="L1276" s="611">
        <f t="shared" si="13"/>
        <v>0</v>
      </c>
      <c r="M1276" s="594"/>
    </row>
    <row r="1277" spans="1:13" s="754" customFormat="1" ht="15">
      <c r="A1277" s="1461">
        <v>1270</v>
      </c>
      <c r="B1277" s="577"/>
      <c r="C1277" s="1465"/>
      <c r="D1277" s="542" t="s">
        <v>1067</v>
      </c>
      <c r="E1277" s="576"/>
      <c r="F1277" s="568"/>
      <c r="G1277" s="568"/>
      <c r="H1277" s="911"/>
      <c r="I1277" s="615">
        <f>SUM(I1275:I1276)</f>
        <v>0</v>
      </c>
      <c r="J1277" s="568">
        <f>SUM(J1275:J1276)</f>
        <v>196</v>
      </c>
      <c r="K1277" s="568">
        <f>SUM(K1275:K1276)</f>
        <v>0</v>
      </c>
      <c r="L1277" s="608">
        <f t="shared" si="13"/>
        <v>196</v>
      </c>
      <c r="M1277" s="593">
        <f>SUM(M1274:M1276)</f>
        <v>0</v>
      </c>
    </row>
    <row r="1278" spans="1:13" s="752" customFormat="1" ht="15">
      <c r="A1278" s="1461">
        <v>1271</v>
      </c>
      <c r="B1278" s="535"/>
      <c r="C1278" s="545">
        <v>17</v>
      </c>
      <c r="D1278" s="557" t="s">
        <v>522</v>
      </c>
      <c r="E1278" s="782" t="s">
        <v>799</v>
      </c>
      <c r="F1278" s="553">
        <f>SUM(H1278,L1282)</f>
        <v>74</v>
      </c>
      <c r="G1278" s="557">
        <v>0</v>
      </c>
      <c r="H1278" s="913">
        <v>0</v>
      </c>
      <c r="I1278" s="607"/>
      <c r="J1278" s="538"/>
      <c r="K1278" s="538"/>
      <c r="L1278" s="609"/>
      <c r="M1278" s="586"/>
    </row>
    <row r="1279" spans="1:13" ht="15">
      <c r="A1279" s="1461">
        <v>1272</v>
      </c>
      <c r="B1279" s="811"/>
      <c r="C1279" s="545"/>
      <c r="D1279" s="539" t="s">
        <v>403</v>
      </c>
      <c r="E1279" s="782"/>
      <c r="F1279" s="567"/>
      <c r="G1279" s="562"/>
      <c r="H1279" s="914"/>
      <c r="I1279" s="607"/>
      <c r="J1279" s="538">
        <v>100</v>
      </c>
      <c r="K1279" s="538"/>
      <c r="L1279" s="609">
        <f t="shared" si="13"/>
        <v>100</v>
      </c>
      <c r="M1279" s="591"/>
    </row>
    <row r="1280" spans="1:13" ht="15">
      <c r="A1280" s="1461">
        <v>1273</v>
      </c>
      <c r="B1280" s="811"/>
      <c r="C1280" s="545"/>
      <c r="D1280" s="539" t="s">
        <v>957</v>
      </c>
      <c r="E1280" s="782"/>
      <c r="F1280" s="567"/>
      <c r="G1280" s="562"/>
      <c r="H1280" s="914"/>
      <c r="I1280" s="607"/>
      <c r="J1280" s="538">
        <v>74</v>
      </c>
      <c r="K1280" s="538"/>
      <c r="L1280" s="609">
        <f>SUM(I1280:K1280)</f>
        <v>74</v>
      </c>
      <c r="M1280" s="591"/>
    </row>
    <row r="1281" spans="1:13" s="753" customFormat="1" ht="15">
      <c r="A1281" s="1461">
        <v>1274</v>
      </c>
      <c r="B1281" s="812"/>
      <c r="C1281" s="1464"/>
      <c r="D1281" s="541" t="s">
        <v>405</v>
      </c>
      <c r="E1281" s="576"/>
      <c r="F1281" s="568"/>
      <c r="G1281" s="567"/>
      <c r="H1281" s="915"/>
      <c r="I1281" s="610"/>
      <c r="J1281" s="555"/>
      <c r="K1281" s="555"/>
      <c r="L1281" s="611">
        <f>SUM(I1281:K1281)</f>
        <v>0</v>
      </c>
      <c r="M1281" s="594"/>
    </row>
    <row r="1282" spans="1:13" s="754" customFormat="1" ht="15">
      <c r="A1282" s="1461">
        <v>1275</v>
      </c>
      <c r="B1282" s="577"/>
      <c r="C1282" s="1465"/>
      <c r="D1282" s="542" t="s">
        <v>1067</v>
      </c>
      <c r="E1282" s="782"/>
      <c r="F1282" s="540"/>
      <c r="G1282" s="568"/>
      <c r="H1282" s="911"/>
      <c r="I1282" s="615">
        <f>SUM(I1280:I1281)</f>
        <v>0</v>
      </c>
      <c r="J1282" s="568">
        <f>SUM(J1280:J1281)</f>
        <v>74</v>
      </c>
      <c r="K1282" s="568">
        <f>SUM(K1280:K1281)</f>
        <v>0</v>
      </c>
      <c r="L1282" s="608">
        <f>SUM(I1282:K1282)</f>
        <v>74</v>
      </c>
      <c r="M1282" s="593">
        <f>SUM(M1279:M1281)</f>
        <v>0</v>
      </c>
    </row>
    <row r="1283" spans="1:13" ht="15">
      <c r="A1283" s="1461">
        <v>1276</v>
      </c>
      <c r="B1283" s="811"/>
      <c r="C1283" s="545">
        <v>18</v>
      </c>
      <c r="D1283" s="539" t="s">
        <v>709</v>
      </c>
      <c r="E1283" s="782" t="s">
        <v>799</v>
      </c>
      <c r="F1283" s="553">
        <f>SUM(H1283,L1286)</f>
        <v>80</v>
      </c>
      <c r="G1283" s="562">
        <v>0</v>
      </c>
      <c r="H1283" s="914">
        <v>0</v>
      </c>
      <c r="I1283" s="607"/>
      <c r="J1283" s="538"/>
      <c r="K1283" s="538"/>
      <c r="L1283" s="608"/>
      <c r="M1283" s="591"/>
    </row>
    <row r="1284" spans="1:13" s="752" customFormat="1" ht="15">
      <c r="A1284" s="1461">
        <v>1277</v>
      </c>
      <c r="B1284" s="811"/>
      <c r="C1284" s="545"/>
      <c r="D1284" s="539" t="s">
        <v>957</v>
      </c>
      <c r="E1284" s="782"/>
      <c r="F1284" s="562"/>
      <c r="G1284" s="557"/>
      <c r="H1284" s="791"/>
      <c r="I1284" s="607"/>
      <c r="J1284" s="538">
        <v>80</v>
      </c>
      <c r="K1284" s="538"/>
      <c r="L1284" s="609">
        <f aca="true" t="shared" si="14" ref="L1284:L1298">SUM(I1284:K1284)</f>
        <v>80</v>
      </c>
      <c r="M1284" s="586"/>
    </row>
    <row r="1285" spans="1:13" s="753" customFormat="1" ht="15">
      <c r="A1285" s="1461">
        <v>1278</v>
      </c>
      <c r="B1285" s="812"/>
      <c r="C1285" s="1464"/>
      <c r="D1285" s="541" t="s">
        <v>405</v>
      </c>
      <c r="E1285" s="805"/>
      <c r="F1285" s="806"/>
      <c r="G1285" s="567"/>
      <c r="H1285" s="745"/>
      <c r="I1285" s="610"/>
      <c r="J1285" s="555"/>
      <c r="K1285" s="555"/>
      <c r="L1285" s="611">
        <f t="shared" si="14"/>
        <v>0</v>
      </c>
      <c r="M1285" s="594"/>
    </row>
    <row r="1286" spans="1:13" s="754" customFormat="1" ht="15">
      <c r="A1286" s="1461">
        <v>1279</v>
      </c>
      <c r="B1286" s="577"/>
      <c r="C1286" s="1465"/>
      <c r="D1286" s="542" t="s">
        <v>1067</v>
      </c>
      <c r="E1286" s="576"/>
      <c r="F1286" s="568"/>
      <c r="G1286" s="568"/>
      <c r="H1286" s="746"/>
      <c r="I1286" s="615">
        <f>SUM(I1284:I1285)</f>
        <v>0</v>
      </c>
      <c r="J1286" s="568">
        <f>SUM(J1284:J1285)</f>
        <v>80</v>
      </c>
      <c r="K1286" s="568">
        <f>SUM(K1284:K1285)</f>
        <v>0</v>
      </c>
      <c r="L1286" s="608">
        <f t="shared" si="14"/>
        <v>80</v>
      </c>
      <c r="M1286" s="593">
        <v>0</v>
      </c>
    </row>
    <row r="1287" spans="1:13" ht="15">
      <c r="A1287" s="1461">
        <v>1280</v>
      </c>
      <c r="B1287" s="811"/>
      <c r="C1287" s="545">
        <v>19</v>
      </c>
      <c r="D1287" s="539" t="s">
        <v>445</v>
      </c>
      <c r="E1287" s="782" t="s">
        <v>799</v>
      </c>
      <c r="F1287" s="553">
        <f>SUM(H1287,L1290)</f>
        <v>127</v>
      </c>
      <c r="G1287" s="562">
        <v>0</v>
      </c>
      <c r="H1287" s="914">
        <v>0</v>
      </c>
      <c r="I1287" s="607"/>
      <c r="J1287" s="538"/>
      <c r="K1287" s="538"/>
      <c r="L1287" s="608"/>
      <c r="M1287" s="591"/>
    </row>
    <row r="1288" spans="1:13" s="752" customFormat="1" ht="15">
      <c r="A1288" s="1461">
        <v>1281</v>
      </c>
      <c r="B1288" s="811"/>
      <c r="C1288" s="545"/>
      <c r="D1288" s="539" t="s">
        <v>957</v>
      </c>
      <c r="E1288" s="782"/>
      <c r="F1288" s="562"/>
      <c r="G1288" s="557"/>
      <c r="H1288" s="791"/>
      <c r="I1288" s="607"/>
      <c r="J1288" s="538">
        <v>127</v>
      </c>
      <c r="K1288" s="538"/>
      <c r="L1288" s="609">
        <f t="shared" si="14"/>
        <v>127</v>
      </c>
      <c r="M1288" s="586"/>
    </row>
    <row r="1289" spans="1:13" s="753" customFormat="1" ht="15">
      <c r="A1289" s="1461">
        <v>1282</v>
      </c>
      <c r="B1289" s="812"/>
      <c r="C1289" s="1464"/>
      <c r="D1289" s="541" t="s">
        <v>405</v>
      </c>
      <c r="E1289" s="805"/>
      <c r="F1289" s="806"/>
      <c r="G1289" s="567"/>
      <c r="H1289" s="745"/>
      <c r="I1289" s="610"/>
      <c r="J1289" s="555"/>
      <c r="K1289" s="555"/>
      <c r="L1289" s="611">
        <f t="shared" si="14"/>
        <v>0</v>
      </c>
      <c r="M1289" s="594"/>
    </row>
    <row r="1290" spans="1:13" s="754" customFormat="1" ht="15">
      <c r="A1290" s="1461">
        <v>1283</v>
      </c>
      <c r="B1290" s="577"/>
      <c r="C1290" s="1465"/>
      <c r="D1290" s="542" t="s">
        <v>1067</v>
      </c>
      <c r="E1290" s="576"/>
      <c r="F1290" s="568"/>
      <c r="G1290" s="568"/>
      <c r="H1290" s="746"/>
      <c r="I1290" s="615">
        <f>SUM(I1288:I1289)</f>
        <v>0</v>
      </c>
      <c r="J1290" s="568">
        <f>SUM(J1288:J1289)</f>
        <v>127</v>
      </c>
      <c r="K1290" s="568">
        <f>SUM(K1288:K1289)</f>
        <v>0</v>
      </c>
      <c r="L1290" s="608">
        <f t="shared" si="14"/>
        <v>127</v>
      </c>
      <c r="M1290" s="593">
        <v>0</v>
      </c>
    </row>
    <row r="1291" spans="1:13" ht="15">
      <c r="A1291" s="1461">
        <v>1284</v>
      </c>
      <c r="B1291" s="811"/>
      <c r="C1291" s="545">
        <v>20</v>
      </c>
      <c r="D1291" s="539" t="s">
        <v>974</v>
      </c>
      <c r="E1291" s="782" t="s">
        <v>799</v>
      </c>
      <c r="F1291" s="553">
        <f>SUM(H1291,L1294)</f>
        <v>20</v>
      </c>
      <c r="G1291" s="562">
        <v>0</v>
      </c>
      <c r="H1291" s="914">
        <v>0</v>
      </c>
      <c r="I1291" s="607"/>
      <c r="J1291" s="538"/>
      <c r="K1291" s="538"/>
      <c r="L1291" s="608"/>
      <c r="M1291" s="591"/>
    </row>
    <row r="1292" spans="1:13" s="752" customFormat="1" ht="15">
      <c r="A1292" s="1461">
        <v>1285</v>
      </c>
      <c r="B1292" s="811"/>
      <c r="C1292" s="545"/>
      <c r="D1292" s="539" t="s">
        <v>957</v>
      </c>
      <c r="E1292" s="782"/>
      <c r="F1292" s="562"/>
      <c r="G1292" s="557"/>
      <c r="H1292" s="791"/>
      <c r="I1292" s="607"/>
      <c r="J1292" s="538">
        <v>20</v>
      </c>
      <c r="K1292" s="538"/>
      <c r="L1292" s="609">
        <f t="shared" si="14"/>
        <v>20</v>
      </c>
      <c r="M1292" s="586"/>
    </row>
    <row r="1293" spans="1:13" s="753" customFormat="1" ht="15">
      <c r="A1293" s="1461">
        <v>1286</v>
      </c>
      <c r="B1293" s="812"/>
      <c r="C1293" s="1464"/>
      <c r="D1293" s="541" t="s">
        <v>405</v>
      </c>
      <c r="E1293" s="805"/>
      <c r="F1293" s="806"/>
      <c r="G1293" s="567"/>
      <c r="H1293" s="745"/>
      <c r="I1293" s="610"/>
      <c r="J1293" s="555"/>
      <c r="K1293" s="555"/>
      <c r="L1293" s="611">
        <f t="shared" si="14"/>
        <v>0</v>
      </c>
      <c r="M1293" s="594"/>
    </row>
    <row r="1294" spans="1:13" s="754" customFormat="1" ht="15">
      <c r="A1294" s="1461">
        <v>1287</v>
      </c>
      <c r="B1294" s="577"/>
      <c r="C1294" s="1465"/>
      <c r="D1294" s="542" t="s">
        <v>1067</v>
      </c>
      <c r="E1294" s="576"/>
      <c r="F1294" s="568"/>
      <c r="G1294" s="568"/>
      <c r="H1294" s="746"/>
      <c r="I1294" s="568">
        <f>SUM(I1292:I1293)</f>
        <v>0</v>
      </c>
      <c r="J1294" s="568">
        <f>SUM(J1292:J1293)</f>
        <v>20</v>
      </c>
      <c r="K1294" s="568">
        <f>SUM(K1292:K1293)</f>
        <v>0</v>
      </c>
      <c r="L1294" s="608">
        <f t="shared" si="14"/>
        <v>20</v>
      </c>
      <c r="M1294" s="593">
        <v>0</v>
      </c>
    </row>
    <row r="1295" spans="1:13" ht="15">
      <c r="A1295" s="1461">
        <v>1288</v>
      </c>
      <c r="B1295" s="811"/>
      <c r="C1295" s="545">
        <v>21</v>
      </c>
      <c r="D1295" s="539" t="s">
        <v>314</v>
      </c>
      <c r="E1295" s="782" t="s">
        <v>799</v>
      </c>
      <c r="F1295" s="553">
        <f>SUM(H1295,L1298)</f>
        <v>18</v>
      </c>
      <c r="G1295" s="562">
        <v>0</v>
      </c>
      <c r="H1295" s="914">
        <v>0</v>
      </c>
      <c r="I1295" s="607"/>
      <c r="J1295" s="538"/>
      <c r="K1295" s="538"/>
      <c r="L1295" s="608"/>
      <c r="M1295" s="591"/>
    </row>
    <row r="1296" spans="1:13" s="752" customFormat="1" ht="15">
      <c r="A1296" s="1461">
        <v>1289</v>
      </c>
      <c r="B1296" s="811"/>
      <c r="C1296" s="545"/>
      <c r="D1296" s="539" t="s">
        <v>957</v>
      </c>
      <c r="E1296" s="782"/>
      <c r="F1296" s="562"/>
      <c r="G1296" s="557"/>
      <c r="H1296" s="791"/>
      <c r="I1296" s="607"/>
      <c r="J1296" s="538">
        <v>18</v>
      </c>
      <c r="K1296" s="538"/>
      <c r="L1296" s="609">
        <f t="shared" si="14"/>
        <v>18</v>
      </c>
      <c r="M1296" s="586"/>
    </row>
    <row r="1297" spans="1:13" s="753" customFormat="1" ht="15">
      <c r="A1297" s="1461">
        <v>1290</v>
      </c>
      <c r="B1297" s="812"/>
      <c r="C1297" s="1464"/>
      <c r="D1297" s="541" t="s">
        <v>405</v>
      </c>
      <c r="E1297" s="805"/>
      <c r="F1297" s="806"/>
      <c r="G1297" s="567"/>
      <c r="H1297" s="745"/>
      <c r="I1297" s="610"/>
      <c r="J1297" s="555"/>
      <c r="K1297" s="555"/>
      <c r="L1297" s="611">
        <f t="shared" si="14"/>
        <v>0</v>
      </c>
      <c r="M1297" s="594"/>
    </row>
    <row r="1298" spans="1:13" s="754" customFormat="1" ht="15">
      <c r="A1298" s="1461">
        <v>1291</v>
      </c>
      <c r="B1298" s="577"/>
      <c r="C1298" s="1465"/>
      <c r="D1298" s="542" t="s">
        <v>1067</v>
      </c>
      <c r="E1298" s="576"/>
      <c r="F1298" s="568"/>
      <c r="G1298" s="568"/>
      <c r="H1298" s="746"/>
      <c r="I1298" s="568">
        <f>SUM(I1296:I1297)</f>
        <v>0</v>
      </c>
      <c r="J1298" s="568">
        <f>SUM(J1296:J1297)</f>
        <v>18</v>
      </c>
      <c r="K1298" s="568">
        <f>SUM(K1296:K1297)</f>
        <v>0</v>
      </c>
      <c r="L1298" s="608">
        <f t="shared" si="14"/>
        <v>18</v>
      </c>
      <c r="M1298" s="593">
        <v>0</v>
      </c>
    </row>
    <row r="1299" spans="1:13" ht="15">
      <c r="A1299" s="1461">
        <v>1292</v>
      </c>
      <c r="B1299" s="811"/>
      <c r="C1299" s="545"/>
      <c r="D1299" s="542" t="s">
        <v>332</v>
      </c>
      <c r="E1299" s="782"/>
      <c r="F1299" s="553"/>
      <c r="G1299" s="562"/>
      <c r="H1299" s="914"/>
      <c r="I1299" s="607"/>
      <c r="J1299" s="538"/>
      <c r="K1299" s="538"/>
      <c r="L1299" s="608"/>
      <c r="M1299" s="591"/>
    </row>
    <row r="1300" spans="1:13" s="752" customFormat="1" ht="15">
      <c r="A1300" s="1461">
        <v>1293</v>
      </c>
      <c r="B1300" s="811"/>
      <c r="C1300" s="545">
        <v>22</v>
      </c>
      <c r="D1300" s="557" t="s">
        <v>333</v>
      </c>
      <c r="E1300" s="782" t="s">
        <v>799</v>
      </c>
      <c r="F1300" s="553">
        <f>SUM(H1300,L1304)</f>
        <v>195</v>
      </c>
      <c r="G1300" s="557">
        <v>0</v>
      </c>
      <c r="H1300" s="913">
        <v>0</v>
      </c>
      <c r="I1300" s="607"/>
      <c r="J1300" s="538"/>
      <c r="K1300" s="538"/>
      <c r="L1300" s="609"/>
      <c r="M1300" s="586"/>
    </row>
    <row r="1301" spans="1:13" ht="15">
      <c r="A1301" s="1461">
        <v>1294</v>
      </c>
      <c r="B1301" s="811"/>
      <c r="C1301" s="545"/>
      <c r="D1301" s="539" t="s">
        <v>403</v>
      </c>
      <c r="E1301" s="782"/>
      <c r="F1301" s="567"/>
      <c r="G1301" s="562"/>
      <c r="H1301" s="914"/>
      <c r="I1301" s="607"/>
      <c r="J1301" s="538">
        <v>250</v>
      </c>
      <c r="K1301" s="538"/>
      <c r="L1301" s="609">
        <f>SUM(I1301:K1301)</f>
        <v>250</v>
      </c>
      <c r="M1301" s="591"/>
    </row>
    <row r="1302" spans="1:13" ht="15">
      <c r="A1302" s="1461">
        <v>1295</v>
      </c>
      <c r="B1302" s="811"/>
      <c r="C1302" s="545"/>
      <c r="D1302" s="539" t="s">
        <v>957</v>
      </c>
      <c r="E1302" s="782"/>
      <c r="F1302" s="567"/>
      <c r="G1302" s="562"/>
      <c r="H1302" s="914"/>
      <c r="I1302" s="607"/>
      <c r="J1302" s="538">
        <v>195</v>
      </c>
      <c r="K1302" s="538"/>
      <c r="L1302" s="609">
        <f>SUM(I1302:K1302)</f>
        <v>195</v>
      </c>
      <c r="M1302" s="591"/>
    </row>
    <row r="1303" spans="1:13" s="753" customFormat="1" ht="15">
      <c r="A1303" s="1461">
        <v>1296</v>
      </c>
      <c r="B1303" s="812"/>
      <c r="C1303" s="1464"/>
      <c r="D1303" s="541" t="s">
        <v>405</v>
      </c>
      <c r="E1303" s="576"/>
      <c r="F1303" s="568"/>
      <c r="G1303" s="567"/>
      <c r="H1303" s="915"/>
      <c r="I1303" s="610"/>
      <c r="J1303" s="555"/>
      <c r="K1303" s="555"/>
      <c r="L1303" s="611">
        <f>SUM(I1303:K1303)</f>
        <v>0</v>
      </c>
      <c r="M1303" s="594"/>
    </row>
    <row r="1304" spans="1:13" s="754" customFormat="1" ht="15">
      <c r="A1304" s="1461">
        <v>1297</v>
      </c>
      <c r="B1304" s="577"/>
      <c r="C1304" s="1465"/>
      <c r="D1304" s="542" t="s">
        <v>1067</v>
      </c>
      <c r="E1304" s="779"/>
      <c r="F1304" s="557"/>
      <c r="G1304" s="568"/>
      <c r="H1304" s="911"/>
      <c r="I1304" s="615">
        <f>SUM(I1302:I1303)</f>
        <v>0</v>
      </c>
      <c r="J1304" s="568">
        <f>SUM(J1302:J1303)</f>
        <v>195</v>
      </c>
      <c r="K1304" s="568">
        <f>SUM(K1302:K1303)</f>
        <v>0</v>
      </c>
      <c r="L1304" s="608">
        <f>SUM(I1304:K1304)</f>
        <v>195</v>
      </c>
      <c r="M1304" s="593">
        <f>SUM(M1301:M1303)</f>
        <v>0</v>
      </c>
    </row>
    <row r="1305" spans="1:13" s="752" customFormat="1" ht="15">
      <c r="A1305" s="1461">
        <v>1298</v>
      </c>
      <c r="B1305" s="535"/>
      <c r="C1305" s="545">
        <v>23</v>
      </c>
      <c r="D1305" s="557" t="s">
        <v>520</v>
      </c>
      <c r="E1305" s="782" t="s">
        <v>799</v>
      </c>
      <c r="F1305" s="553">
        <f>SUM(H1305,L1309)</f>
        <v>103</v>
      </c>
      <c r="G1305" s="557">
        <v>0</v>
      </c>
      <c r="H1305" s="913">
        <v>0</v>
      </c>
      <c r="I1305" s="607"/>
      <c r="J1305" s="538"/>
      <c r="K1305" s="538"/>
      <c r="L1305" s="609"/>
      <c r="M1305" s="586"/>
    </row>
    <row r="1306" spans="1:13" ht="15">
      <c r="A1306" s="1461">
        <v>1299</v>
      </c>
      <c r="B1306" s="811"/>
      <c r="C1306" s="545"/>
      <c r="D1306" s="539" t="s">
        <v>403</v>
      </c>
      <c r="E1306" s="782"/>
      <c r="F1306" s="567"/>
      <c r="G1306" s="562"/>
      <c r="H1306" s="914"/>
      <c r="I1306" s="607"/>
      <c r="J1306" s="538">
        <v>150</v>
      </c>
      <c r="K1306" s="538"/>
      <c r="L1306" s="609">
        <f>SUM(I1306:K1306)</f>
        <v>150</v>
      </c>
      <c r="M1306" s="591"/>
    </row>
    <row r="1307" spans="1:13" ht="15">
      <c r="A1307" s="1461">
        <v>1300</v>
      </c>
      <c r="B1307" s="811"/>
      <c r="C1307" s="545"/>
      <c r="D1307" s="539" t="s">
        <v>957</v>
      </c>
      <c r="E1307" s="782"/>
      <c r="F1307" s="567"/>
      <c r="G1307" s="562"/>
      <c r="H1307" s="914"/>
      <c r="I1307" s="607"/>
      <c r="J1307" s="538">
        <v>103</v>
      </c>
      <c r="K1307" s="538"/>
      <c r="L1307" s="609">
        <f>SUM(I1307:K1307)</f>
        <v>103</v>
      </c>
      <c r="M1307" s="591"/>
    </row>
    <row r="1308" spans="1:13" s="753" customFormat="1" ht="15">
      <c r="A1308" s="1461">
        <v>1301</v>
      </c>
      <c r="B1308" s="812"/>
      <c r="C1308" s="1464"/>
      <c r="D1308" s="541" t="s">
        <v>405</v>
      </c>
      <c r="E1308" s="576"/>
      <c r="F1308" s="568"/>
      <c r="G1308" s="567"/>
      <c r="H1308" s="915"/>
      <c r="I1308" s="610"/>
      <c r="J1308" s="555"/>
      <c r="K1308" s="555"/>
      <c r="L1308" s="611">
        <f>SUM(I1308:K1308)</f>
        <v>0</v>
      </c>
      <c r="M1308" s="594"/>
    </row>
    <row r="1309" spans="1:13" s="754" customFormat="1" ht="15">
      <c r="A1309" s="1461">
        <v>1302</v>
      </c>
      <c r="B1309" s="577"/>
      <c r="C1309" s="1465"/>
      <c r="D1309" s="542" t="s">
        <v>1067</v>
      </c>
      <c r="E1309" s="779"/>
      <c r="F1309" s="557"/>
      <c r="G1309" s="568"/>
      <c r="H1309" s="911"/>
      <c r="I1309" s="615">
        <f>SUM(I1307:I1308)</f>
        <v>0</v>
      </c>
      <c r="J1309" s="568">
        <f>SUM(J1307:J1308)</f>
        <v>103</v>
      </c>
      <c r="K1309" s="568">
        <f>SUM(K1307:K1308)</f>
        <v>0</v>
      </c>
      <c r="L1309" s="608">
        <f>SUM(I1309:K1309)</f>
        <v>103</v>
      </c>
      <c r="M1309" s="593">
        <f>SUM(M1306:M1308)</f>
        <v>0</v>
      </c>
    </row>
    <row r="1310" spans="1:13" s="752" customFormat="1" ht="15">
      <c r="A1310" s="1461">
        <v>1303</v>
      </c>
      <c r="B1310" s="535"/>
      <c r="C1310" s="545">
        <v>24</v>
      </c>
      <c r="D1310" s="557" t="s">
        <v>523</v>
      </c>
      <c r="E1310" s="782" t="s">
        <v>799</v>
      </c>
      <c r="F1310" s="553">
        <f>SUM(H1310,L1314)</f>
        <v>97</v>
      </c>
      <c r="G1310" s="557">
        <v>0</v>
      </c>
      <c r="H1310" s="913">
        <v>0</v>
      </c>
      <c r="I1310" s="607"/>
      <c r="J1310" s="538"/>
      <c r="K1310" s="538"/>
      <c r="L1310" s="609"/>
      <c r="M1310" s="586"/>
    </row>
    <row r="1311" spans="1:13" ht="15">
      <c r="A1311" s="1461">
        <v>1304</v>
      </c>
      <c r="B1311" s="811"/>
      <c r="C1311" s="545"/>
      <c r="D1311" s="539" t="s">
        <v>403</v>
      </c>
      <c r="E1311" s="788"/>
      <c r="F1311" s="796"/>
      <c r="G1311" s="562"/>
      <c r="H1311" s="914"/>
      <c r="I1311" s="607"/>
      <c r="J1311" s="538">
        <v>100</v>
      </c>
      <c r="K1311" s="538"/>
      <c r="L1311" s="609">
        <f>SUM(I1311:K1311)</f>
        <v>100</v>
      </c>
      <c r="M1311" s="591"/>
    </row>
    <row r="1312" spans="1:13" ht="15">
      <c r="A1312" s="1461">
        <v>1305</v>
      </c>
      <c r="B1312" s="811"/>
      <c r="C1312" s="545"/>
      <c r="D1312" s="539" t="s">
        <v>957</v>
      </c>
      <c r="E1312" s="788"/>
      <c r="F1312" s="796"/>
      <c r="G1312" s="562"/>
      <c r="H1312" s="914"/>
      <c r="I1312" s="607"/>
      <c r="J1312" s="538">
        <v>97</v>
      </c>
      <c r="K1312" s="538"/>
      <c r="L1312" s="609">
        <f>SUM(I1312:K1312)</f>
        <v>97</v>
      </c>
      <c r="M1312" s="591"/>
    </row>
    <row r="1313" spans="1:13" s="753" customFormat="1" ht="15">
      <c r="A1313" s="1461">
        <v>1306</v>
      </c>
      <c r="B1313" s="812"/>
      <c r="C1313" s="1464"/>
      <c r="D1313" s="541" t="s">
        <v>405</v>
      </c>
      <c r="E1313" s="782"/>
      <c r="F1313" s="567"/>
      <c r="G1313" s="567"/>
      <c r="H1313" s="915"/>
      <c r="I1313" s="610"/>
      <c r="J1313" s="555"/>
      <c r="K1313" s="555"/>
      <c r="L1313" s="611">
        <f>SUM(I1313:K1313)</f>
        <v>0</v>
      </c>
      <c r="M1313" s="594"/>
    </row>
    <row r="1314" spans="1:13" s="754" customFormat="1" ht="15">
      <c r="A1314" s="1461">
        <v>1307</v>
      </c>
      <c r="B1314" s="577"/>
      <c r="C1314" s="1465"/>
      <c r="D1314" s="542" t="s">
        <v>1067</v>
      </c>
      <c r="E1314" s="576"/>
      <c r="F1314" s="568"/>
      <c r="G1314" s="568"/>
      <c r="H1314" s="911"/>
      <c r="I1314" s="615">
        <f>SUM(I1312:I1313)</f>
        <v>0</v>
      </c>
      <c r="J1314" s="568">
        <f>SUM(J1312:J1313)</f>
        <v>97</v>
      </c>
      <c r="K1314" s="568">
        <f>SUM(K1312:K1313)</f>
        <v>0</v>
      </c>
      <c r="L1314" s="608">
        <f>SUM(I1314:K1314)</f>
        <v>97</v>
      </c>
      <c r="M1314" s="593">
        <f>SUM(M1311:M1313)</f>
        <v>0</v>
      </c>
    </row>
    <row r="1315" spans="1:13" ht="15">
      <c r="A1315" s="1461">
        <v>1308</v>
      </c>
      <c r="B1315" s="811"/>
      <c r="C1315" s="545">
        <v>25</v>
      </c>
      <c r="D1315" s="539" t="s">
        <v>329</v>
      </c>
      <c r="E1315" s="782" t="s">
        <v>799</v>
      </c>
      <c r="F1315" s="553">
        <f>SUM(H1315,L1318)</f>
        <v>112</v>
      </c>
      <c r="G1315" s="562">
        <v>0</v>
      </c>
      <c r="H1315" s="914">
        <v>0</v>
      </c>
      <c r="I1315" s="607"/>
      <c r="J1315" s="538"/>
      <c r="K1315" s="538"/>
      <c r="L1315" s="608"/>
      <c r="M1315" s="591"/>
    </row>
    <row r="1316" spans="1:13" s="752" customFormat="1" ht="15">
      <c r="A1316" s="1461">
        <v>1309</v>
      </c>
      <c r="B1316" s="811"/>
      <c r="C1316" s="545"/>
      <c r="D1316" s="539" t="s">
        <v>957</v>
      </c>
      <c r="E1316" s="782"/>
      <c r="F1316" s="562"/>
      <c r="G1316" s="557"/>
      <c r="H1316" s="791"/>
      <c r="I1316" s="607"/>
      <c r="J1316" s="538">
        <v>112</v>
      </c>
      <c r="K1316" s="538"/>
      <c r="L1316" s="609">
        <f aca="true" t="shared" si="15" ref="L1316:L1322">SUM(I1316:K1316)</f>
        <v>112</v>
      </c>
      <c r="M1316" s="586"/>
    </row>
    <row r="1317" spans="1:13" s="753" customFormat="1" ht="15">
      <c r="A1317" s="1461">
        <v>1310</v>
      </c>
      <c r="B1317" s="812"/>
      <c r="C1317" s="1464"/>
      <c r="D1317" s="541" t="s">
        <v>969</v>
      </c>
      <c r="E1317" s="805"/>
      <c r="F1317" s="806"/>
      <c r="G1317" s="567"/>
      <c r="H1317" s="745"/>
      <c r="I1317" s="610"/>
      <c r="J1317" s="555"/>
      <c r="K1317" s="555"/>
      <c r="L1317" s="611">
        <f t="shared" si="15"/>
        <v>0</v>
      </c>
      <c r="M1317" s="594"/>
    </row>
    <row r="1318" spans="1:13" s="754" customFormat="1" ht="15">
      <c r="A1318" s="1461">
        <v>1311</v>
      </c>
      <c r="B1318" s="577"/>
      <c r="C1318" s="1465"/>
      <c r="D1318" s="542" t="s">
        <v>1067</v>
      </c>
      <c r="E1318" s="576"/>
      <c r="F1318" s="568"/>
      <c r="G1318" s="568"/>
      <c r="H1318" s="746"/>
      <c r="I1318" s="615">
        <f>SUM(I1316:I1317)</f>
        <v>0</v>
      </c>
      <c r="J1318" s="568">
        <f>SUM(J1316:J1317)</f>
        <v>112</v>
      </c>
      <c r="K1318" s="568">
        <f>SUM(K1316:K1317)</f>
        <v>0</v>
      </c>
      <c r="L1318" s="608">
        <f t="shared" si="15"/>
        <v>112</v>
      </c>
      <c r="M1318" s="593">
        <v>0</v>
      </c>
    </row>
    <row r="1319" spans="1:13" ht="15">
      <c r="A1319" s="1461">
        <v>1312</v>
      </c>
      <c r="B1319" s="811"/>
      <c r="C1319" s="545">
        <v>26</v>
      </c>
      <c r="D1319" s="539" t="s">
        <v>448</v>
      </c>
      <c r="E1319" s="782" t="s">
        <v>799</v>
      </c>
      <c r="F1319" s="553">
        <f>SUM(H1319,L1322)</f>
        <v>53</v>
      </c>
      <c r="G1319" s="562">
        <v>0</v>
      </c>
      <c r="H1319" s="914">
        <v>0</v>
      </c>
      <c r="I1319" s="607"/>
      <c r="J1319" s="538"/>
      <c r="K1319" s="538"/>
      <c r="L1319" s="608"/>
      <c r="M1319" s="591"/>
    </row>
    <row r="1320" spans="1:13" s="752" customFormat="1" ht="15">
      <c r="A1320" s="1461">
        <v>1313</v>
      </c>
      <c r="B1320" s="811"/>
      <c r="C1320" s="545"/>
      <c r="D1320" s="539" t="s">
        <v>957</v>
      </c>
      <c r="E1320" s="782"/>
      <c r="F1320" s="562"/>
      <c r="G1320" s="557"/>
      <c r="H1320" s="791"/>
      <c r="I1320" s="607"/>
      <c r="J1320" s="538">
        <v>53</v>
      </c>
      <c r="K1320" s="538"/>
      <c r="L1320" s="609">
        <f t="shared" si="15"/>
        <v>53</v>
      </c>
      <c r="M1320" s="586"/>
    </row>
    <row r="1321" spans="1:13" s="753" customFormat="1" ht="15">
      <c r="A1321" s="1461">
        <v>1314</v>
      </c>
      <c r="B1321" s="812"/>
      <c r="C1321" s="1464"/>
      <c r="D1321" s="541" t="s">
        <v>234</v>
      </c>
      <c r="E1321" s="805"/>
      <c r="F1321" s="806"/>
      <c r="G1321" s="567"/>
      <c r="H1321" s="745"/>
      <c r="I1321" s="610"/>
      <c r="J1321" s="555"/>
      <c r="K1321" s="555"/>
      <c r="L1321" s="611">
        <f t="shared" si="15"/>
        <v>0</v>
      </c>
      <c r="M1321" s="594"/>
    </row>
    <row r="1322" spans="1:13" s="754" customFormat="1" ht="15">
      <c r="A1322" s="1461">
        <v>1315</v>
      </c>
      <c r="B1322" s="577"/>
      <c r="C1322" s="1465"/>
      <c r="D1322" s="542" t="s">
        <v>1067</v>
      </c>
      <c r="E1322" s="576"/>
      <c r="F1322" s="568"/>
      <c r="G1322" s="568"/>
      <c r="H1322" s="746"/>
      <c r="I1322" s="615">
        <f>SUM(I1320:I1321)</f>
        <v>0</v>
      </c>
      <c r="J1322" s="568">
        <f>SUM(J1320:J1321)</f>
        <v>53</v>
      </c>
      <c r="K1322" s="568">
        <f>SUM(K1320:K1321)</f>
        <v>0</v>
      </c>
      <c r="L1322" s="608">
        <f t="shared" si="15"/>
        <v>53</v>
      </c>
      <c r="M1322" s="593">
        <v>0</v>
      </c>
    </row>
    <row r="1323" spans="1:13" ht="15">
      <c r="A1323" s="1461">
        <v>1316</v>
      </c>
      <c r="B1323" s="811"/>
      <c r="C1323" s="545"/>
      <c r="D1323" s="536" t="s">
        <v>334</v>
      </c>
      <c r="E1323" s="782"/>
      <c r="F1323" s="540"/>
      <c r="G1323" s="537"/>
      <c r="H1323" s="917"/>
      <c r="I1323" s="622"/>
      <c r="J1323" s="540"/>
      <c r="K1323" s="540"/>
      <c r="L1323" s="609"/>
      <c r="M1323" s="600"/>
    </row>
    <row r="1324" spans="1:13" s="752" customFormat="1" ht="15">
      <c r="A1324" s="1461">
        <v>1317</v>
      </c>
      <c r="B1324" s="535"/>
      <c r="C1324" s="545">
        <v>27</v>
      </c>
      <c r="D1324" s="557" t="s">
        <v>520</v>
      </c>
      <c r="E1324" s="782" t="s">
        <v>799</v>
      </c>
      <c r="F1324" s="553">
        <f>SUM(H1324,L1328)</f>
        <v>103</v>
      </c>
      <c r="G1324" s="557">
        <v>0</v>
      </c>
      <c r="H1324" s="913">
        <v>0</v>
      </c>
      <c r="I1324" s="607"/>
      <c r="J1324" s="538"/>
      <c r="K1324" s="538"/>
      <c r="L1324" s="609"/>
      <c r="M1324" s="586"/>
    </row>
    <row r="1325" spans="1:13" ht="15">
      <c r="A1325" s="1461">
        <v>1318</v>
      </c>
      <c r="B1325" s="811"/>
      <c r="C1325" s="545"/>
      <c r="D1325" s="539" t="s">
        <v>403</v>
      </c>
      <c r="E1325" s="782"/>
      <c r="F1325" s="567"/>
      <c r="G1325" s="562"/>
      <c r="H1325" s="914"/>
      <c r="I1325" s="607"/>
      <c r="J1325" s="538">
        <v>150</v>
      </c>
      <c r="K1325" s="538"/>
      <c r="L1325" s="609">
        <f>SUM(I1325:K1325)</f>
        <v>150</v>
      </c>
      <c r="M1325" s="591"/>
    </row>
    <row r="1326" spans="1:13" ht="15">
      <c r="A1326" s="1461">
        <v>1319</v>
      </c>
      <c r="B1326" s="811"/>
      <c r="C1326" s="545"/>
      <c r="D1326" s="539" t="s">
        <v>957</v>
      </c>
      <c r="E1326" s="782"/>
      <c r="F1326" s="567"/>
      <c r="G1326" s="562"/>
      <c r="H1326" s="914"/>
      <c r="I1326" s="607"/>
      <c r="J1326" s="538">
        <v>103</v>
      </c>
      <c r="K1326" s="538"/>
      <c r="L1326" s="609">
        <f>SUM(I1326:K1326)</f>
        <v>103</v>
      </c>
      <c r="M1326" s="591"/>
    </row>
    <row r="1327" spans="1:13" s="753" customFormat="1" ht="15">
      <c r="A1327" s="1461">
        <v>1320</v>
      </c>
      <c r="B1327" s="812"/>
      <c r="C1327" s="1464"/>
      <c r="D1327" s="541" t="s">
        <v>405</v>
      </c>
      <c r="E1327" s="576"/>
      <c r="F1327" s="568"/>
      <c r="G1327" s="567"/>
      <c r="H1327" s="915"/>
      <c r="I1327" s="610"/>
      <c r="J1327" s="555"/>
      <c r="K1327" s="555"/>
      <c r="L1327" s="611">
        <f>SUM(I1327:K1327)</f>
        <v>0</v>
      </c>
      <c r="M1327" s="594"/>
    </row>
    <row r="1328" spans="1:13" s="754" customFormat="1" ht="15">
      <c r="A1328" s="1461">
        <v>1321</v>
      </c>
      <c r="B1328" s="577"/>
      <c r="C1328" s="1465"/>
      <c r="D1328" s="542" t="s">
        <v>1067</v>
      </c>
      <c r="E1328" s="782"/>
      <c r="F1328" s="540"/>
      <c r="G1328" s="568"/>
      <c r="H1328" s="911"/>
      <c r="I1328" s="615">
        <f>SUM(I1326:I1327)</f>
        <v>0</v>
      </c>
      <c r="J1328" s="568">
        <f>SUM(J1326:J1327)</f>
        <v>103</v>
      </c>
      <c r="K1328" s="568">
        <f>SUM(K1326:K1327)</f>
        <v>0</v>
      </c>
      <c r="L1328" s="608">
        <f>SUM(I1328:K1328)</f>
        <v>103</v>
      </c>
      <c r="M1328" s="593">
        <f>SUM(M1325:M1327)</f>
        <v>0</v>
      </c>
    </row>
    <row r="1329" spans="1:13" ht="15">
      <c r="A1329" s="1461">
        <v>1322</v>
      </c>
      <c r="B1329" s="811"/>
      <c r="C1329" s="545">
        <v>28</v>
      </c>
      <c r="D1329" s="539" t="s">
        <v>329</v>
      </c>
      <c r="E1329" s="782" t="s">
        <v>799</v>
      </c>
      <c r="F1329" s="553">
        <f>SUM(H1329,L1332)</f>
        <v>81</v>
      </c>
      <c r="G1329" s="562">
        <v>0</v>
      </c>
      <c r="H1329" s="914">
        <v>0</v>
      </c>
      <c r="I1329" s="607"/>
      <c r="J1329" s="538"/>
      <c r="K1329" s="538"/>
      <c r="L1329" s="608"/>
      <c r="M1329" s="591"/>
    </row>
    <row r="1330" spans="1:13" s="752" customFormat="1" ht="15">
      <c r="A1330" s="1461">
        <v>1323</v>
      </c>
      <c r="B1330" s="811"/>
      <c r="C1330" s="545"/>
      <c r="D1330" s="539" t="s">
        <v>957</v>
      </c>
      <c r="E1330" s="782"/>
      <c r="F1330" s="562"/>
      <c r="G1330" s="557"/>
      <c r="H1330" s="791"/>
      <c r="I1330" s="607"/>
      <c r="J1330" s="538">
        <v>81</v>
      </c>
      <c r="K1330" s="538"/>
      <c r="L1330" s="609">
        <f aca="true" t="shared" si="16" ref="L1330:L1353">SUM(I1330:K1330)</f>
        <v>81</v>
      </c>
      <c r="M1330" s="586"/>
    </row>
    <row r="1331" spans="1:13" s="753" customFormat="1" ht="15">
      <c r="A1331" s="1461">
        <v>1324</v>
      </c>
      <c r="B1331" s="812"/>
      <c r="C1331" s="1464"/>
      <c r="D1331" s="541" t="s">
        <v>234</v>
      </c>
      <c r="E1331" s="805"/>
      <c r="F1331" s="806"/>
      <c r="G1331" s="567"/>
      <c r="H1331" s="745"/>
      <c r="I1331" s="610"/>
      <c r="J1331" s="555"/>
      <c r="K1331" s="555"/>
      <c r="L1331" s="611">
        <f t="shared" si="16"/>
        <v>0</v>
      </c>
      <c r="M1331" s="594"/>
    </row>
    <row r="1332" spans="1:13" s="754" customFormat="1" ht="15">
      <c r="A1332" s="1461">
        <v>1325</v>
      </c>
      <c r="B1332" s="577"/>
      <c r="C1332" s="1465"/>
      <c r="D1332" s="542" t="s">
        <v>1067</v>
      </c>
      <c r="E1332" s="576"/>
      <c r="F1332" s="568"/>
      <c r="G1332" s="568"/>
      <c r="H1332" s="746"/>
      <c r="I1332" s="615">
        <f>SUM(I1330:I1331)</f>
        <v>0</v>
      </c>
      <c r="J1332" s="568">
        <f>SUM(J1330:J1331)</f>
        <v>81</v>
      </c>
      <c r="K1332" s="568">
        <f>SUM(K1330:K1331)</f>
        <v>0</v>
      </c>
      <c r="L1332" s="608">
        <f t="shared" si="16"/>
        <v>81</v>
      </c>
      <c r="M1332" s="593">
        <v>0</v>
      </c>
    </row>
    <row r="1333" spans="1:13" ht="15">
      <c r="A1333" s="1461">
        <v>1326</v>
      </c>
      <c r="B1333" s="811"/>
      <c r="C1333" s="545">
        <v>29</v>
      </c>
      <c r="D1333" s="539" t="s">
        <v>330</v>
      </c>
      <c r="E1333" s="782" t="s">
        <v>799</v>
      </c>
      <c r="F1333" s="553">
        <f>SUM(H1333,L1336)</f>
        <v>103</v>
      </c>
      <c r="G1333" s="562">
        <v>0</v>
      </c>
      <c r="H1333" s="914">
        <v>0</v>
      </c>
      <c r="I1333" s="607"/>
      <c r="J1333" s="538"/>
      <c r="K1333" s="538"/>
      <c r="L1333" s="608"/>
      <c r="M1333" s="591"/>
    </row>
    <row r="1334" spans="1:13" s="752" customFormat="1" ht="15">
      <c r="A1334" s="1461">
        <v>1327</v>
      </c>
      <c r="B1334" s="811"/>
      <c r="C1334" s="545"/>
      <c r="D1334" s="539" t="s">
        <v>957</v>
      </c>
      <c r="E1334" s="782"/>
      <c r="F1334" s="562"/>
      <c r="G1334" s="557"/>
      <c r="H1334" s="791"/>
      <c r="I1334" s="607"/>
      <c r="J1334" s="538">
        <v>103</v>
      </c>
      <c r="K1334" s="538"/>
      <c r="L1334" s="609">
        <f t="shared" si="16"/>
        <v>103</v>
      </c>
      <c r="M1334" s="586"/>
    </row>
    <row r="1335" spans="1:13" s="753" customFormat="1" ht="15">
      <c r="A1335" s="1461">
        <v>1328</v>
      </c>
      <c r="B1335" s="812"/>
      <c r="C1335" s="1464"/>
      <c r="D1335" s="541" t="s">
        <v>234</v>
      </c>
      <c r="E1335" s="805"/>
      <c r="F1335" s="806"/>
      <c r="G1335" s="567"/>
      <c r="H1335" s="745"/>
      <c r="I1335" s="610"/>
      <c r="J1335" s="555"/>
      <c r="K1335" s="555"/>
      <c r="L1335" s="611">
        <f t="shared" si="16"/>
        <v>0</v>
      </c>
      <c r="M1335" s="594"/>
    </row>
    <row r="1336" spans="1:13" s="754" customFormat="1" ht="15">
      <c r="A1336" s="1461">
        <v>1329</v>
      </c>
      <c r="B1336" s="577"/>
      <c r="C1336" s="1465"/>
      <c r="D1336" s="542" t="s">
        <v>1067</v>
      </c>
      <c r="E1336" s="576"/>
      <c r="F1336" s="568"/>
      <c r="G1336" s="568"/>
      <c r="H1336" s="746"/>
      <c r="I1336" s="615">
        <f>SUM(I1334:I1335)</f>
        <v>0</v>
      </c>
      <c r="J1336" s="568">
        <f>SUM(J1334:J1335)</f>
        <v>103</v>
      </c>
      <c r="K1336" s="568">
        <f>SUM(K1334:K1335)</f>
        <v>0</v>
      </c>
      <c r="L1336" s="608">
        <f t="shared" si="16"/>
        <v>103</v>
      </c>
      <c r="M1336" s="593">
        <v>0</v>
      </c>
    </row>
    <row r="1337" spans="1:13" ht="15">
      <c r="A1337" s="1461">
        <v>1330</v>
      </c>
      <c r="B1337" s="811"/>
      <c r="C1337" s="545">
        <v>30</v>
      </c>
      <c r="D1337" s="539" t="s">
        <v>300</v>
      </c>
      <c r="E1337" s="782" t="s">
        <v>799</v>
      </c>
      <c r="F1337" s="553">
        <f>SUM(H1337,L1340)</f>
        <v>40</v>
      </c>
      <c r="G1337" s="562">
        <v>0</v>
      </c>
      <c r="H1337" s="914">
        <v>0</v>
      </c>
      <c r="I1337" s="607"/>
      <c r="J1337" s="538"/>
      <c r="K1337" s="538"/>
      <c r="L1337" s="608"/>
      <c r="M1337" s="591"/>
    </row>
    <row r="1338" spans="1:13" s="752" customFormat="1" ht="15">
      <c r="A1338" s="1461">
        <v>1331</v>
      </c>
      <c r="B1338" s="811"/>
      <c r="C1338" s="545"/>
      <c r="D1338" s="539" t="s">
        <v>957</v>
      </c>
      <c r="E1338" s="782"/>
      <c r="F1338" s="562"/>
      <c r="G1338" s="557"/>
      <c r="H1338" s="791"/>
      <c r="I1338" s="607"/>
      <c r="J1338" s="538">
        <v>40</v>
      </c>
      <c r="K1338" s="538"/>
      <c r="L1338" s="609">
        <f t="shared" si="16"/>
        <v>40</v>
      </c>
      <c r="M1338" s="586"/>
    </row>
    <row r="1339" spans="1:13" s="753" customFormat="1" ht="15">
      <c r="A1339" s="1461">
        <v>1332</v>
      </c>
      <c r="B1339" s="812"/>
      <c r="C1339" s="1464"/>
      <c r="D1339" s="541" t="s">
        <v>234</v>
      </c>
      <c r="E1339" s="805"/>
      <c r="F1339" s="806"/>
      <c r="G1339" s="567"/>
      <c r="H1339" s="745"/>
      <c r="I1339" s="610"/>
      <c r="J1339" s="555"/>
      <c r="K1339" s="555"/>
      <c r="L1339" s="611">
        <f t="shared" si="16"/>
        <v>0</v>
      </c>
      <c r="M1339" s="594"/>
    </row>
    <row r="1340" spans="1:13" s="754" customFormat="1" ht="15">
      <c r="A1340" s="1461">
        <v>1333</v>
      </c>
      <c r="B1340" s="577"/>
      <c r="C1340" s="1465"/>
      <c r="D1340" s="542" t="s">
        <v>1067</v>
      </c>
      <c r="E1340" s="576"/>
      <c r="F1340" s="568"/>
      <c r="G1340" s="568"/>
      <c r="H1340" s="746"/>
      <c r="I1340" s="615">
        <f>SUM(I1338:I1339)</f>
        <v>0</v>
      </c>
      <c r="J1340" s="568">
        <f>SUM(J1338:J1339)</f>
        <v>40</v>
      </c>
      <c r="K1340" s="568">
        <f>SUM(K1338:K1339)</f>
        <v>0</v>
      </c>
      <c r="L1340" s="608">
        <f t="shared" si="16"/>
        <v>40</v>
      </c>
      <c r="M1340" s="593">
        <v>0</v>
      </c>
    </row>
    <row r="1341" spans="1:13" ht="15">
      <c r="A1341" s="1461">
        <v>1334</v>
      </c>
      <c r="B1341" s="811"/>
      <c r="C1341" s="545">
        <v>31</v>
      </c>
      <c r="D1341" s="539" t="s">
        <v>449</v>
      </c>
      <c r="E1341" s="782" t="s">
        <v>799</v>
      </c>
      <c r="F1341" s="553">
        <f>SUM(H1341,L1344)</f>
        <v>23</v>
      </c>
      <c r="G1341" s="562">
        <v>0</v>
      </c>
      <c r="H1341" s="914">
        <v>0</v>
      </c>
      <c r="I1341" s="607"/>
      <c r="J1341" s="538"/>
      <c r="K1341" s="538"/>
      <c r="L1341" s="608"/>
      <c r="M1341" s="591"/>
    </row>
    <row r="1342" spans="1:13" s="752" customFormat="1" ht="15">
      <c r="A1342" s="1461">
        <v>1335</v>
      </c>
      <c r="B1342" s="811"/>
      <c r="C1342" s="545"/>
      <c r="D1342" s="539" t="s">
        <v>957</v>
      </c>
      <c r="E1342" s="782"/>
      <c r="F1342" s="562"/>
      <c r="G1342" s="557"/>
      <c r="H1342" s="791"/>
      <c r="I1342" s="607"/>
      <c r="J1342" s="538">
        <v>23</v>
      </c>
      <c r="K1342" s="538"/>
      <c r="L1342" s="609">
        <f t="shared" si="16"/>
        <v>23</v>
      </c>
      <c r="M1342" s="586"/>
    </row>
    <row r="1343" spans="1:13" s="753" customFormat="1" ht="15">
      <c r="A1343" s="1461">
        <v>1336</v>
      </c>
      <c r="B1343" s="812"/>
      <c r="C1343" s="1464"/>
      <c r="D1343" s="541" t="s">
        <v>234</v>
      </c>
      <c r="E1343" s="805"/>
      <c r="F1343" s="806"/>
      <c r="G1343" s="567"/>
      <c r="H1343" s="745"/>
      <c r="I1343" s="610"/>
      <c r="J1343" s="555"/>
      <c r="K1343" s="555"/>
      <c r="L1343" s="611">
        <f t="shared" si="16"/>
        <v>0</v>
      </c>
      <c r="M1343" s="594"/>
    </row>
    <row r="1344" spans="1:14" s="754" customFormat="1" ht="15">
      <c r="A1344" s="1461">
        <v>1337</v>
      </c>
      <c r="B1344" s="577"/>
      <c r="C1344" s="1465"/>
      <c r="D1344" s="542" t="s">
        <v>1067</v>
      </c>
      <c r="E1344" s="576"/>
      <c r="F1344" s="568"/>
      <c r="G1344" s="568"/>
      <c r="H1344" s="746"/>
      <c r="I1344" s="615">
        <f>SUM(I1342:I1343)</f>
        <v>0</v>
      </c>
      <c r="J1344" s="568">
        <f>SUM(J1342:J1343)</f>
        <v>23</v>
      </c>
      <c r="K1344" s="568">
        <f>SUM(K1342:K1343)</f>
        <v>0</v>
      </c>
      <c r="L1344" s="608">
        <f t="shared" si="16"/>
        <v>23</v>
      </c>
      <c r="M1344" s="593">
        <v>0</v>
      </c>
      <c r="N1344" s="754">
        <f>J1343+J1339+J1335+J1331+J1327+J1321+J1317+J1313+J1308+J1303+J1289+J1285+J1276+J1271+J1266+J1252+J1247+J1243+J1239+J1235+J1231+J1227+J1218+J1214+J1210+J1256</f>
        <v>0</v>
      </c>
    </row>
    <row r="1345" spans="1:15" s="752" customFormat="1" ht="15">
      <c r="A1345" s="1461">
        <v>1338</v>
      </c>
      <c r="B1345" s="535">
        <v>9</v>
      </c>
      <c r="C1345" s="545"/>
      <c r="D1345" s="1726" t="s">
        <v>854</v>
      </c>
      <c r="E1345" s="1727"/>
      <c r="F1345" s="1728"/>
      <c r="G1345" s="564"/>
      <c r="H1345" s="912"/>
      <c r="I1345" s="607"/>
      <c r="J1345" s="538"/>
      <c r="K1345" s="538"/>
      <c r="L1345" s="608"/>
      <c r="M1345" s="589"/>
      <c r="O1345" s="748"/>
    </row>
    <row r="1346" spans="1:13" ht="15">
      <c r="A1346" s="1461">
        <v>1339</v>
      </c>
      <c r="B1346" s="811"/>
      <c r="C1346" s="545">
        <v>1</v>
      </c>
      <c r="D1346" s="539" t="s">
        <v>966</v>
      </c>
      <c r="E1346" s="782" t="s">
        <v>799</v>
      </c>
      <c r="F1346" s="553">
        <f>SUM(H1346,L1349)</f>
        <v>400</v>
      </c>
      <c r="G1346" s="562">
        <v>0</v>
      </c>
      <c r="H1346" s="914">
        <v>0</v>
      </c>
      <c r="I1346" s="607"/>
      <c r="J1346" s="538"/>
      <c r="K1346" s="538"/>
      <c r="L1346" s="608"/>
      <c r="M1346" s="591"/>
    </row>
    <row r="1347" spans="1:13" s="752" customFormat="1" ht="15">
      <c r="A1347" s="1461">
        <v>1340</v>
      </c>
      <c r="B1347" s="811"/>
      <c r="C1347" s="545"/>
      <c r="D1347" s="539" t="s">
        <v>957</v>
      </c>
      <c r="E1347" s="782"/>
      <c r="F1347" s="562"/>
      <c r="G1347" s="557"/>
      <c r="H1347" s="791"/>
      <c r="I1347" s="607"/>
      <c r="J1347" s="538">
        <v>400</v>
      </c>
      <c r="K1347" s="538"/>
      <c r="L1347" s="609">
        <f t="shared" si="16"/>
        <v>400</v>
      </c>
      <c r="M1347" s="586"/>
    </row>
    <row r="1348" spans="1:13" s="753" customFormat="1" ht="15">
      <c r="A1348" s="1461">
        <v>1341</v>
      </c>
      <c r="B1348" s="812"/>
      <c r="C1348" s="1464"/>
      <c r="D1348" s="541" t="s">
        <v>405</v>
      </c>
      <c r="E1348" s="805"/>
      <c r="F1348" s="806"/>
      <c r="G1348" s="567"/>
      <c r="H1348" s="745"/>
      <c r="I1348" s="610"/>
      <c r="J1348" s="555"/>
      <c r="K1348" s="555"/>
      <c r="L1348" s="611">
        <f t="shared" si="16"/>
        <v>0</v>
      </c>
      <c r="M1348" s="594">
        <v>0</v>
      </c>
    </row>
    <row r="1349" spans="1:13" s="754" customFormat="1" ht="15">
      <c r="A1349" s="1461">
        <v>1342</v>
      </c>
      <c r="B1349" s="577"/>
      <c r="C1349" s="1465"/>
      <c r="D1349" s="542" t="s">
        <v>1067</v>
      </c>
      <c r="E1349" s="576"/>
      <c r="F1349" s="568"/>
      <c r="G1349" s="568"/>
      <c r="H1349" s="746"/>
      <c r="I1349" s="615">
        <f>SUM(I1347:I1348)</f>
        <v>0</v>
      </c>
      <c r="J1349" s="568">
        <f>SUM(J1347:J1348)</f>
        <v>400</v>
      </c>
      <c r="K1349" s="568">
        <f>SUM(K1347:K1348)</f>
        <v>0</v>
      </c>
      <c r="L1349" s="608">
        <f t="shared" si="16"/>
        <v>400</v>
      </c>
      <c r="M1349" s="593"/>
    </row>
    <row r="1350" spans="1:13" ht="15">
      <c r="A1350" s="1461">
        <v>1343</v>
      </c>
      <c r="B1350" s="811"/>
      <c r="C1350" s="545">
        <v>2</v>
      </c>
      <c r="D1350" s="539" t="s">
        <v>967</v>
      </c>
      <c r="E1350" s="782" t="s">
        <v>799</v>
      </c>
      <c r="F1350" s="553">
        <f>SUM(H1350,L1353)</f>
        <v>400</v>
      </c>
      <c r="G1350" s="562">
        <v>0</v>
      </c>
      <c r="H1350" s="914">
        <v>0</v>
      </c>
      <c r="I1350" s="607"/>
      <c r="J1350" s="538"/>
      <c r="K1350" s="538"/>
      <c r="L1350" s="608"/>
      <c r="M1350" s="591"/>
    </row>
    <row r="1351" spans="1:13" s="752" customFormat="1" ht="15">
      <c r="A1351" s="1461">
        <v>1344</v>
      </c>
      <c r="B1351" s="811"/>
      <c r="C1351" s="545"/>
      <c r="D1351" s="539" t="s">
        <v>957</v>
      </c>
      <c r="E1351" s="782"/>
      <c r="F1351" s="562"/>
      <c r="G1351" s="557"/>
      <c r="H1351" s="791"/>
      <c r="I1351" s="607"/>
      <c r="J1351" s="538">
        <v>400</v>
      </c>
      <c r="K1351" s="538"/>
      <c r="L1351" s="609">
        <f t="shared" si="16"/>
        <v>400</v>
      </c>
      <c r="M1351" s="586"/>
    </row>
    <row r="1352" spans="1:13" s="753" customFormat="1" ht="15">
      <c r="A1352" s="1461">
        <v>1345</v>
      </c>
      <c r="B1352" s="812"/>
      <c r="C1352" s="1464"/>
      <c r="D1352" s="541" t="s">
        <v>405</v>
      </c>
      <c r="E1352" s="805"/>
      <c r="F1352" s="806"/>
      <c r="G1352" s="567"/>
      <c r="H1352" s="745"/>
      <c r="I1352" s="610"/>
      <c r="J1352" s="555"/>
      <c r="K1352" s="555"/>
      <c r="L1352" s="611">
        <f t="shared" si="16"/>
        <v>0</v>
      </c>
      <c r="M1352" s="594">
        <v>0</v>
      </c>
    </row>
    <row r="1353" spans="1:13" s="754" customFormat="1" ht="15">
      <c r="A1353" s="1461">
        <v>1346</v>
      </c>
      <c r="B1353" s="577"/>
      <c r="C1353" s="1465"/>
      <c r="D1353" s="542" t="s">
        <v>1067</v>
      </c>
      <c r="E1353" s="576"/>
      <c r="F1353" s="568"/>
      <c r="G1353" s="568"/>
      <c r="H1353" s="746"/>
      <c r="I1353" s="615">
        <f>SUM(I1351:I1352)</f>
        <v>0</v>
      </c>
      <c r="J1353" s="568">
        <f>SUM(J1351:J1352)</f>
        <v>400</v>
      </c>
      <c r="K1353" s="568">
        <f>SUM(K1351:K1352)</f>
        <v>0</v>
      </c>
      <c r="L1353" s="608">
        <f t="shared" si="16"/>
        <v>400</v>
      </c>
      <c r="M1353" s="593"/>
    </row>
    <row r="1354" spans="1:15" s="752" customFormat="1" ht="15">
      <c r="A1354" s="1461">
        <v>1347</v>
      </c>
      <c r="B1354" s="535">
        <v>10</v>
      </c>
      <c r="C1354" s="545"/>
      <c r="D1354" s="536" t="s">
        <v>335</v>
      </c>
      <c r="E1354" s="779"/>
      <c r="F1354" s="557"/>
      <c r="G1354" s="564"/>
      <c r="H1354" s="912"/>
      <c r="I1354" s="607"/>
      <c r="J1354" s="538"/>
      <c r="K1354" s="538"/>
      <c r="L1354" s="609"/>
      <c r="M1354" s="589"/>
      <c r="O1354" s="748">
        <f>L1317+L1297+L1293+L1289+L1285+L1281+L1260+L1247+L1214</f>
        <v>0</v>
      </c>
    </row>
    <row r="1355" spans="1:13" s="752" customFormat="1" ht="15">
      <c r="A1355" s="1461">
        <v>1348</v>
      </c>
      <c r="B1355" s="811"/>
      <c r="C1355" s="545">
        <v>1</v>
      </c>
      <c r="D1355" s="557" t="s">
        <v>336</v>
      </c>
      <c r="E1355" s="782" t="s">
        <v>799</v>
      </c>
      <c r="F1355" s="553">
        <f>SUM(H1355,L1359)</f>
        <v>9000</v>
      </c>
      <c r="G1355" s="557">
        <v>0</v>
      </c>
      <c r="H1355" s="913">
        <v>0</v>
      </c>
      <c r="I1355" s="607"/>
      <c r="J1355" s="538"/>
      <c r="K1355" s="538"/>
      <c r="L1355" s="609"/>
      <c r="M1355" s="586"/>
    </row>
    <row r="1356" spans="1:13" ht="15">
      <c r="A1356" s="1461">
        <v>1349</v>
      </c>
      <c r="B1356" s="811"/>
      <c r="C1356" s="545"/>
      <c r="D1356" s="539" t="s">
        <v>403</v>
      </c>
      <c r="E1356" s="782"/>
      <c r="F1356" s="567"/>
      <c r="G1356" s="562"/>
      <c r="H1356" s="914"/>
      <c r="I1356" s="607">
        <v>9000</v>
      </c>
      <c r="J1356" s="538"/>
      <c r="K1356" s="538"/>
      <c r="L1356" s="609">
        <f>SUM(I1356:K1356)</f>
        <v>9000</v>
      </c>
      <c r="M1356" s="591"/>
    </row>
    <row r="1357" spans="1:13" ht="15">
      <c r="A1357" s="1461">
        <v>1350</v>
      </c>
      <c r="B1357" s="811"/>
      <c r="C1357" s="545"/>
      <c r="D1357" s="539" t="s">
        <v>957</v>
      </c>
      <c r="E1357" s="782"/>
      <c r="F1357" s="567"/>
      <c r="G1357" s="562"/>
      <c r="H1357" s="914"/>
      <c r="I1357" s="607">
        <v>9000</v>
      </c>
      <c r="J1357" s="538"/>
      <c r="K1357" s="538"/>
      <c r="L1357" s="609">
        <f>SUM(I1357:K1357)</f>
        <v>9000</v>
      </c>
      <c r="M1357" s="591"/>
    </row>
    <row r="1358" spans="1:13" s="753" customFormat="1" ht="15">
      <c r="A1358" s="1461">
        <v>1351</v>
      </c>
      <c r="B1358" s="812"/>
      <c r="C1358" s="1464"/>
      <c r="D1358" s="541" t="s">
        <v>405</v>
      </c>
      <c r="E1358" s="576"/>
      <c r="F1358" s="568"/>
      <c r="G1358" s="567"/>
      <c r="H1358" s="915"/>
      <c r="I1358" s="610"/>
      <c r="J1358" s="555"/>
      <c r="K1358" s="555"/>
      <c r="L1358" s="611">
        <f>SUM(I1358:K1358)</f>
        <v>0</v>
      </c>
      <c r="M1358" s="594"/>
    </row>
    <row r="1359" spans="1:13" s="754" customFormat="1" ht="15">
      <c r="A1359" s="1461">
        <v>1352</v>
      </c>
      <c r="B1359" s="577"/>
      <c r="C1359" s="1465"/>
      <c r="D1359" s="542" t="s">
        <v>1067</v>
      </c>
      <c r="E1359" s="779"/>
      <c r="F1359" s="557"/>
      <c r="G1359" s="568"/>
      <c r="H1359" s="911"/>
      <c r="I1359" s="615">
        <f>SUM(I1357:I1358)</f>
        <v>9000</v>
      </c>
      <c r="J1359" s="568">
        <f>SUM(J1357:J1358)</f>
        <v>0</v>
      </c>
      <c r="K1359" s="568">
        <f>SUM(K1357:K1358)</f>
        <v>0</v>
      </c>
      <c r="L1359" s="608">
        <f>SUM(I1359:K1359)</f>
        <v>9000</v>
      </c>
      <c r="M1359" s="593">
        <f>SUM(M1356:M1358)</f>
        <v>0</v>
      </c>
    </row>
    <row r="1360" spans="1:13" s="752" customFormat="1" ht="15">
      <c r="A1360" s="1461">
        <v>1353</v>
      </c>
      <c r="B1360" s="535"/>
      <c r="C1360" s="545">
        <v>2</v>
      </c>
      <c r="D1360" s="557" t="s">
        <v>584</v>
      </c>
      <c r="E1360" s="782" t="s">
        <v>799</v>
      </c>
      <c r="F1360" s="553">
        <f>SUM(H1360,L1364)</f>
        <v>8100</v>
      </c>
      <c r="G1360" s="557">
        <v>0</v>
      </c>
      <c r="H1360" s="913">
        <v>0</v>
      </c>
      <c r="I1360" s="607"/>
      <c r="J1360" s="538"/>
      <c r="K1360" s="538"/>
      <c r="L1360" s="609"/>
      <c r="M1360" s="586"/>
    </row>
    <row r="1361" spans="1:13" ht="15">
      <c r="A1361" s="1461">
        <v>1354</v>
      </c>
      <c r="B1361" s="811"/>
      <c r="C1361" s="545"/>
      <c r="D1361" s="539" t="s">
        <v>403</v>
      </c>
      <c r="E1361" s="788"/>
      <c r="F1361" s="796"/>
      <c r="G1361" s="562"/>
      <c r="H1361" s="918"/>
      <c r="I1361" s="607">
        <v>7620</v>
      </c>
      <c r="J1361" s="538"/>
      <c r="K1361" s="538"/>
      <c r="L1361" s="609">
        <f>SUM(I1361:K1361)</f>
        <v>7620</v>
      </c>
      <c r="M1361" s="591"/>
    </row>
    <row r="1362" spans="1:13" ht="15">
      <c r="A1362" s="1461">
        <v>1355</v>
      </c>
      <c r="B1362" s="811"/>
      <c r="C1362" s="545"/>
      <c r="D1362" s="539" t="s">
        <v>957</v>
      </c>
      <c r="E1362" s="788"/>
      <c r="F1362" s="796"/>
      <c r="G1362" s="562"/>
      <c r="H1362" s="918"/>
      <c r="I1362" s="607">
        <v>8100</v>
      </c>
      <c r="J1362" s="538"/>
      <c r="K1362" s="538"/>
      <c r="L1362" s="609">
        <f>SUM(I1362:K1362)</f>
        <v>8100</v>
      </c>
      <c r="M1362" s="591"/>
    </row>
    <row r="1363" spans="1:13" s="753" customFormat="1" ht="15">
      <c r="A1363" s="1461">
        <v>1356</v>
      </c>
      <c r="B1363" s="812"/>
      <c r="C1363" s="1464"/>
      <c r="D1363" s="541" t="s">
        <v>405</v>
      </c>
      <c r="E1363" s="782"/>
      <c r="F1363" s="567"/>
      <c r="G1363" s="567"/>
      <c r="H1363" s="919"/>
      <c r="I1363" s="610"/>
      <c r="J1363" s="555"/>
      <c r="K1363" s="555"/>
      <c r="L1363" s="611">
        <f>SUM(I1363:K1363)</f>
        <v>0</v>
      </c>
      <c r="M1363" s="594"/>
    </row>
    <row r="1364" spans="1:13" s="754" customFormat="1" ht="15">
      <c r="A1364" s="1461">
        <v>1357</v>
      </c>
      <c r="B1364" s="577"/>
      <c r="C1364" s="1465"/>
      <c r="D1364" s="542" t="s">
        <v>1067</v>
      </c>
      <c r="E1364" s="576"/>
      <c r="F1364" s="568"/>
      <c r="G1364" s="568"/>
      <c r="H1364" s="911"/>
      <c r="I1364" s="615">
        <f>SUM(I1362:I1363)</f>
        <v>8100</v>
      </c>
      <c r="J1364" s="568">
        <f>SUM(J1362:J1363)</f>
        <v>0</v>
      </c>
      <c r="K1364" s="568">
        <f>SUM(K1362:K1363)</f>
        <v>0</v>
      </c>
      <c r="L1364" s="608">
        <f>SUM(I1364:K1364)</f>
        <v>8100</v>
      </c>
      <c r="M1364" s="593">
        <f>SUM(M1361:M1363)</f>
        <v>0</v>
      </c>
    </row>
    <row r="1365" spans="1:13" ht="15">
      <c r="A1365" s="1461">
        <v>1358</v>
      </c>
      <c r="B1365" s="811"/>
      <c r="C1365" s="545">
        <v>3</v>
      </c>
      <c r="D1365" s="539" t="s">
        <v>456</v>
      </c>
      <c r="E1365" s="782" t="s">
        <v>799</v>
      </c>
      <c r="F1365" s="553">
        <f>SUM(H1365,L1368)</f>
        <v>541</v>
      </c>
      <c r="G1365" s="562">
        <v>0</v>
      </c>
      <c r="H1365" s="914">
        <v>0</v>
      </c>
      <c r="I1365" s="607"/>
      <c r="J1365" s="538"/>
      <c r="K1365" s="538"/>
      <c r="L1365" s="608"/>
      <c r="M1365" s="591"/>
    </row>
    <row r="1366" spans="1:13" s="752" customFormat="1" ht="15">
      <c r="A1366" s="1461">
        <v>1359</v>
      </c>
      <c r="B1366" s="811"/>
      <c r="C1366" s="545"/>
      <c r="D1366" s="539" t="s">
        <v>957</v>
      </c>
      <c r="E1366" s="782"/>
      <c r="F1366" s="562"/>
      <c r="G1366" s="557"/>
      <c r="H1366" s="791"/>
      <c r="I1366" s="607">
        <v>541</v>
      </c>
      <c r="J1366" s="538"/>
      <c r="K1366" s="538"/>
      <c r="L1366" s="609">
        <f aca="true" t="shared" si="17" ref="L1366:L1380">SUM(I1366:K1366)</f>
        <v>541</v>
      </c>
      <c r="M1366" s="586"/>
    </row>
    <row r="1367" spans="1:13" s="753" customFormat="1" ht="15">
      <c r="A1367" s="1461">
        <v>1360</v>
      </c>
      <c r="B1367" s="812"/>
      <c r="C1367" s="1464"/>
      <c r="D1367" s="541" t="s">
        <v>234</v>
      </c>
      <c r="E1367" s="805"/>
      <c r="F1367" s="806"/>
      <c r="G1367" s="567"/>
      <c r="H1367" s="745"/>
      <c r="I1367" s="610"/>
      <c r="J1367" s="555"/>
      <c r="K1367" s="555"/>
      <c r="L1367" s="611">
        <f t="shared" si="17"/>
        <v>0</v>
      </c>
      <c r="M1367" s="594"/>
    </row>
    <row r="1368" spans="1:13" s="754" customFormat="1" ht="15">
      <c r="A1368" s="1461">
        <v>1361</v>
      </c>
      <c r="B1368" s="577"/>
      <c r="C1368" s="1465"/>
      <c r="D1368" s="542" t="s">
        <v>1067</v>
      </c>
      <c r="E1368" s="576"/>
      <c r="F1368" s="568"/>
      <c r="G1368" s="568"/>
      <c r="H1368" s="746"/>
      <c r="I1368" s="615">
        <f>SUM(I1366:I1367)</f>
        <v>541</v>
      </c>
      <c r="J1368" s="568">
        <f>SUM(J1366:J1367)</f>
        <v>0</v>
      </c>
      <c r="K1368" s="568">
        <f>SUM(K1366:K1367)</f>
        <v>0</v>
      </c>
      <c r="L1368" s="608">
        <f t="shared" si="17"/>
        <v>541</v>
      </c>
      <c r="M1368" s="593">
        <v>0</v>
      </c>
    </row>
    <row r="1369" spans="1:13" ht="15">
      <c r="A1369" s="1461">
        <v>1362</v>
      </c>
      <c r="B1369" s="811"/>
      <c r="C1369" s="545">
        <v>4</v>
      </c>
      <c r="D1369" s="539" t="s">
        <v>968</v>
      </c>
      <c r="E1369" s="782" t="s">
        <v>799</v>
      </c>
      <c r="F1369" s="553">
        <f>SUM(H1369,L1372)</f>
        <v>588</v>
      </c>
      <c r="G1369" s="562">
        <v>0</v>
      </c>
      <c r="H1369" s="914">
        <v>0</v>
      </c>
      <c r="I1369" s="607"/>
      <c r="J1369" s="538"/>
      <c r="K1369" s="538"/>
      <c r="L1369" s="608"/>
      <c r="M1369" s="591"/>
    </row>
    <row r="1370" spans="1:13" s="752" customFormat="1" ht="15">
      <c r="A1370" s="1461">
        <v>1363</v>
      </c>
      <c r="B1370" s="811"/>
      <c r="C1370" s="545"/>
      <c r="D1370" s="539" t="s">
        <v>957</v>
      </c>
      <c r="E1370" s="782"/>
      <c r="F1370" s="562"/>
      <c r="G1370" s="557"/>
      <c r="H1370" s="791"/>
      <c r="I1370" s="607"/>
      <c r="J1370" s="538">
        <v>588</v>
      </c>
      <c r="K1370" s="538"/>
      <c r="L1370" s="609">
        <f t="shared" si="17"/>
        <v>588</v>
      </c>
      <c r="M1370" s="586"/>
    </row>
    <row r="1371" spans="1:13" s="753" customFormat="1" ht="15">
      <c r="A1371" s="1461">
        <v>1364</v>
      </c>
      <c r="B1371" s="812"/>
      <c r="C1371" s="1464"/>
      <c r="D1371" s="541" t="s">
        <v>969</v>
      </c>
      <c r="E1371" s="805"/>
      <c r="F1371" s="806"/>
      <c r="G1371" s="567"/>
      <c r="H1371" s="745"/>
      <c r="I1371" s="610"/>
      <c r="J1371" s="555"/>
      <c r="K1371" s="555"/>
      <c r="L1371" s="611">
        <f t="shared" si="17"/>
        <v>0</v>
      </c>
      <c r="M1371" s="594"/>
    </row>
    <row r="1372" spans="1:13" s="754" customFormat="1" ht="15">
      <c r="A1372" s="1461">
        <v>1365</v>
      </c>
      <c r="B1372" s="577"/>
      <c r="C1372" s="1465"/>
      <c r="D1372" s="542" t="s">
        <v>1067</v>
      </c>
      <c r="E1372" s="576"/>
      <c r="F1372" s="568"/>
      <c r="G1372" s="568"/>
      <c r="H1372" s="746"/>
      <c r="I1372" s="615">
        <f>SUM(I1370:I1371)</f>
        <v>0</v>
      </c>
      <c r="J1372" s="568">
        <f>SUM(J1370:J1371)</f>
        <v>588</v>
      </c>
      <c r="K1372" s="568">
        <f>SUM(K1370:K1371)</f>
        <v>0</v>
      </c>
      <c r="L1372" s="608">
        <f t="shared" si="17"/>
        <v>588</v>
      </c>
      <c r="M1372" s="593">
        <v>0</v>
      </c>
    </row>
    <row r="1373" spans="1:13" ht="15">
      <c r="A1373" s="1461">
        <v>1366</v>
      </c>
      <c r="B1373" s="811"/>
      <c r="C1373" s="545">
        <v>5</v>
      </c>
      <c r="D1373" s="539" t="s">
        <v>457</v>
      </c>
      <c r="E1373" s="782" t="s">
        <v>799</v>
      </c>
      <c r="F1373" s="553">
        <f>SUM(H1373,L1376)</f>
        <v>32</v>
      </c>
      <c r="G1373" s="562">
        <v>0</v>
      </c>
      <c r="H1373" s="914">
        <v>0</v>
      </c>
      <c r="I1373" s="607"/>
      <c r="J1373" s="538"/>
      <c r="K1373" s="538"/>
      <c r="L1373" s="608"/>
      <c r="M1373" s="591"/>
    </row>
    <row r="1374" spans="1:13" s="752" customFormat="1" ht="15">
      <c r="A1374" s="1461">
        <v>1367</v>
      </c>
      <c r="B1374" s="811"/>
      <c r="C1374" s="545"/>
      <c r="D1374" s="539" t="s">
        <v>957</v>
      </c>
      <c r="E1374" s="782"/>
      <c r="F1374" s="562"/>
      <c r="G1374" s="557"/>
      <c r="H1374" s="791"/>
      <c r="I1374" s="607"/>
      <c r="J1374" s="538">
        <v>32</v>
      </c>
      <c r="K1374" s="538"/>
      <c r="L1374" s="609">
        <f t="shared" si="17"/>
        <v>32</v>
      </c>
      <c r="M1374" s="586"/>
    </row>
    <row r="1375" spans="1:13" s="753" customFormat="1" ht="15">
      <c r="A1375" s="1461">
        <v>1368</v>
      </c>
      <c r="B1375" s="812"/>
      <c r="C1375" s="1464"/>
      <c r="D1375" s="541" t="s">
        <v>234</v>
      </c>
      <c r="E1375" s="805"/>
      <c r="F1375" s="806"/>
      <c r="G1375" s="567"/>
      <c r="H1375" s="745"/>
      <c r="I1375" s="610"/>
      <c r="J1375" s="555"/>
      <c r="K1375" s="555"/>
      <c r="L1375" s="611">
        <f t="shared" si="17"/>
        <v>0</v>
      </c>
      <c r="M1375" s="594"/>
    </row>
    <row r="1376" spans="1:13" s="754" customFormat="1" ht="15">
      <c r="A1376" s="1461">
        <v>1369</v>
      </c>
      <c r="B1376" s="577"/>
      <c r="C1376" s="1465"/>
      <c r="D1376" s="542" t="s">
        <v>1067</v>
      </c>
      <c r="E1376" s="576"/>
      <c r="F1376" s="568"/>
      <c r="G1376" s="568"/>
      <c r="H1376" s="746"/>
      <c r="I1376" s="615">
        <f>SUM(I1374:I1375)</f>
        <v>0</v>
      </c>
      <c r="J1376" s="568">
        <f>SUM(J1374:J1375)</f>
        <v>32</v>
      </c>
      <c r="K1376" s="568">
        <f>SUM(K1374:K1375)</f>
        <v>0</v>
      </c>
      <c r="L1376" s="608">
        <f t="shared" si="17"/>
        <v>32</v>
      </c>
      <c r="M1376" s="593">
        <v>0</v>
      </c>
    </row>
    <row r="1377" spans="1:13" ht="45">
      <c r="A1377" s="1461">
        <v>1370</v>
      </c>
      <c r="B1377" s="566"/>
      <c r="C1377" s="1463">
        <v>6</v>
      </c>
      <c r="D1377" s="539" t="s">
        <v>458</v>
      </c>
      <c r="E1377" s="782" t="s">
        <v>799</v>
      </c>
      <c r="F1377" s="553">
        <f>SUM(H1377,L1380)</f>
        <v>246</v>
      </c>
      <c r="G1377" s="562">
        <v>0</v>
      </c>
      <c r="H1377" s="914">
        <v>0</v>
      </c>
      <c r="I1377" s="607"/>
      <c r="J1377" s="538"/>
      <c r="K1377" s="538"/>
      <c r="L1377" s="608"/>
      <c r="M1377" s="591"/>
    </row>
    <row r="1378" spans="1:13" s="752" customFormat="1" ht="15">
      <c r="A1378" s="1461">
        <v>1371</v>
      </c>
      <c r="B1378" s="811"/>
      <c r="C1378" s="545"/>
      <c r="D1378" s="539" t="s">
        <v>957</v>
      </c>
      <c r="E1378" s="782"/>
      <c r="F1378" s="562"/>
      <c r="G1378" s="557"/>
      <c r="H1378" s="791"/>
      <c r="I1378" s="607"/>
      <c r="J1378" s="538">
        <v>246</v>
      </c>
      <c r="K1378" s="538"/>
      <c r="L1378" s="609">
        <f t="shared" si="17"/>
        <v>246</v>
      </c>
      <c r="M1378" s="586"/>
    </row>
    <row r="1379" spans="1:13" s="753" customFormat="1" ht="15">
      <c r="A1379" s="1461">
        <v>1372</v>
      </c>
      <c r="B1379" s="812"/>
      <c r="C1379" s="1464"/>
      <c r="D1379" s="541" t="s">
        <v>234</v>
      </c>
      <c r="E1379" s="805"/>
      <c r="F1379" s="806"/>
      <c r="G1379" s="567"/>
      <c r="H1379" s="745"/>
      <c r="I1379" s="610"/>
      <c r="J1379" s="555"/>
      <c r="K1379" s="555"/>
      <c r="L1379" s="611">
        <f t="shared" si="17"/>
        <v>0</v>
      </c>
      <c r="M1379" s="594"/>
    </row>
    <row r="1380" spans="1:14" s="754" customFormat="1" ht="15">
      <c r="A1380" s="1461">
        <v>1373</v>
      </c>
      <c r="B1380" s="577"/>
      <c r="C1380" s="1465"/>
      <c r="D1380" s="542" t="s">
        <v>1067</v>
      </c>
      <c r="E1380" s="576"/>
      <c r="F1380" s="568"/>
      <c r="G1380" s="568"/>
      <c r="H1380" s="746"/>
      <c r="I1380" s="615">
        <f>SUM(I1378:I1379)</f>
        <v>0</v>
      </c>
      <c r="J1380" s="568">
        <f>SUM(J1378:J1379)</f>
        <v>246</v>
      </c>
      <c r="K1380" s="568">
        <f>SUM(K1378:K1379)</f>
        <v>0</v>
      </c>
      <c r="L1380" s="608">
        <f t="shared" si="17"/>
        <v>246</v>
      </c>
      <c r="M1380" s="593">
        <v>0</v>
      </c>
      <c r="N1380" s="754">
        <f>J1379+J1375+J1371+I1367+I1363</f>
        <v>0</v>
      </c>
    </row>
    <row r="1381" spans="1:13" s="752" customFormat="1" ht="15">
      <c r="A1381" s="1461">
        <v>1374</v>
      </c>
      <c r="B1381" s="535">
        <v>12</v>
      </c>
      <c r="C1381" s="545"/>
      <c r="D1381" s="536" t="s">
        <v>852</v>
      </c>
      <c r="E1381" s="788"/>
      <c r="F1381" s="1298"/>
      <c r="G1381" s="1298"/>
      <c r="H1381" s="1299"/>
      <c r="I1381" s="607"/>
      <c r="J1381" s="538"/>
      <c r="K1381" s="538"/>
      <c r="L1381" s="609"/>
      <c r="M1381" s="589"/>
    </row>
    <row r="1382" spans="1:13" s="752" customFormat="1" ht="30">
      <c r="A1382" s="1461">
        <v>1375</v>
      </c>
      <c r="B1382" s="566"/>
      <c r="C1382" s="1463">
        <v>1</v>
      </c>
      <c r="D1382" s="557" t="s">
        <v>337</v>
      </c>
      <c r="E1382" s="782" t="s">
        <v>799</v>
      </c>
      <c r="F1382" s="553">
        <f>SUM(H1382,L1386)</f>
        <v>16510</v>
      </c>
      <c r="G1382" s="562">
        <v>0</v>
      </c>
      <c r="H1382" s="918">
        <v>0</v>
      </c>
      <c r="I1382" s="607"/>
      <c r="J1382" s="538"/>
      <c r="K1382" s="538"/>
      <c r="L1382" s="609"/>
      <c r="M1382" s="586"/>
    </row>
    <row r="1383" spans="1:13" ht="15">
      <c r="A1383" s="1461">
        <v>1376</v>
      </c>
      <c r="B1383" s="811"/>
      <c r="C1383" s="545"/>
      <c r="D1383" s="539" t="s">
        <v>403</v>
      </c>
      <c r="E1383" s="788"/>
      <c r="F1383" s="796"/>
      <c r="G1383" s="796"/>
      <c r="H1383" s="920"/>
      <c r="I1383" s="607"/>
      <c r="J1383" s="538">
        <v>25400</v>
      </c>
      <c r="K1383" s="538"/>
      <c r="L1383" s="609">
        <f>SUM(I1383:K1383)</f>
        <v>25400</v>
      </c>
      <c r="M1383" s="591"/>
    </row>
    <row r="1384" spans="1:13" ht="15">
      <c r="A1384" s="1461">
        <v>1377</v>
      </c>
      <c r="B1384" s="811"/>
      <c r="C1384" s="545"/>
      <c r="D1384" s="539" t="s">
        <v>957</v>
      </c>
      <c r="E1384" s="788"/>
      <c r="F1384" s="796"/>
      <c r="G1384" s="796"/>
      <c r="H1384" s="920"/>
      <c r="I1384" s="607"/>
      <c r="J1384" s="538">
        <v>16510</v>
      </c>
      <c r="K1384" s="538"/>
      <c r="L1384" s="609">
        <f>SUM(I1384:K1384)</f>
        <v>16510</v>
      </c>
      <c r="M1384" s="591"/>
    </row>
    <row r="1385" spans="1:13" s="753" customFormat="1" ht="15">
      <c r="A1385" s="1461">
        <v>1378</v>
      </c>
      <c r="B1385" s="812"/>
      <c r="C1385" s="1464"/>
      <c r="D1385" s="541" t="s">
        <v>405</v>
      </c>
      <c r="E1385" s="782"/>
      <c r="F1385" s="567"/>
      <c r="G1385" s="567"/>
      <c r="H1385" s="919"/>
      <c r="I1385" s="610"/>
      <c r="J1385" s="555"/>
      <c r="K1385" s="555"/>
      <c r="L1385" s="611">
        <f>SUM(I1385:K1385)</f>
        <v>0</v>
      </c>
      <c r="M1385" s="594"/>
    </row>
    <row r="1386" spans="1:13" s="754" customFormat="1" ht="15">
      <c r="A1386" s="1461">
        <v>1379</v>
      </c>
      <c r="B1386" s="577"/>
      <c r="C1386" s="1465"/>
      <c r="D1386" s="542" t="s">
        <v>1067</v>
      </c>
      <c r="E1386" s="576"/>
      <c r="F1386" s="568"/>
      <c r="G1386" s="568"/>
      <c r="H1386" s="911"/>
      <c r="I1386" s="615">
        <f>SUM(I1384:I1385)</f>
        <v>0</v>
      </c>
      <c r="J1386" s="568">
        <f>SUM(J1384:J1385)</f>
        <v>16510</v>
      </c>
      <c r="K1386" s="568">
        <f>SUM(K1384:K1385)</f>
        <v>0</v>
      </c>
      <c r="L1386" s="608">
        <f>SUM(I1386:K1386)</f>
        <v>16510</v>
      </c>
      <c r="M1386" s="593">
        <f>SUM(M1383:M1385)</f>
        <v>0</v>
      </c>
    </row>
    <row r="1387" spans="1:13" s="752" customFormat="1" ht="15">
      <c r="A1387" s="1461">
        <v>1380</v>
      </c>
      <c r="B1387" s="535"/>
      <c r="C1387" s="545">
        <v>2</v>
      </c>
      <c r="D1387" s="557" t="s">
        <v>937</v>
      </c>
      <c r="E1387" s="782" t="s">
        <v>799</v>
      </c>
      <c r="F1387" s="553">
        <f>SUM(H1387,L1390)</f>
        <v>192</v>
      </c>
      <c r="G1387" s="557">
        <v>0</v>
      </c>
      <c r="H1387" s="913">
        <v>0</v>
      </c>
      <c r="I1387" s="607"/>
      <c r="J1387" s="538"/>
      <c r="K1387" s="538"/>
      <c r="L1387" s="609"/>
      <c r="M1387" s="586"/>
    </row>
    <row r="1388" spans="1:13" s="752" customFormat="1" ht="15">
      <c r="A1388" s="1461">
        <v>1381</v>
      </c>
      <c r="B1388" s="535"/>
      <c r="C1388" s="545"/>
      <c r="D1388" s="557" t="s">
        <v>957</v>
      </c>
      <c r="E1388" s="782"/>
      <c r="F1388" s="553"/>
      <c r="G1388" s="557"/>
      <c r="H1388" s="913"/>
      <c r="I1388" s="607"/>
      <c r="J1388" s="538">
        <v>174</v>
      </c>
      <c r="K1388" s="538"/>
      <c r="L1388" s="609">
        <f>SUM(I1388:K1388)</f>
        <v>174</v>
      </c>
      <c r="M1388" s="586"/>
    </row>
    <row r="1389" spans="1:13" s="753" customFormat="1" ht="15">
      <c r="A1389" s="1461">
        <v>1382</v>
      </c>
      <c r="B1389" s="812"/>
      <c r="C1389" s="1464"/>
      <c r="D1389" s="541" t="s">
        <v>1080</v>
      </c>
      <c r="E1389" s="782"/>
      <c r="F1389" s="567"/>
      <c r="G1389" s="567"/>
      <c r="H1389" s="919"/>
      <c r="I1389" s="610"/>
      <c r="J1389" s="555">
        <v>18</v>
      </c>
      <c r="K1389" s="555"/>
      <c r="L1389" s="611">
        <f>SUM(I1389:K1389)</f>
        <v>18</v>
      </c>
      <c r="M1389" s="594"/>
    </row>
    <row r="1390" spans="1:13" s="754" customFormat="1" ht="15">
      <c r="A1390" s="1461">
        <v>1383</v>
      </c>
      <c r="B1390" s="577"/>
      <c r="C1390" s="1465"/>
      <c r="D1390" s="542" t="s">
        <v>1067</v>
      </c>
      <c r="E1390" s="576"/>
      <c r="F1390" s="568"/>
      <c r="G1390" s="568"/>
      <c r="H1390" s="911"/>
      <c r="I1390" s="615">
        <f>SUM(I1388:I1389)</f>
        <v>0</v>
      </c>
      <c r="J1390" s="568">
        <f>SUM(J1388:J1389)</f>
        <v>192</v>
      </c>
      <c r="K1390" s="568">
        <f>SUM(K1388:K1389)</f>
        <v>0</v>
      </c>
      <c r="L1390" s="608">
        <f>SUM(I1390:K1390)</f>
        <v>192</v>
      </c>
      <c r="M1390" s="593">
        <v>0</v>
      </c>
    </row>
    <row r="1391" spans="1:13" s="752" customFormat="1" ht="15">
      <c r="A1391" s="1461">
        <v>1384</v>
      </c>
      <c r="B1391" s="535"/>
      <c r="C1391" s="545">
        <v>3</v>
      </c>
      <c r="D1391" s="557" t="s">
        <v>975</v>
      </c>
      <c r="E1391" s="782" t="s">
        <v>799</v>
      </c>
      <c r="F1391" s="553">
        <f>SUM(H1391,L1394)</f>
        <v>308</v>
      </c>
      <c r="G1391" s="557">
        <v>0</v>
      </c>
      <c r="H1391" s="913">
        <v>0</v>
      </c>
      <c r="I1391" s="607"/>
      <c r="J1391" s="538"/>
      <c r="K1391" s="538"/>
      <c r="L1391" s="609"/>
      <c r="M1391" s="586"/>
    </row>
    <row r="1392" spans="1:13" s="752" customFormat="1" ht="15">
      <c r="A1392" s="1461">
        <v>1385</v>
      </c>
      <c r="B1392" s="535"/>
      <c r="C1392" s="545"/>
      <c r="D1392" s="557" t="s">
        <v>957</v>
      </c>
      <c r="E1392" s="782"/>
      <c r="F1392" s="553"/>
      <c r="G1392" s="557"/>
      <c r="H1392" s="913"/>
      <c r="I1392" s="607"/>
      <c r="J1392" s="538">
        <v>260</v>
      </c>
      <c r="K1392" s="538"/>
      <c r="L1392" s="609">
        <f aca="true" t="shared" si="18" ref="L1392:L1406">SUM(I1392:K1392)</f>
        <v>260</v>
      </c>
      <c r="M1392" s="586"/>
    </row>
    <row r="1393" spans="1:13" s="753" customFormat="1" ht="15">
      <c r="A1393" s="1461">
        <v>1386</v>
      </c>
      <c r="B1393" s="812"/>
      <c r="C1393" s="1464"/>
      <c r="D1393" s="541" t="s">
        <v>1046</v>
      </c>
      <c r="E1393" s="782"/>
      <c r="F1393" s="567"/>
      <c r="G1393" s="567"/>
      <c r="H1393" s="919"/>
      <c r="I1393" s="610"/>
      <c r="J1393" s="555">
        <v>48</v>
      </c>
      <c r="K1393" s="555"/>
      <c r="L1393" s="611">
        <f t="shared" si="18"/>
        <v>48</v>
      </c>
      <c r="M1393" s="594"/>
    </row>
    <row r="1394" spans="1:13" s="754" customFormat="1" ht="15">
      <c r="A1394" s="1461">
        <v>1387</v>
      </c>
      <c r="B1394" s="577"/>
      <c r="C1394" s="1465"/>
      <c r="D1394" s="542" t="s">
        <v>1067</v>
      </c>
      <c r="E1394" s="576"/>
      <c r="F1394" s="568"/>
      <c r="G1394" s="568"/>
      <c r="H1394" s="911"/>
      <c r="I1394" s="615">
        <f>SUM(I1392:I1393)</f>
        <v>0</v>
      </c>
      <c r="J1394" s="568">
        <f>SUM(J1392:J1393)</f>
        <v>308</v>
      </c>
      <c r="K1394" s="568">
        <f>SUM(K1392:K1393)</f>
        <v>0</v>
      </c>
      <c r="L1394" s="608">
        <f t="shared" si="18"/>
        <v>308</v>
      </c>
      <c r="M1394" s="593">
        <v>0</v>
      </c>
    </row>
    <row r="1395" spans="1:13" s="752" customFormat="1" ht="15">
      <c r="A1395" s="1461">
        <v>1388</v>
      </c>
      <c r="B1395" s="535"/>
      <c r="C1395" s="545">
        <v>4</v>
      </c>
      <c r="D1395" s="557" t="s">
        <v>976</v>
      </c>
      <c r="E1395" s="782" t="s">
        <v>799</v>
      </c>
      <c r="F1395" s="553">
        <f>SUM(H1395,L1398)</f>
        <v>2005</v>
      </c>
      <c r="G1395" s="557">
        <v>0</v>
      </c>
      <c r="H1395" s="913">
        <v>0</v>
      </c>
      <c r="I1395" s="607"/>
      <c r="J1395" s="538"/>
      <c r="K1395" s="538"/>
      <c r="L1395" s="609"/>
      <c r="M1395" s="586"/>
    </row>
    <row r="1396" spans="1:13" s="752" customFormat="1" ht="15">
      <c r="A1396" s="1461">
        <v>1389</v>
      </c>
      <c r="B1396" s="535"/>
      <c r="C1396" s="545"/>
      <c r="D1396" s="557" t="s">
        <v>957</v>
      </c>
      <c r="E1396" s="782"/>
      <c r="F1396" s="553"/>
      <c r="G1396" s="557"/>
      <c r="H1396" s="913"/>
      <c r="I1396" s="607"/>
      <c r="J1396" s="538">
        <v>2005</v>
      </c>
      <c r="K1396" s="538"/>
      <c r="L1396" s="609">
        <f t="shared" si="18"/>
        <v>2005</v>
      </c>
      <c r="M1396" s="586"/>
    </row>
    <row r="1397" spans="1:13" s="753" customFormat="1" ht="15">
      <c r="A1397" s="1461">
        <v>1390</v>
      </c>
      <c r="B1397" s="812"/>
      <c r="C1397" s="1464"/>
      <c r="D1397" s="541" t="s">
        <v>405</v>
      </c>
      <c r="E1397" s="782"/>
      <c r="F1397" s="567"/>
      <c r="G1397" s="567"/>
      <c r="H1397" s="919"/>
      <c r="I1397" s="610"/>
      <c r="J1397" s="555"/>
      <c r="K1397" s="555"/>
      <c r="L1397" s="611">
        <f t="shared" si="18"/>
        <v>0</v>
      </c>
      <c r="M1397" s="594"/>
    </row>
    <row r="1398" spans="1:13" s="754" customFormat="1" ht="15">
      <c r="A1398" s="1461">
        <v>1391</v>
      </c>
      <c r="B1398" s="577"/>
      <c r="C1398" s="1465"/>
      <c r="D1398" s="542" t="s">
        <v>1067</v>
      </c>
      <c r="E1398" s="576"/>
      <c r="F1398" s="568"/>
      <c r="G1398" s="568"/>
      <c r="H1398" s="911"/>
      <c r="I1398" s="615">
        <f>SUM(I1396:I1397)</f>
        <v>0</v>
      </c>
      <c r="J1398" s="568">
        <f>SUM(J1396:J1397)</f>
        <v>2005</v>
      </c>
      <c r="K1398" s="568">
        <f>SUM(K1396:K1397)</f>
        <v>0</v>
      </c>
      <c r="L1398" s="608">
        <f t="shared" si="18"/>
        <v>2005</v>
      </c>
      <c r="M1398" s="593">
        <v>0</v>
      </c>
    </row>
    <row r="1399" spans="1:13" s="752" customFormat="1" ht="15">
      <c r="A1399" s="1461">
        <v>1392</v>
      </c>
      <c r="B1399" s="535"/>
      <c r="C1399" s="545">
        <v>5</v>
      </c>
      <c r="D1399" s="557" t="s">
        <v>977</v>
      </c>
      <c r="E1399" s="782" t="s">
        <v>799</v>
      </c>
      <c r="F1399" s="553">
        <f>SUM(H1399,L1402)</f>
        <v>3300</v>
      </c>
      <c r="G1399" s="557">
        <v>0</v>
      </c>
      <c r="H1399" s="913">
        <v>0</v>
      </c>
      <c r="I1399" s="607"/>
      <c r="J1399" s="538"/>
      <c r="K1399" s="538"/>
      <c r="L1399" s="609"/>
      <c r="M1399" s="586"/>
    </row>
    <row r="1400" spans="1:13" s="752" customFormat="1" ht="15">
      <c r="A1400" s="1461">
        <v>1393</v>
      </c>
      <c r="B1400" s="535"/>
      <c r="C1400" s="545"/>
      <c r="D1400" s="557" t="s">
        <v>957</v>
      </c>
      <c r="E1400" s="782"/>
      <c r="F1400" s="553"/>
      <c r="G1400" s="557"/>
      <c r="H1400" s="913"/>
      <c r="I1400" s="607"/>
      <c r="J1400" s="538">
        <v>3300</v>
      </c>
      <c r="K1400" s="538"/>
      <c r="L1400" s="609">
        <f t="shared" si="18"/>
        <v>3300</v>
      </c>
      <c r="M1400" s="586"/>
    </row>
    <row r="1401" spans="1:13" s="753" customFormat="1" ht="15">
      <c r="A1401" s="1461">
        <v>1394</v>
      </c>
      <c r="B1401" s="812"/>
      <c r="C1401" s="1464"/>
      <c r="D1401" s="541" t="s">
        <v>405</v>
      </c>
      <c r="E1401" s="782"/>
      <c r="F1401" s="567"/>
      <c r="G1401" s="567"/>
      <c r="H1401" s="919"/>
      <c r="I1401" s="610"/>
      <c r="J1401" s="555"/>
      <c r="K1401" s="555"/>
      <c r="L1401" s="611">
        <f t="shared" si="18"/>
        <v>0</v>
      </c>
      <c r="M1401" s="594"/>
    </row>
    <row r="1402" spans="1:13" s="754" customFormat="1" ht="15">
      <c r="A1402" s="1461">
        <v>1395</v>
      </c>
      <c r="B1402" s="577"/>
      <c r="C1402" s="1465"/>
      <c r="D1402" s="542" t="s">
        <v>1067</v>
      </c>
      <c r="E1402" s="576"/>
      <c r="F1402" s="568"/>
      <c r="G1402" s="568"/>
      <c r="H1402" s="911"/>
      <c r="I1402" s="615">
        <f>SUM(I1400:I1401)</f>
        <v>0</v>
      </c>
      <c r="J1402" s="568">
        <f>SUM(J1400:J1401)</f>
        <v>3300</v>
      </c>
      <c r="K1402" s="568">
        <f>SUM(K1400:K1401)</f>
        <v>0</v>
      </c>
      <c r="L1402" s="608">
        <f t="shared" si="18"/>
        <v>3300</v>
      </c>
      <c r="M1402" s="593">
        <v>0</v>
      </c>
    </row>
    <row r="1403" spans="1:13" s="752" customFormat="1" ht="30">
      <c r="A1403" s="1461">
        <v>1396</v>
      </c>
      <c r="B1403" s="566"/>
      <c r="C1403" s="1463">
        <v>6</v>
      </c>
      <c r="D1403" s="557" t="s">
        <v>1039</v>
      </c>
      <c r="E1403" s="782" t="s">
        <v>799</v>
      </c>
      <c r="F1403" s="553">
        <f>SUM(H1403,L1406)</f>
        <v>316</v>
      </c>
      <c r="G1403" s="557">
        <v>0</v>
      </c>
      <c r="H1403" s="913">
        <v>0</v>
      </c>
      <c r="I1403" s="607"/>
      <c r="J1403" s="538"/>
      <c r="K1403" s="538"/>
      <c r="L1403" s="609"/>
      <c r="M1403" s="586"/>
    </row>
    <row r="1404" spans="1:13" s="752" customFormat="1" ht="15">
      <c r="A1404" s="1461">
        <v>1397</v>
      </c>
      <c r="B1404" s="535"/>
      <c r="C1404" s="545"/>
      <c r="D1404" s="557" t="s">
        <v>957</v>
      </c>
      <c r="E1404" s="782"/>
      <c r="F1404" s="553"/>
      <c r="G1404" s="557"/>
      <c r="H1404" s="913"/>
      <c r="I1404" s="607"/>
      <c r="J1404" s="538">
        <v>316</v>
      </c>
      <c r="K1404" s="538"/>
      <c r="L1404" s="609">
        <f t="shared" si="18"/>
        <v>316</v>
      </c>
      <c r="M1404" s="586"/>
    </row>
    <row r="1405" spans="1:13" s="753" customFormat="1" ht="15">
      <c r="A1405" s="1461">
        <v>1398</v>
      </c>
      <c r="B1405" s="812"/>
      <c r="C1405" s="1464"/>
      <c r="D1405" s="541" t="s">
        <v>405</v>
      </c>
      <c r="E1405" s="782"/>
      <c r="F1405" s="567"/>
      <c r="G1405" s="567"/>
      <c r="H1405" s="919"/>
      <c r="I1405" s="610"/>
      <c r="J1405" s="555"/>
      <c r="K1405" s="555"/>
      <c r="L1405" s="611">
        <f t="shared" si="18"/>
        <v>0</v>
      </c>
      <c r="M1405" s="594"/>
    </row>
    <row r="1406" spans="1:13" s="754" customFormat="1" ht="15">
      <c r="A1406" s="1461">
        <v>1399</v>
      </c>
      <c r="B1406" s="577"/>
      <c r="C1406" s="1465"/>
      <c r="D1406" s="542" t="s">
        <v>1067</v>
      </c>
      <c r="E1406" s="576"/>
      <c r="F1406" s="568"/>
      <c r="G1406" s="568"/>
      <c r="H1406" s="911"/>
      <c r="I1406" s="615">
        <f>SUM(I1404:I1405)</f>
        <v>0</v>
      </c>
      <c r="J1406" s="568">
        <f>SUM(J1404:J1405)</f>
        <v>316</v>
      </c>
      <c r="K1406" s="568">
        <f>SUM(K1404:K1405)</f>
        <v>0</v>
      </c>
      <c r="L1406" s="608">
        <f t="shared" si="18"/>
        <v>316</v>
      </c>
      <c r="M1406" s="593">
        <v>0</v>
      </c>
    </row>
    <row r="1407" spans="1:13" s="752" customFormat="1" ht="15">
      <c r="A1407" s="1461">
        <v>1400</v>
      </c>
      <c r="B1407" s="535"/>
      <c r="C1407" s="545">
        <v>7</v>
      </c>
      <c r="D1407" s="557" t="s">
        <v>1163</v>
      </c>
      <c r="E1407" s="782" t="s">
        <v>799</v>
      </c>
      <c r="F1407" s="553">
        <v>1200</v>
      </c>
      <c r="G1407" s="557">
        <v>0</v>
      </c>
      <c r="H1407" s="913">
        <v>0</v>
      </c>
      <c r="I1407" s="607"/>
      <c r="J1407" s="538"/>
      <c r="K1407" s="538"/>
      <c r="L1407" s="609"/>
      <c r="M1407" s="586"/>
    </row>
    <row r="1408" spans="1:13" s="753" customFormat="1" ht="15">
      <c r="A1408" s="1461">
        <v>1401</v>
      </c>
      <c r="B1408" s="812"/>
      <c r="C1408" s="1464"/>
      <c r="D1408" s="541" t="s">
        <v>234</v>
      </c>
      <c r="E1408" s="782"/>
      <c r="F1408" s="567"/>
      <c r="G1408" s="567"/>
      <c r="H1408" s="919"/>
      <c r="I1408" s="610"/>
      <c r="J1408" s="555">
        <v>1200</v>
      </c>
      <c r="K1408" s="555"/>
      <c r="L1408" s="611">
        <f>SUM(I1408:K1408)</f>
        <v>1200</v>
      </c>
      <c r="M1408" s="594"/>
    </row>
    <row r="1409" spans="1:13" s="754" customFormat="1" ht="15">
      <c r="A1409" s="1461">
        <v>1402</v>
      </c>
      <c r="B1409" s="577"/>
      <c r="C1409" s="1465"/>
      <c r="D1409" s="542" t="s">
        <v>1067</v>
      </c>
      <c r="E1409" s="576"/>
      <c r="F1409" s="568"/>
      <c r="G1409" s="568"/>
      <c r="H1409" s="911"/>
      <c r="I1409" s="615">
        <f>SUM(I1408)</f>
        <v>0</v>
      </c>
      <c r="J1409" s="568">
        <f>SUM(J1408)</f>
        <v>1200</v>
      </c>
      <c r="K1409" s="568">
        <f>SUM(K1408)</f>
        <v>0</v>
      </c>
      <c r="L1409" s="608">
        <f>SUM(L1408)</f>
        <v>1200</v>
      </c>
      <c r="M1409" s="593">
        <v>0</v>
      </c>
    </row>
    <row r="1410" spans="1:13" s="752" customFormat="1" ht="15">
      <c r="A1410" s="1461">
        <v>1403</v>
      </c>
      <c r="B1410" s="535">
        <v>13</v>
      </c>
      <c r="C1410" s="545"/>
      <c r="D1410" s="536" t="s">
        <v>853</v>
      </c>
      <c r="E1410" s="788"/>
      <c r="F1410" s="1298"/>
      <c r="G1410" s="1298"/>
      <c r="H1410" s="1299"/>
      <c r="I1410" s="607"/>
      <c r="J1410" s="538"/>
      <c r="K1410" s="538"/>
      <c r="L1410" s="609"/>
      <c r="M1410" s="589"/>
    </row>
    <row r="1411" spans="1:13" s="758" customFormat="1" ht="45">
      <c r="A1411" s="1461">
        <v>1404</v>
      </c>
      <c r="B1411" s="566"/>
      <c r="C1411" s="1463">
        <v>1</v>
      </c>
      <c r="D1411" s="557" t="s">
        <v>338</v>
      </c>
      <c r="E1411" s="782" t="s">
        <v>799</v>
      </c>
      <c r="F1411" s="553">
        <f>SUM(H1411,L1415)</f>
        <v>4200</v>
      </c>
      <c r="G1411" s="557">
        <v>0</v>
      </c>
      <c r="H1411" s="913">
        <v>0</v>
      </c>
      <c r="I1411" s="623"/>
      <c r="J1411" s="548"/>
      <c r="K1411" s="548"/>
      <c r="L1411" s="609"/>
      <c r="M1411" s="601"/>
    </row>
    <row r="1412" spans="1:13" ht="15">
      <c r="A1412" s="1461">
        <v>1405</v>
      </c>
      <c r="B1412" s="811"/>
      <c r="C1412" s="545"/>
      <c r="D1412" s="539" t="s">
        <v>403</v>
      </c>
      <c r="E1412" s="782"/>
      <c r="F1412" s="567"/>
      <c r="G1412" s="562"/>
      <c r="H1412" s="918"/>
      <c r="I1412" s="607"/>
      <c r="J1412" s="538">
        <v>4200</v>
      </c>
      <c r="K1412" s="538"/>
      <c r="L1412" s="609">
        <f>SUM(I1412:K1412)</f>
        <v>4200</v>
      </c>
      <c r="M1412" s="591"/>
    </row>
    <row r="1413" spans="1:13" ht="15">
      <c r="A1413" s="1461">
        <v>1406</v>
      </c>
      <c r="B1413" s="811"/>
      <c r="C1413" s="545"/>
      <c r="D1413" s="539" t="s">
        <v>957</v>
      </c>
      <c r="E1413" s="782"/>
      <c r="F1413" s="567"/>
      <c r="G1413" s="562"/>
      <c r="H1413" s="918"/>
      <c r="I1413" s="607"/>
      <c r="J1413" s="538">
        <v>4200</v>
      </c>
      <c r="K1413" s="538"/>
      <c r="L1413" s="609">
        <f>SUM(I1413:K1413)</f>
        <v>4200</v>
      </c>
      <c r="M1413" s="591"/>
    </row>
    <row r="1414" spans="1:13" s="753" customFormat="1" ht="15">
      <c r="A1414" s="1461">
        <v>1407</v>
      </c>
      <c r="B1414" s="812"/>
      <c r="C1414" s="1464"/>
      <c r="D1414" s="541" t="s">
        <v>405</v>
      </c>
      <c r="E1414" s="576"/>
      <c r="F1414" s="568"/>
      <c r="G1414" s="567"/>
      <c r="H1414" s="919"/>
      <c r="I1414" s="610"/>
      <c r="J1414" s="555"/>
      <c r="K1414" s="555"/>
      <c r="L1414" s="611">
        <f>SUM(I1414:K1414)</f>
        <v>0</v>
      </c>
      <c r="M1414" s="594"/>
    </row>
    <row r="1415" spans="1:13" s="754" customFormat="1" ht="15">
      <c r="A1415" s="1461">
        <v>1408</v>
      </c>
      <c r="B1415" s="577"/>
      <c r="C1415" s="1465"/>
      <c r="D1415" s="542" t="s">
        <v>1067</v>
      </c>
      <c r="E1415" s="779"/>
      <c r="F1415" s="557"/>
      <c r="G1415" s="568"/>
      <c r="H1415" s="911"/>
      <c r="I1415" s="615">
        <f>SUM(I1413:I1414)</f>
        <v>0</v>
      </c>
      <c r="J1415" s="568">
        <f>SUM(J1413:J1414)</f>
        <v>4200</v>
      </c>
      <c r="K1415" s="568">
        <f>SUM(K1413:K1414)</f>
        <v>0</v>
      </c>
      <c r="L1415" s="608">
        <f>SUM(I1415:K1415)</f>
        <v>4200</v>
      </c>
      <c r="M1415" s="593">
        <f>SUM(M1412:M1414)</f>
        <v>0</v>
      </c>
    </row>
    <row r="1416" spans="1:13" s="752" customFormat="1" ht="15">
      <c r="A1416" s="1461">
        <v>1409</v>
      </c>
      <c r="B1416" s="535"/>
      <c r="C1416" s="545">
        <v>2</v>
      </c>
      <c r="D1416" s="557" t="s">
        <v>529</v>
      </c>
      <c r="E1416" s="782" t="s">
        <v>799</v>
      </c>
      <c r="F1416" s="553">
        <f>SUM(H1416,L1420)</f>
        <v>300</v>
      </c>
      <c r="G1416" s="557">
        <v>0</v>
      </c>
      <c r="H1416" s="913">
        <v>0</v>
      </c>
      <c r="I1416" s="607"/>
      <c r="J1416" s="538"/>
      <c r="K1416" s="538"/>
      <c r="L1416" s="609"/>
      <c r="M1416" s="586"/>
    </row>
    <row r="1417" spans="1:13" ht="15">
      <c r="A1417" s="1461">
        <v>1410</v>
      </c>
      <c r="B1417" s="811"/>
      <c r="C1417" s="545"/>
      <c r="D1417" s="539" t="s">
        <v>403</v>
      </c>
      <c r="E1417" s="782"/>
      <c r="F1417" s="567"/>
      <c r="G1417" s="562"/>
      <c r="H1417" s="918"/>
      <c r="I1417" s="607"/>
      <c r="J1417" s="538">
        <v>300</v>
      </c>
      <c r="K1417" s="538"/>
      <c r="L1417" s="609">
        <f>SUM(I1417:K1417)</f>
        <v>300</v>
      </c>
      <c r="M1417" s="591"/>
    </row>
    <row r="1418" spans="1:13" ht="15">
      <c r="A1418" s="1461">
        <v>1411</v>
      </c>
      <c r="B1418" s="811"/>
      <c r="C1418" s="545"/>
      <c r="D1418" s="539" t="s">
        <v>957</v>
      </c>
      <c r="E1418" s="782"/>
      <c r="F1418" s="567"/>
      <c r="G1418" s="562"/>
      <c r="H1418" s="918"/>
      <c r="I1418" s="607"/>
      <c r="J1418" s="538">
        <v>300</v>
      </c>
      <c r="K1418" s="538"/>
      <c r="L1418" s="609">
        <f>SUM(I1418:K1418)</f>
        <v>300</v>
      </c>
      <c r="M1418" s="591"/>
    </row>
    <row r="1419" spans="1:13" s="753" customFormat="1" ht="15">
      <c r="A1419" s="1461">
        <v>1412</v>
      </c>
      <c r="B1419" s="812"/>
      <c r="C1419" s="1464"/>
      <c r="D1419" s="541" t="s">
        <v>405</v>
      </c>
      <c r="E1419" s="576"/>
      <c r="F1419" s="568"/>
      <c r="G1419" s="567"/>
      <c r="H1419" s="919"/>
      <c r="I1419" s="610"/>
      <c r="J1419" s="555"/>
      <c r="K1419" s="555"/>
      <c r="L1419" s="611">
        <f>SUM(I1419:K1419)</f>
        <v>0</v>
      </c>
      <c r="M1419" s="594"/>
    </row>
    <row r="1420" spans="1:13" s="754" customFormat="1" ht="15">
      <c r="A1420" s="1461">
        <v>1413</v>
      </c>
      <c r="B1420" s="577"/>
      <c r="C1420" s="1465"/>
      <c r="D1420" s="542" t="s">
        <v>1067</v>
      </c>
      <c r="E1420" s="782"/>
      <c r="F1420" s="543"/>
      <c r="G1420" s="568"/>
      <c r="H1420" s="911"/>
      <c r="I1420" s="615">
        <f>SUM(I1418:I1419)</f>
        <v>0</v>
      </c>
      <c r="J1420" s="568">
        <f>SUM(J1418:J1419)</f>
        <v>300</v>
      </c>
      <c r="K1420" s="568">
        <f>SUM(K1418:K1419)</f>
        <v>0</v>
      </c>
      <c r="L1420" s="608">
        <f>SUM(I1420:K1420)</f>
        <v>300</v>
      </c>
      <c r="M1420" s="593">
        <f>SUM(M1417:M1419)</f>
        <v>0</v>
      </c>
    </row>
    <row r="1421" spans="1:13" s="752" customFormat="1" ht="15">
      <c r="A1421" s="1461">
        <v>1414</v>
      </c>
      <c r="B1421" s="535"/>
      <c r="C1421" s="545">
        <v>3</v>
      </c>
      <c r="D1421" s="557" t="s">
        <v>528</v>
      </c>
      <c r="E1421" s="782" t="s">
        <v>799</v>
      </c>
      <c r="F1421" s="553">
        <f>SUM(H1421,L1425)</f>
        <v>170</v>
      </c>
      <c r="G1421" s="564">
        <v>0</v>
      </c>
      <c r="H1421" s="912">
        <v>0</v>
      </c>
      <c r="I1421" s="607"/>
      <c r="J1421" s="538"/>
      <c r="K1421" s="538"/>
      <c r="L1421" s="609"/>
      <c r="M1421" s="589"/>
    </row>
    <row r="1422" spans="1:13" ht="15">
      <c r="A1422" s="1461">
        <v>1415</v>
      </c>
      <c r="B1422" s="811"/>
      <c r="C1422" s="545"/>
      <c r="D1422" s="539" t="s">
        <v>403</v>
      </c>
      <c r="E1422" s="788"/>
      <c r="F1422" s="796"/>
      <c r="G1422" s="562"/>
      <c r="H1422" s="918"/>
      <c r="I1422" s="607"/>
      <c r="J1422" s="538">
        <v>170</v>
      </c>
      <c r="K1422" s="538"/>
      <c r="L1422" s="609">
        <f>SUM(I1422:K1422)</f>
        <v>170</v>
      </c>
      <c r="M1422" s="591"/>
    </row>
    <row r="1423" spans="1:13" ht="15">
      <c r="A1423" s="1461">
        <v>1416</v>
      </c>
      <c r="B1423" s="811"/>
      <c r="C1423" s="545"/>
      <c r="D1423" s="539" t="s">
        <v>957</v>
      </c>
      <c r="E1423" s="788"/>
      <c r="F1423" s="796"/>
      <c r="G1423" s="562"/>
      <c r="H1423" s="918"/>
      <c r="I1423" s="607"/>
      <c r="J1423" s="538">
        <v>170</v>
      </c>
      <c r="K1423" s="538"/>
      <c r="L1423" s="609">
        <f>SUM(I1423:K1423)</f>
        <v>170</v>
      </c>
      <c r="M1423" s="591"/>
    </row>
    <row r="1424" spans="1:13" s="753" customFormat="1" ht="15">
      <c r="A1424" s="1461">
        <v>1417</v>
      </c>
      <c r="B1424" s="812"/>
      <c r="C1424" s="1464"/>
      <c r="D1424" s="541" t="s">
        <v>405</v>
      </c>
      <c r="E1424" s="782"/>
      <c r="F1424" s="567"/>
      <c r="G1424" s="567"/>
      <c r="H1424" s="919"/>
      <c r="I1424" s="610"/>
      <c r="J1424" s="555"/>
      <c r="K1424" s="555"/>
      <c r="L1424" s="611">
        <f>SUM(I1424:K1424)</f>
        <v>0</v>
      </c>
      <c r="M1424" s="594"/>
    </row>
    <row r="1425" spans="1:13" s="754" customFormat="1" ht="15">
      <c r="A1425" s="1461">
        <v>1418</v>
      </c>
      <c r="B1425" s="577"/>
      <c r="C1425" s="1465"/>
      <c r="D1425" s="542" t="s">
        <v>1067</v>
      </c>
      <c r="E1425" s="576"/>
      <c r="F1425" s="568"/>
      <c r="G1425" s="568"/>
      <c r="H1425" s="911"/>
      <c r="I1425" s="615">
        <f>SUM(I1423:I1424)</f>
        <v>0</v>
      </c>
      <c r="J1425" s="568">
        <f>SUM(J1423:J1424)</f>
        <v>170</v>
      </c>
      <c r="K1425" s="568">
        <f>SUM(K1423:K1424)</f>
        <v>0</v>
      </c>
      <c r="L1425" s="608">
        <f>SUM(I1425:K1425)</f>
        <v>170</v>
      </c>
      <c r="M1425" s="593">
        <f>SUM(M1422:M1424)</f>
        <v>0</v>
      </c>
    </row>
    <row r="1426" spans="1:13" ht="30">
      <c r="A1426" s="1461">
        <v>1419</v>
      </c>
      <c r="B1426" s="566"/>
      <c r="C1426" s="1463">
        <v>4</v>
      </c>
      <c r="D1426" s="539" t="s">
        <v>439</v>
      </c>
      <c r="E1426" s="782" t="s">
        <v>799</v>
      </c>
      <c r="F1426" s="553">
        <f>SUM(H1426,L1429)</f>
        <v>762</v>
      </c>
      <c r="G1426" s="562">
        <v>0</v>
      </c>
      <c r="H1426" s="914">
        <v>0</v>
      </c>
      <c r="I1426" s="607"/>
      <c r="J1426" s="538"/>
      <c r="K1426" s="538"/>
      <c r="L1426" s="608"/>
      <c r="M1426" s="591"/>
    </row>
    <row r="1427" spans="1:13" s="752" customFormat="1" ht="15">
      <c r="A1427" s="1461">
        <v>1420</v>
      </c>
      <c r="B1427" s="811"/>
      <c r="C1427" s="545"/>
      <c r="D1427" s="539" t="s">
        <v>957</v>
      </c>
      <c r="E1427" s="782"/>
      <c r="F1427" s="562"/>
      <c r="G1427" s="557"/>
      <c r="H1427" s="791"/>
      <c r="I1427" s="607"/>
      <c r="J1427" s="538">
        <v>762</v>
      </c>
      <c r="K1427" s="538"/>
      <c r="L1427" s="609">
        <f aca="true" t="shared" si="19" ref="L1427:L1441">SUM(I1427:K1427)</f>
        <v>762</v>
      </c>
      <c r="M1427" s="586"/>
    </row>
    <row r="1428" spans="1:13" s="753" customFormat="1" ht="15">
      <c r="A1428" s="1461">
        <v>1421</v>
      </c>
      <c r="B1428" s="812"/>
      <c r="C1428" s="1464"/>
      <c r="D1428" s="541" t="s">
        <v>234</v>
      </c>
      <c r="E1428" s="805"/>
      <c r="F1428" s="806"/>
      <c r="G1428" s="567"/>
      <c r="H1428" s="745"/>
      <c r="I1428" s="610"/>
      <c r="J1428" s="555"/>
      <c r="K1428" s="555"/>
      <c r="L1428" s="611">
        <f t="shared" si="19"/>
        <v>0</v>
      </c>
      <c r="M1428" s="594"/>
    </row>
    <row r="1429" spans="1:13" s="754" customFormat="1" ht="15">
      <c r="A1429" s="1461">
        <v>1422</v>
      </c>
      <c r="B1429" s="577"/>
      <c r="C1429" s="1465"/>
      <c r="D1429" s="542" t="s">
        <v>1067</v>
      </c>
      <c r="E1429" s="576"/>
      <c r="F1429" s="568"/>
      <c r="G1429" s="568"/>
      <c r="H1429" s="746"/>
      <c r="I1429" s="615">
        <f>SUM(I1427:I1428)</f>
        <v>0</v>
      </c>
      <c r="J1429" s="568">
        <f>SUM(J1427:J1428)</f>
        <v>762</v>
      </c>
      <c r="K1429" s="568">
        <f>SUM(K1427:K1428)</f>
        <v>0</v>
      </c>
      <c r="L1429" s="608">
        <f t="shared" si="19"/>
        <v>762</v>
      </c>
      <c r="M1429" s="593">
        <v>0</v>
      </c>
    </row>
    <row r="1430" spans="1:13" ht="15">
      <c r="A1430" s="1461">
        <v>1423</v>
      </c>
      <c r="B1430" s="811"/>
      <c r="C1430" s="545">
        <v>5</v>
      </c>
      <c r="D1430" s="539" t="s">
        <v>440</v>
      </c>
      <c r="E1430" s="782" t="s">
        <v>799</v>
      </c>
      <c r="F1430" s="553">
        <f>SUM(H1430,L1433)</f>
        <v>715</v>
      </c>
      <c r="G1430" s="562">
        <v>0</v>
      </c>
      <c r="H1430" s="914">
        <v>0</v>
      </c>
      <c r="I1430" s="607"/>
      <c r="J1430" s="538"/>
      <c r="K1430" s="538"/>
      <c r="L1430" s="608"/>
      <c r="M1430" s="591"/>
    </row>
    <row r="1431" spans="1:13" s="752" customFormat="1" ht="15">
      <c r="A1431" s="1461">
        <v>1424</v>
      </c>
      <c r="B1431" s="811"/>
      <c r="C1431" s="545"/>
      <c r="D1431" s="539" t="s">
        <v>957</v>
      </c>
      <c r="E1431" s="782"/>
      <c r="F1431" s="562"/>
      <c r="G1431" s="557"/>
      <c r="H1431" s="791"/>
      <c r="I1431" s="607"/>
      <c r="J1431" s="538">
        <v>715</v>
      </c>
      <c r="K1431" s="538"/>
      <c r="L1431" s="609">
        <f t="shared" si="19"/>
        <v>715</v>
      </c>
      <c r="M1431" s="586"/>
    </row>
    <row r="1432" spans="1:13" s="753" customFormat="1" ht="15">
      <c r="A1432" s="1461">
        <v>1425</v>
      </c>
      <c r="B1432" s="812"/>
      <c r="C1432" s="1464"/>
      <c r="D1432" s="541" t="s">
        <v>234</v>
      </c>
      <c r="E1432" s="805"/>
      <c r="F1432" s="806"/>
      <c r="G1432" s="567"/>
      <c r="H1432" s="745"/>
      <c r="I1432" s="610"/>
      <c r="J1432" s="555"/>
      <c r="K1432" s="555"/>
      <c r="L1432" s="611">
        <f t="shared" si="19"/>
        <v>0</v>
      </c>
      <c r="M1432" s="594"/>
    </row>
    <row r="1433" spans="1:13" s="754" customFormat="1" ht="15">
      <c r="A1433" s="1461">
        <v>1426</v>
      </c>
      <c r="B1433" s="577"/>
      <c r="C1433" s="1465"/>
      <c r="D1433" s="542" t="s">
        <v>1067</v>
      </c>
      <c r="E1433" s="576"/>
      <c r="F1433" s="568"/>
      <c r="G1433" s="568"/>
      <c r="H1433" s="746"/>
      <c r="I1433" s="615">
        <f>SUM(I1431:I1432)</f>
        <v>0</v>
      </c>
      <c r="J1433" s="568">
        <f>SUM(J1431:J1432)</f>
        <v>715</v>
      </c>
      <c r="K1433" s="568">
        <f>SUM(K1431:K1432)</f>
        <v>0</v>
      </c>
      <c r="L1433" s="608">
        <f t="shared" si="19"/>
        <v>715</v>
      </c>
      <c r="M1433" s="593">
        <v>0</v>
      </c>
    </row>
    <row r="1434" spans="1:13" ht="15">
      <c r="A1434" s="1461">
        <v>1427</v>
      </c>
      <c r="B1434" s="811"/>
      <c r="C1434" s="545">
        <v>6</v>
      </c>
      <c r="D1434" s="539" t="s">
        <v>438</v>
      </c>
      <c r="E1434" s="782" t="s">
        <v>799</v>
      </c>
      <c r="F1434" s="553">
        <f>SUM(H1434,L1437)</f>
        <v>7500</v>
      </c>
      <c r="G1434" s="562">
        <v>0</v>
      </c>
      <c r="H1434" s="914">
        <v>0</v>
      </c>
      <c r="I1434" s="607"/>
      <c r="J1434" s="538"/>
      <c r="K1434" s="538"/>
      <c r="L1434" s="608"/>
      <c r="M1434" s="591"/>
    </row>
    <row r="1435" spans="1:13" s="752" customFormat="1" ht="15">
      <c r="A1435" s="1461">
        <v>1428</v>
      </c>
      <c r="B1435" s="811"/>
      <c r="C1435" s="545"/>
      <c r="D1435" s="539" t="s">
        <v>957</v>
      </c>
      <c r="E1435" s="782"/>
      <c r="F1435" s="562"/>
      <c r="G1435" s="557"/>
      <c r="H1435" s="791"/>
      <c r="I1435" s="607">
        <v>7500</v>
      </c>
      <c r="J1435" s="538"/>
      <c r="K1435" s="538"/>
      <c r="L1435" s="609">
        <f t="shared" si="19"/>
        <v>7500</v>
      </c>
      <c r="M1435" s="586"/>
    </row>
    <row r="1436" spans="1:13" s="753" customFormat="1" ht="15">
      <c r="A1436" s="1461">
        <v>1429</v>
      </c>
      <c r="B1436" s="812"/>
      <c r="C1436" s="1464"/>
      <c r="D1436" s="541" t="s">
        <v>234</v>
      </c>
      <c r="E1436" s="805"/>
      <c r="F1436" s="806"/>
      <c r="G1436" s="567"/>
      <c r="H1436" s="745"/>
      <c r="I1436" s="610"/>
      <c r="J1436" s="555"/>
      <c r="K1436" s="555"/>
      <c r="L1436" s="611">
        <f t="shared" si="19"/>
        <v>0</v>
      </c>
      <c r="M1436" s="594"/>
    </row>
    <row r="1437" spans="1:13" s="754" customFormat="1" ht="15">
      <c r="A1437" s="1461">
        <v>1430</v>
      </c>
      <c r="B1437" s="577"/>
      <c r="C1437" s="1465"/>
      <c r="D1437" s="542" t="s">
        <v>1067</v>
      </c>
      <c r="E1437" s="576"/>
      <c r="F1437" s="568"/>
      <c r="G1437" s="568"/>
      <c r="H1437" s="746"/>
      <c r="I1437" s="615">
        <f>SUM(I1435:I1436)</f>
        <v>7500</v>
      </c>
      <c r="J1437" s="568">
        <f>SUM(J1435:J1436)</f>
        <v>0</v>
      </c>
      <c r="K1437" s="568">
        <f>SUM(K1435:K1436)</f>
        <v>0</v>
      </c>
      <c r="L1437" s="608">
        <f t="shared" si="19"/>
        <v>7500</v>
      </c>
      <c r="M1437" s="593">
        <v>0</v>
      </c>
    </row>
    <row r="1438" spans="1:13" ht="15">
      <c r="A1438" s="1461">
        <v>1431</v>
      </c>
      <c r="B1438" s="811"/>
      <c r="C1438" s="545">
        <v>7</v>
      </c>
      <c r="D1438" s="539" t="s">
        <v>441</v>
      </c>
      <c r="E1438" s="782" t="s">
        <v>799</v>
      </c>
      <c r="F1438" s="553">
        <f>SUM(H1438,L1441)</f>
        <v>2500</v>
      </c>
      <c r="G1438" s="562">
        <v>0</v>
      </c>
      <c r="H1438" s="914">
        <v>0</v>
      </c>
      <c r="I1438" s="607"/>
      <c r="J1438" s="538"/>
      <c r="K1438" s="538"/>
      <c r="L1438" s="608"/>
      <c r="M1438" s="591"/>
    </row>
    <row r="1439" spans="1:13" s="752" customFormat="1" ht="15">
      <c r="A1439" s="1461">
        <v>1432</v>
      </c>
      <c r="B1439" s="811"/>
      <c r="C1439" s="545"/>
      <c r="D1439" s="539" t="s">
        <v>957</v>
      </c>
      <c r="E1439" s="782"/>
      <c r="F1439" s="562"/>
      <c r="G1439" s="557"/>
      <c r="H1439" s="791"/>
      <c r="I1439" s="607"/>
      <c r="J1439" s="538">
        <v>2500</v>
      </c>
      <c r="K1439" s="538"/>
      <c r="L1439" s="609">
        <f t="shared" si="19"/>
        <v>2500</v>
      </c>
      <c r="M1439" s="586"/>
    </row>
    <row r="1440" spans="1:13" s="753" customFormat="1" ht="15">
      <c r="A1440" s="1461">
        <v>1433</v>
      </c>
      <c r="B1440" s="812"/>
      <c r="C1440" s="1464"/>
      <c r="D1440" s="541" t="s">
        <v>234</v>
      </c>
      <c r="E1440" s="805"/>
      <c r="F1440" s="806"/>
      <c r="G1440" s="567"/>
      <c r="H1440" s="745"/>
      <c r="I1440" s="610"/>
      <c r="J1440" s="555"/>
      <c r="K1440" s="555"/>
      <c r="L1440" s="611">
        <f t="shared" si="19"/>
        <v>0</v>
      </c>
      <c r="M1440" s="594"/>
    </row>
    <row r="1441" spans="1:14" s="754" customFormat="1" ht="15">
      <c r="A1441" s="1461">
        <v>1434</v>
      </c>
      <c r="B1441" s="577"/>
      <c r="C1441" s="1465"/>
      <c r="D1441" s="542" t="s">
        <v>1067</v>
      </c>
      <c r="E1441" s="576"/>
      <c r="F1441" s="568"/>
      <c r="G1441" s="568"/>
      <c r="H1441" s="746"/>
      <c r="I1441" s="615">
        <f>SUM(I1439:I1440)</f>
        <v>0</v>
      </c>
      <c r="J1441" s="568">
        <f>SUM(J1439:J1440)</f>
        <v>2500</v>
      </c>
      <c r="K1441" s="568">
        <f>SUM(K1439:K1440)</f>
        <v>0</v>
      </c>
      <c r="L1441" s="608">
        <f t="shared" si="19"/>
        <v>2500</v>
      </c>
      <c r="M1441" s="593">
        <v>0</v>
      </c>
      <c r="N1441" s="754">
        <f>J1428+J1432+I1436+J1440</f>
        <v>0</v>
      </c>
    </row>
    <row r="1442" spans="1:13" ht="15">
      <c r="A1442" s="1461">
        <v>1435</v>
      </c>
      <c r="B1442" s="811"/>
      <c r="C1442" s="545">
        <v>8</v>
      </c>
      <c r="D1442" s="539" t="s">
        <v>1026</v>
      </c>
      <c r="E1442" s="782" t="s">
        <v>799</v>
      </c>
      <c r="F1442" s="553">
        <f>SUM(H1442,L1445)</f>
        <v>500</v>
      </c>
      <c r="G1442" s="562">
        <v>0</v>
      </c>
      <c r="H1442" s="914">
        <v>0</v>
      </c>
      <c r="I1442" s="607"/>
      <c r="J1442" s="538"/>
      <c r="K1442" s="538"/>
      <c r="L1442" s="608"/>
      <c r="M1442" s="591"/>
    </row>
    <row r="1443" spans="1:13" s="752" customFormat="1" ht="15">
      <c r="A1443" s="1461">
        <v>1436</v>
      </c>
      <c r="B1443" s="811"/>
      <c r="C1443" s="545"/>
      <c r="D1443" s="539" t="s">
        <v>957</v>
      </c>
      <c r="E1443" s="782"/>
      <c r="F1443" s="562"/>
      <c r="G1443" s="557"/>
      <c r="H1443" s="791"/>
      <c r="I1443" s="607"/>
      <c r="J1443" s="538">
        <v>500</v>
      </c>
      <c r="K1443" s="538"/>
      <c r="L1443" s="609">
        <f aca="true" t="shared" si="20" ref="L1443:L1468">SUM(I1443:K1443)</f>
        <v>500</v>
      </c>
      <c r="M1443" s="586"/>
    </row>
    <row r="1444" spans="1:13" s="753" customFormat="1" ht="15">
      <c r="A1444" s="1461">
        <v>1437</v>
      </c>
      <c r="B1444" s="812"/>
      <c r="C1444" s="1464"/>
      <c r="D1444" s="541" t="s">
        <v>405</v>
      </c>
      <c r="E1444" s="805"/>
      <c r="F1444" s="806"/>
      <c r="G1444" s="567"/>
      <c r="H1444" s="745"/>
      <c r="I1444" s="610"/>
      <c r="J1444" s="555"/>
      <c r="K1444" s="555"/>
      <c r="L1444" s="611">
        <f t="shared" si="20"/>
        <v>0</v>
      </c>
      <c r="M1444" s="594"/>
    </row>
    <row r="1445" spans="1:13" s="754" customFormat="1" ht="15">
      <c r="A1445" s="1461">
        <v>1438</v>
      </c>
      <c r="B1445" s="577"/>
      <c r="C1445" s="1465"/>
      <c r="D1445" s="542" t="s">
        <v>1067</v>
      </c>
      <c r="E1445" s="576"/>
      <c r="F1445" s="568"/>
      <c r="G1445" s="568"/>
      <c r="H1445" s="746"/>
      <c r="I1445" s="568">
        <f>SUM(I1443:I1444)</f>
        <v>0</v>
      </c>
      <c r="J1445" s="568">
        <f>SUM(J1443:J1444)</f>
        <v>500</v>
      </c>
      <c r="K1445" s="568">
        <f>SUM(K1443:K1444)</f>
        <v>0</v>
      </c>
      <c r="L1445" s="608">
        <f t="shared" si="20"/>
        <v>500</v>
      </c>
      <c r="M1445" s="593">
        <v>0</v>
      </c>
    </row>
    <row r="1446" spans="1:13" ht="15">
      <c r="A1446" s="1461">
        <v>1439</v>
      </c>
      <c r="B1446" s="811"/>
      <c r="C1446" s="545">
        <v>9</v>
      </c>
      <c r="D1446" s="539" t="s">
        <v>1027</v>
      </c>
      <c r="E1446" s="782" t="s">
        <v>799</v>
      </c>
      <c r="F1446" s="553">
        <f>SUM(H1446,L1449)</f>
        <v>2500</v>
      </c>
      <c r="G1446" s="562">
        <v>0</v>
      </c>
      <c r="H1446" s="914">
        <v>0</v>
      </c>
      <c r="I1446" s="607"/>
      <c r="J1446" s="538"/>
      <c r="K1446" s="538"/>
      <c r="L1446" s="608"/>
      <c r="M1446" s="591"/>
    </row>
    <row r="1447" spans="1:13" s="752" customFormat="1" ht="15">
      <c r="A1447" s="1461">
        <v>1440</v>
      </c>
      <c r="B1447" s="811"/>
      <c r="C1447" s="545"/>
      <c r="D1447" s="539" t="s">
        <v>957</v>
      </c>
      <c r="E1447" s="782"/>
      <c r="F1447" s="562"/>
      <c r="G1447" s="557"/>
      <c r="H1447" s="791"/>
      <c r="I1447" s="607"/>
      <c r="J1447" s="538">
        <v>2500</v>
      </c>
      <c r="K1447" s="538"/>
      <c r="L1447" s="609">
        <f t="shared" si="20"/>
        <v>2500</v>
      </c>
      <c r="M1447" s="586"/>
    </row>
    <row r="1448" spans="1:13" s="753" customFormat="1" ht="15">
      <c r="A1448" s="1461">
        <v>1441</v>
      </c>
      <c r="B1448" s="812"/>
      <c r="C1448" s="1464"/>
      <c r="D1448" s="541" t="s">
        <v>405</v>
      </c>
      <c r="E1448" s="805"/>
      <c r="F1448" s="806"/>
      <c r="G1448" s="567"/>
      <c r="H1448" s="745"/>
      <c r="I1448" s="610"/>
      <c r="J1448" s="555"/>
      <c r="K1448" s="555"/>
      <c r="L1448" s="611">
        <f t="shared" si="20"/>
        <v>0</v>
      </c>
      <c r="M1448" s="594"/>
    </row>
    <row r="1449" spans="1:13" s="754" customFormat="1" ht="15">
      <c r="A1449" s="1461">
        <v>1442</v>
      </c>
      <c r="B1449" s="577"/>
      <c r="C1449" s="1465"/>
      <c r="D1449" s="542" t="s">
        <v>1067</v>
      </c>
      <c r="E1449" s="576"/>
      <c r="F1449" s="568"/>
      <c r="G1449" s="568"/>
      <c r="H1449" s="746"/>
      <c r="I1449" s="568">
        <f>SUM(I1447:I1448)</f>
        <v>0</v>
      </c>
      <c r="J1449" s="568">
        <f>SUM(J1447:J1448)</f>
        <v>2500</v>
      </c>
      <c r="K1449" s="568">
        <f>SUM(K1447:K1448)</f>
        <v>0</v>
      </c>
      <c r="L1449" s="608">
        <f t="shared" si="20"/>
        <v>2500</v>
      </c>
      <c r="M1449" s="593">
        <v>0</v>
      </c>
    </row>
    <row r="1450" spans="1:13" ht="15">
      <c r="A1450" s="1461">
        <v>1443</v>
      </c>
      <c r="B1450" s="811"/>
      <c r="C1450" s="545">
        <v>10</v>
      </c>
      <c r="D1450" s="539" t="s">
        <v>1028</v>
      </c>
      <c r="E1450" s="782" t="s">
        <v>799</v>
      </c>
      <c r="F1450" s="553">
        <f>SUM(H1450,L1453)</f>
        <v>1000</v>
      </c>
      <c r="G1450" s="562">
        <v>0</v>
      </c>
      <c r="H1450" s="914">
        <v>0</v>
      </c>
      <c r="I1450" s="607"/>
      <c r="J1450" s="538"/>
      <c r="K1450" s="538"/>
      <c r="L1450" s="608"/>
      <c r="M1450" s="591"/>
    </row>
    <row r="1451" spans="1:13" s="752" customFormat="1" ht="15">
      <c r="A1451" s="1461">
        <v>1444</v>
      </c>
      <c r="B1451" s="811"/>
      <c r="C1451" s="545"/>
      <c r="D1451" s="539" t="s">
        <v>957</v>
      </c>
      <c r="E1451" s="782"/>
      <c r="F1451" s="562"/>
      <c r="G1451" s="557"/>
      <c r="H1451" s="791"/>
      <c r="I1451" s="607"/>
      <c r="J1451" s="538">
        <v>1000</v>
      </c>
      <c r="K1451" s="538"/>
      <c r="L1451" s="609">
        <f t="shared" si="20"/>
        <v>1000</v>
      </c>
      <c r="M1451" s="586"/>
    </row>
    <row r="1452" spans="1:13" s="753" customFormat="1" ht="15">
      <c r="A1452" s="1461">
        <v>1445</v>
      </c>
      <c r="B1452" s="812"/>
      <c r="C1452" s="1464"/>
      <c r="D1452" s="541" t="s">
        <v>405</v>
      </c>
      <c r="E1452" s="805"/>
      <c r="F1452" s="806"/>
      <c r="G1452" s="567"/>
      <c r="H1452" s="745"/>
      <c r="I1452" s="610"/>
      <c r="J1452" s="555"/>
      <c r="K1452" s="555"/>
      <c r="L1452" s="611">
        <f t="shared" si="20"/>
        <v>0</v>
      </c>
      <c r="M1452" s="594"/>
    </row>
    <row r="1453" spans="1:13" s="754" customFormat="1" ht="15">
      <c r="A1453" s="1461">
        <v>1446</v>
      </c>
      <c r="B1453" s="577"/>
      <c r="C1453" s="1465"/>
      <c r="D1453" s="542" t="s">
        <v>1029</v>
      </c>
      <c r="E1453" s="576"/>
      <c r="F1453" s="568"/>
      <c r="G1453" s="568"/>
      <c r="H1453" s="746"/>
      <c r="I1453" s="568">
        <f>SUM(I1451:I1452)</f>
        <v>0</v>
      </c>
      <c r="J1453" s="568">
        <f>SUM(J1451:J1452)</f>
        <v>1000</v>
      </c>
      <c r="K1453" s="568">
        <f>SUM(K1451:K1452)</f>
        <v>0</v>
      </c>
      <c r="L1453" s="608">
        <f t="shared" si="20"/>
        <v>1000</v>
      </c>
      <c r="M1453" s="593">
        <v>0</v>
      </c>
    </row>
    <row r="1454" spans="1:13" ht="30">
      <c r="A1454" s="1461">
        <v>1447</v>
      </c>
      <c r="B1454" s="566"/>
      <c r="C1454" s="1463">
        <v>11</v>
      </c>
      <c r="D1454" s="539" t="s">
        <v>1030</v>
      </c>
      <c r="E1454" s="782" t="s">
        <v>799</v>
      </c>
      <c r="F1454" s="553">
        <f>SUM(H1454,L1457)</f>
        <v>1000</v>
      </c>
      <c r="G1454" s="562">
        <v>0</v>
      </c>
      <c r="H1454" s="914">
        <v>0</v>
      </c>
      <c r="I1454" s="607"/>
      <c r="J1454" s="538"/>
      <c r="K1454" s="538"/>
      <c r="L1454" s="608"/>
      <c r="M1454" s="591"/>
    </row>
    <row r="1455" spans="1:13" s="752" customFormat="1" ht="15">
      <c r="A1455" s="1461">
        <v>1448</v>
      </c>
      <c r="B1455" s="811"/>
      <c r="C1455" s="545"/>
      <c r="D1455" s="539" t="s">
        <v>957</v>
      </c>
      <c r="E1455" s="782"/>
      <c r="F1455" s="562"/>
      <c r="G1455" s="557"/>
      <c r="H1455" s="791"/>
      <c r="I1455" s="607"/>
      <c r="J1455" s="538">
        <v>1000</v>
      </c>
      <c r="K1455" s="538"/>
      <c r="L1455" s="609">
        <f t="shared" si="20"/>
        <v>1000</v>
      </c>
      <c r="M1455" s="586"/>
    </row>
    <row r="1456" spans="1:13" s="753" customFormat="1" ht="15">
      <c r="A1456" s="1461">
        <v>1449</v>
      </c>
      <c r="B1456" s="812"/>
      <c r="C1456" s="1464"/>
      <c r="D1456" s="541" t="s">
        <v>405</v>
      </c>
      <c r="E1456" s="805"/>
      <c r="F1456" s="806"/>
      <c r="G1456" s="567"/>
      <c r="H1456" s="745"/>
      <c r="I1456" s="610"/>
      <c r="J1456" s="555"/>
      <c r="K1456" s="555"/>
      <c r="L1456" s="611">
        <f t="shared" si="20"/>
        <v>0</v>
      </c>
      <c r="M1456" s="594"/>
    </row>
    <row r="1457" spans="1:13" s="754" customFormat="1" ht="15">
      <c r="A1457" s="1461">
        <v>1450</v>
      </c>
      <c r="B1457" s="577"/>
      <c r="C1457" s="1465"/>
      <c r="D1457" s="542" t="s">
        <v>1067</v>
      </c>
      <c r="E1457" s="576"/>
      <c r="F1457" s="568"/>
      <c r="G1457" s="568"/>
      <c r="H1457" s="746"/>
      <c r="I1457" s="568">
        <f>SUM(I1455:I1456)</f>
        <v>0</v>
      </c>
      <c r="J1457" s="568">
        <f>SUM(J1455:J1456)</f>
        <v>1000</v>
      </c>
      <c r="K1457" s="568">
        <f>SUM(K1455:K1456)</f>
        <v>0</v>
      </c>
      <c r="L1457" s="608">
        <f t="shared" si="20"/>
        <v>1000</v>
      </c>
      <c r="M1457" s="593">
        <v>0</v>
      </c>
    </row>
    <row r="1458" spans="1:13" ht="15">
      <c r="A1458" s="1461">
        <v>1451</v>
      </c>
      <c r="B1458" s="811"/>
      <c r="C1458" s="545">
        <v>12</v>
      </c>
      <c r="D1458" s="539" t="s">
        <v>1031</v>
      </c>
      <c r="E1458" s="782" t="s">
        <v>799</v>
      </c>
      <c r="F1458" s="553">
        <f>SUM(H1458,L1461)</f>
        <v>700</v>
      </c>
      <c r="G1458" s="562">
        <v>0</v>
      </c>
      <c r="H1458" s="914">
        <v>0</v>
      </c>
      <c r="I1458" s="607"/>
      <c r="J1458" s="538"/>
      <c r="K1458" s="538"/>
      <c r="L1458" s="608"/>
      <c r="M1458" s="591"/>
    </row>
    <row r="1459" spans="1:13" s="752" customFormat="1" ht="15">
      <c r="A1459" s="1461">
        <v>1452</v>
      </c>
      <c r="B1459" s="811"/>
      <c r="C1459" s="545"/>
      <c r="D1459" s="539" t="s">
        <v>957</v>
      </c>
      <c r="E1459" s="782"/>
      <c r="F1459" s="562"/>
      <c r="G1459" s="557"/>
      <c r="H1459" s="791"/>
      <c r="I1459" s="607"/>
      <c r="J1459" s="538">
        <v>700</v>
      </c>
      <c r="K1459" s="538"/>
      <c r="L1459" s="609">
        <f t="shared" si="20"/>
        <v>700</v>
      </c>
      <c r="M1459" s="586"/>
    </row>
    <row r="1460" spans="1:13" s="753" customFormat="1" ht="15">
      <c r="A1460" s="1461">
        <v>1453</v>
      </c>
      <c r="B1460" s="812"/>
      <c r="C1460" s="1464"/>
      <c r="D1460" s="541" t="s">
        <v>405</v>
      </c>
      <c r="E1460" s="805"/>
      <c r="F1460" s="806"/>
      <c r="G1460" s="567"/>
      <c r="H1460" s="745"/>
      <c r="I1460" s="610"/>
      <c r="J1460" s="555"/>
      <c r="K1460" s="555"/>
      <c r="L1460" s="611">
        <f t="shared" si="20"/>
        <v>0</v>
      </c>
      <c r="M1460" s="594"/>
    </row>
    <row r="1461" spans="1:13" s="754" customFormat="1" ht="15">
      <c r="A1461" s="1461">
        <v>1454</v>
      </c>
      <c r="B1461" s="577"/>
      <c r="C1461" s="1465"/>
      <c r="D1461" s="542" t="s">
        <v>1067</v>
      </c>
      <c r="E1461" s="576"/>
      <c r="F1461" s="568"/>
      <c r="G1461" s="568"/>
      <c r="H1461" s="746"/>
      <c r="I1461" s="615">
        <f>SUM(I1459:I1460)</f>
        <v>0</v>
      </c>
      <c r="J1461" s="568">
        <f>SUM(J1459:J1460)</f>
        <v>700</v>
      </c>
      <c r="K1461" s="568">
        <f>SUM(K1459:K1460)</f>
        <v>0</v>
      </c>
      <c r="L1461" s="608">
        <f t="shared" si="20"/>
        <v>700</v>
      </c>
      <c r="M1461" s="593">
        <v>0</v>
      </c>
    </row>
    <row r="1462" spans="1:13" ht="30">
      <c r="A1462" s="1461">
        <v>1455</v>
      </c>
      <c r="B1462" s="566"/>
      <c r="C1462" s="1463">
        <v>13</v>
      </c>
      <c r="D1462" s="539" t="s">
        <v>1023</v>
      </c>
      <c r="E1462" s="782" t="s">
        <v>799</v>
      </c>
      <c r="F1462" s="553">
        <f>SUM(H1462,L1465)</f>
        <v>2500</v>
      </c>
      <c r="G1462" s="562">
        <v>0</v>
      </c>
      <c r="H1462" s="914">
        <v>0</v>
      </c>
      <c r="I1462" s="607"/>
      <c r="J1462" s="538"/>
      <c r="K1462" s="538"/>
      <c r="L1462" s="608"/>
      <c r="M1462" s="591"/>
    </row>
    <row r="1463" spans="1:13" s="752" customFormat="1" ht="15">
      <c r="A1463" s="1461">
        <v>1456</v>
      </c>
      <c r="B1463" s="811"/>
      <c r="C1463" s="545"/>
      <c r="D1463" s="539" t="s">
        <v>957</v>
      </c>
      <c r="E1463" s="782"/>
      <c r="F1463" s="562"/>
      <c r="G1463" s="557"/>
      <c r="H1463" s="791"/>
      <c r="I1463" s="607"/>
      <c r="J1463" s="538">
        <v>2500</v>
      </c>
      <c r="K1463" s="538"/>
      <c r="L1463" s="609">
        <f t="shared" si="20"/>
        <v>2500</v>
      </c>
      <c r="M1463" s="586"/>
    </row>
    <row r="1464" spans="1:13" s="753" customFormat="1" ht="15">
      <c r="A1464" s="1461">
        <v>1457</v>
      </c>
      <c r="B1464" s="812"/>
      <c r="C1464" s="1464"/>
      <c r="D1464" s="541" t="s">
        <v>405</v>
      </c>
      <c r="E1464" s="805"/>
      <c r="F1464" s="806"/>
      <c r="G1464" s="567"/>
      <c r="H1464" s="745"/>
      <c r="I1464" s="610"/>
      <c r="J1464" s="555"/>
      <c r="K1464" s="555"/>
      <c r="L1464" s="611">
        <f t="shared" si="20"/>
        <v>0</v>
      </c>
      <c r="M1464" s="594"/>
    </row>
    <row r="1465" spans="1:13" s="754" customFormat="1" ht="15">
      <c r="A1465" s="1461">
        <v>1458</v>
      </c>
      <c r="B1465" s="577"/>
      <c r="C1465" s="1465"/>
      <c r="D1465" s="542" t="s">
        <v>1067</v>
      </c>
      <c r="E1465" s="576"/>
      <c r="F1465" s="568"/>
      <c r="G1465" s="568"/>
      <c r="H1465" s="746"/>
      <c r="I1465" s="615">
        <f>SUM(I1463:I1464)</f>
        <v>0</v>
      </c>
      <c r="J1465" s="568">
        <f>SUM(J1463:J1464)</f>
        <v>2500</v>
      </c>
      <c r="K1465" s="568">
        <f>SUM(K1463:K1464)</f>
        <v>0</v>
      </c>
      <c r="L1465" s="608">
        <f t="shared" si="20"/>
        <v>2500</v>
      </c>
      <c r="M1465" s="593">
        <v>0</v>
      </c>
    </row>
    <row r="1466" spans="1:13" ht="30">
      <c r="A1466" s="1461">
        <v>1459</v>
      </c>
      <c r="B1466" s="566"/>
      <c r="C1466" s="1463">
        <v>14</v>
      </c>
      <c r="D1466" s="539" t="s">
        <v>1070</v>
      </c>
      <c r="E1466" s="782" t="s">
        <v>799</v>
      </c>
      <c r="F1466" s="553">
        <f>SUM(H1466,L1469)</f>
        <v>2000</v>
      </c>
      <c r="G1466" s="562">
        <v>0</v>
      </c>
      <c r="H1466" s="914">
        <v>0</v>
      </c>
      <c r="I1466" s="607"/>
      <c r="J1466" s="538"/>
      <c r="K1466" s="538"/>
      <c r="L1466" s="608"/>
      <c r="M1466" s="591"/>
    </row>
    <row r="1467" spans="1:13" s="752" customFormat="1" ht="15">
      <c r="A1467" s="1461">
        <v>1460</v>
      </c>
      <c r="B1467" s="811"/>
      <c r="C1467" s="545"/>
      <c r="D1467" s="539" t="s">
        <v>957</v>
      </c>
      <c r="E1467" s="782"/>
      <c r="F1467" s="562"/>
      <c r="G1467" s="557"/>
      <c r="H1467" s="791"/>
      <c r="I1467" s="607"/>
      <c r="J1467" s="538">
        <v>2000</v>
      </c>
      <c r="K1467" s="538"/>
      <c r="L1467" s="609">
        <f t="shared" si="20"/>
        <v>2000</v>
      </c>
      <c r="M1467" s="586"/>
    </row>
    <row r="1468" spans="1:13" s="753" customFormat="1" ht="15">
      <c r="A1468" s="1461">
        <v>1461</v>
      </c>
      <c r="B1468" s="812"/>
      <c r="C1468" s="1464"/>
      <c r="D1468" s="541" t="s">
        <v>405</v>
      </c>
      <c r="E1468" s="805"/>
      <c r="F1468" s="806"/>
      <c r="G1468" s="567"/>
      <c r="H1468" s="745"/>
      <c r="I1468" s="610"/>
      <c r="J1468" s="555"/>
      <c r="K1468" s="555"/>
      <c r="L1468" s="611">
        <f t="shared" si="20"/>
        <v>0</v>
      </c>
      <c r="M1468" s="594"/>
    </row>
    <row r="1469" spans="1:13" s="754" customFormat="1" ht="15">
      <c r="A1469" s="1461">
        <v>1462</v>
      </c>
      <c r="B1469" s="577"/>
      <c r="C1469" s="1465"/>
      <c r="D1469" s="542" t="s">
        <v>1067</v>
      </c>
      <c r="E1469" s="576"/>
      <c r="F1469" s="568"/>
      <c r="G1469" s="568"/>
      <c r="H1469" s="746"/>
      <c r="I1469" s="615">
        <f>SUM(I1467:I1468)</f>
        <v>0</v>
      </c>
      <c r="J1469" s="568">
        <f>SUM(J1467:J1468)</f>
        <v>2000</v>
      </c>
      <c r="K1469" s="568">
        <f>SUM(K1467:K1468)</f>
        <v>0</v>
      </c>
      <c r="L1469" s="608">
        <f>SUM(I1469:K1469)</f>
        <v>2000</v>
      </c>
      <c r="M1469" s="593">
        <v>0</v>
      </c>
    </row>
    <row r="1470" spans="1:13" s="752" customFormat="1" ht="15">
      <c r="A1470" s="1461">
        <v>1463</v>
      </c>
      <c r="B1470" s="535">
        <v>14</v>
      </c>
      <c r="C1470" s="545"/>
      <c r="D1470" s="536" t="s">
        <v>339</v>
      </c>
      <c r="E1470" s="788"/>
      <c r="F1470" s="1298"/>
      <c r="G1470" s="1298"/>
      <c r="H1470" s="1299"/>
      <c r="I1470" s="607"/>
      <c r="J1470" s="538"/>
      <c r="K1470" s="538"/>
      <c r="L1470" s="609"/>
      <c r="M1470" s="589"/>
    </row>
    <row r="1471" spans="1:13" s="752" customFormat="1" ht="15">
      <c r="A1471" s="1461">
        <v>1464</v>
      </c>
      <c r="B1471" s="811"/>
      <c r="C1471" s="545">
        <v>1</v>
      </c>
      <c r="D1471" s="557" t="s">
        <v>340</v>
      </c>
      <c r="E1471" s="782" t="s">
        <v>799</v>
      </c>
      <c r="F1471" s="553">
        <f>SUM(H1471,L1475)</f>
        <v>700</v>
      </c>
      <c r="G1471" s="557">
        <v>0</v>
      </c>
      <c r="H1471" s="913">
        <v>0</v>
      </c>
      <c r="I1471" s="607"/>
      <c r="J1471" s="538"/>
      <c r="K1471" s="538"/>
      <c r="L1471" s="609"/>
      <c r="M1471" s="586"/>
    </row>
    <row r="1472" spans="1:13" ht="15">
      <c r="A1472" s="1461">
        <v>1465</v>
      </c>
      <c r="B1472" s="811"/>
      <c r="C1472" s="545"/>
      <c r="D1472" s="539" t="s">
        <v>403</v>
      </c>
      <c r="E1472" s="782"/>
      <c r="F1472" s="567"/>
      <c r="G1472" s="562"/>
      <c r="H1472" s="918"/>
      <c r="I1472" s="607"/>
      <c r="J1472" s="538">
        <v>300</v>
      </c>
      <c r="K1472" s="538"/>
      <c r="L1472" s="609">
        <f>SUM(I1472:K1472)</f>
        <v>300</v>
      </c>
      <c r="M1472" s="591"/>
    </row>
    <row r="1473" spans="1:13" ht="15">
      <c r="A1473" s="1461">
        <v>1466</v>
      </c>
      <c r="B1473" s="811"/>
      <c r="C1473" s="545"/>
      <c r="D1473" s="539" t="s">
        <v>957</v>
      </c>
      <c r="E1473" s="782"/>
      <c r="F1473" s="567"/>
      <c r="G1473" s="562"/>
      <c r="H1473" s="918"/>
      <c r="I1473" s="607"/>
      <c r="J1473" s="538">
        <v>700</v>
      </c>
      <c r="K1473" s="538"/>
      <c r="L1473" s="609">
        <f>SUM(I1473:K1473)</f>
        <v>700</v>
      </c>
      <c r="M1473" s="591"/>
    </row>
    <row r="1474" spans="1:13" s="753" customFormat="1" ht="15">
      <c r="A1474" s="1461">
        <v>1467</v>
      </c>
      <c r="B1474" s="812"/>
      <c r="C1474" s="1464"/>
      <c r="D1474" s="541" t="s">
        <v>405</v>
      </c>
      <c r="E1474" s="576"/>
      <c r="F1474" s="568"/>
      <c r="G1474" s="567"/>
      <c r="H1474" s="919"/>
      <c r="I1474" s="610"/>
      <c r="J1474" s="555"/>
      <c r="K1474" s="555"/>
      <c r="L1474" s="611">
        <f>SUM(I1474:K1474)</f>
        <v>0</v>
      </c>
      <c r="M1474" s="594"/>
    </row>
    <row r="1475" spans="1:13" s="754" customFormat="1" ht="15">
      <c r="A1475" s="1461">
        <v>1468</v>
      </c>
      <c r="B1475" s="577"/>
      <c r="C1475" s="1465"/>
      <c r="D1475" s="542" t="s">
        <v>1067</v>
      </c>
      <c r="E1475" s="782"/>
      <c r="F1475" s="537"/>
      <c r="G1475" s="568"/>
      <c r="H1475" s="911"/>
      <c r="I1475" s="615">
        <f>SUM(I1473:I1474)</f>
        <v>0</v>
      </c>
      <c r="J1475" s="568">
        <f>SUM(J1473:J1474)</f>
        <v>700</v>
      </c>
      <c r="K1475" s="568">
        <f>SUM(K1473:K1474)</f>
        <v>0</v>
      </c>
      <c r="L1475" s="608">
        <f>SUM(I1475:K1475)</f>
        <v>700</v>
      </c>
      <c r="M1475" s="593">
        <f>SUM(M1472:M1474)</f>
        <v>0</v>
      </c>
    </row>
    <row r="1476" spans="1:13" s="752" customFormat="1" ht="15">
      <c r="A1476" s="1461">
        <v>1469</v>
      </c>
      <c r="B1476" s="535"/>
      <c r="C1476" s="545">
        <v>2</v>
      </c>
      <c r="D1476" s="557" t="s">
        <v>936</v>
      </c>
      <c r="E1476" s="782" t="s">
        <v>799</v>
      </c>
      <c r="F1476" s="553">
        <f>SUM(H1476,L1479)</f>
        <v>644</v>
      </c>
      <c r="G1476" s="557">
        <v>0</v>
      </c>
      <c r="H1476" s="913">
        <v>0</v>
      </c>
      <c r="I1476" s="607"/>
      <c r="J1476" s="538"/>
      <c r="K1476" s="538"/>
      <c r="L1476" s="609"/>
      <c r="M1476" s="586"/>
    </row>
    <row r="1477" spans="1:13" ht="15">
      <c r="A1477" s="1461">
        <v>1470</v>
      </c>
      <c r="B1477" s="811"/>
      <c r="C1477" s="545"/>
      <c r="D1477" s="539" t="s">
        <v>957</v>
      </c>
      <c r="E1477" s="782"/>
      <c r="F1477" s="567"/>
      <c r="G1477" s="562"/>
      <c r="H1477" s="918"/>
      <c r="I1477" s="607"/>
      <c r="J1477" s="538">
        <v>644</v>
      </c>
      <c r="K1477" s="538"/>
      <c r="L1477" s="609">
        <f>SUM(I1477:K1477)</f>
        <v>644</v>
      </c>
      <c r="M1477" s="591"/>
    </row>
    <row r="1478" spans="1:13" s="753" customFormat="1" ht="15">
      <c r="A1478" s="1461">
        <v>1471</v>
      </c>
      <c r="B1478" s="812"/>
      <c r="C1478" s="1464"/>
      <c r="D1478" s="541" t="s">
        <v>405</v>
      </c>
      <c r="E1478" s="576"/>
      <c r="F1478" s="568"/>
      <c r="G1478" s="567"/>
      <c r="H1478" s="919"/>
      <c r="I1478" s="610"/>
      <c r="J1478" s="555"/>
      <c r="K1478" s="555"/>
      <c r="L1478" s="611">
        <f>SUM(I1478:K1478)</f>
        <v>0</v>
      </c>
      <c r="M1478" s="594"/>
    </row>
    <row r="1479" spans="1:13" s="754" customFormat="1" ht="15">
      <c r="A1479" s="1461">
        <v>1472</v>
      </c>
      <c r="B1479" s="577"/>
      <c r="C1479" s="1465"/>
      <c r="D1479" s="542" t="s">
        <v>404</v>
      </c>
      <c r="E1479" s="782"/>
      <c r="F1479" s="537"/>
      <c r="G1479" s="568"/>
      <c r="H1479" s="911"/>
      <c r="I1479" s="615">
        <f>SUM(I1477:I1478)</f>
        <v>0</v>
      </c>
      <c r="J1479" s="568">
        <f>SUM(J1477:J1478)</f>
        <v>644</v>
      </c>
      <c r="K1479" s="568">
        <f>SUM(K1477:K1478)</f>
        <v>0</v>
      </c>
      <c r="L1479" s="608">
        <f>SUM(I1479:K1479)</f>
        <v>644</v>
      </c>
      <c r="M1479" s="593">
        <v>0</v>
      </c>
    </row>
    <row r="1480" spans="1:13" s="752" customFormat="1" ht="15">
      <c r="A1480" s="1461">
        <v>1473</v>
      </c>
      <c r="B1480" s="535"/>
      <c r="C1480" s="545">
        <v>3</v>
      </c>
      <c r="D1480" s="1303" t="s">
        <v>712</v>
      </c>
      <c r="E1480" s="782" t="s">
        <v>799</v>
      </c>
      <c r="F1480" s="553">
        <f>SUM(H1480,L1483)</f>
        <v>68</v>
      </c>
      <c r="G1480" s="553">
        <v>0</v>
      </c>
      <c r="H1480" s="1304">
        <v>0</v>
      </c>
      <c r="I1480" s="607"/>
      <c r="J1480" s="538"/>
      <c r="K1480" s="538"/>
      <c r="L1480" s="608"/>
      <c r="M1480" s="591"/>
    </row>
    <row r="1481" spans="1:13" s="752" customFormat="1" ht="15">
      <c r="A1481" s="1461">
        <v>1474</v>
      </c>
      <c r="B1481" s="811"/>
      <c r="C1481" s="545"/>
      <c r="D1481" s="539" t="s">
        <v>957</v>
      </c>
      <c r="E1481" s="782"/>
      <c r="F1481" s="562"/>
      <c r="G1481" s="557"/>
      <c r="H1481" s="791"/>
      <c r="I1481" s="607"/>
      <c r="J1481" s="538">
        <v>68</v>
      </c>
      <c r="K1481" s="538"/>
      <c r="L1481" s="609">
        <f aca="true" t="shared" si="21" ref="L1481:L1487">SUM(I1481:K1481)</f>
        <v>68</v>
      </c>
      <c r="M1481" s="586"/>
    </row>
    <row r="1482" spans="1:13" s="753" customFormat="1" ht="15">
      <c r="A1482" s="1461">
        <v>1475</v>
      </c>
      <c r="B1482" s="812"/>
      <c r="C1482" s="1464"/>
      <c r="D1482" s="541" t="s">
        <v>234</v>
      </c>
      <c r="E1482" s="805"/>
      <c r="F1482" s="806"/>
      <c r="G1482" s="567"/>
      <c r="H1482" s="745"/>
      <c r="I1482" s="610"/>
      <c r="J1482" s="555"/>
      <c r="K1482" s="555"/>
      <c r="L1482" s="611">
        <f t="shared" si="21"/>
        <v>0</v>
      </c>
      <c r="M1482" s="594"/>
    </row>
    <row r="1483" spans="1:13" s="754" customFormat="1" ht="15">
      <c r="A1483" s="1461">
        <v>1476</v>
      </c>
      <c r="B1483" s="577"/>
      <c r="C1483" s="1465"/>
      <c r="D1483" s="542" t="s">
        <v>1067</v>
      </c>
      <c r="E1483" s="576"/>
      <c r="F1483" s="568"/>
      <c r="G1483" s="568"/>
      <c r="H1483" s="746"/>
      <c r="I1483" s="615">
        <f>SUM(I1481:I1482)</f>
        <v>0</v>
      </c>
      <c r="J1483" s="568">
        <f>SUM(J1481:J1482)</f>
        <v>68</v>
      </c>
      <c r="K1483" s="568">
        <f>SUM(K1481:K1482)</f>
        <v>0</v>
      </c>
      <c r="L1483" s="608">
        <f t="shared" si="21"/>
        <v>68</v>
      </c>
      <c r="M1483" s="593">
        <v>0</v>
      </c>
    </row>
    <row r="1484" spans="1:13" s="752" customFormat="1" ht="15">
      <c r="A1484" s="1461">
        <v>1477</v>
      </c>
      <c r="B1484" s="535"/>
      <c r="C1484" s="545">
        <v>4</v>
      </c>
      <c r="D1484" s="1303" t="s">
        <v>963</v>
      </c>
      <c r="E1484" s="782" t="s">
        <v>799</v>
      </c>
      <c r="F1484" s="553">
        <f>SUM(H1484,L1487)</f>
        <v>500</v>
      </c>
      <c r="G1484" s="553">
        <v>0</v>
      </c>
      <c r="H1484" s="1304">
        <v>0</v>
      </c>
      <c r="I1484" s="607"/>
      <c r="J1484" s="538"/>
      <c r="K1484" s="538"/>
      <c r="L1484" s="608"/>
      <c r="M1484" s="591"/>
    </row>
    <row r="1485" spans="1:13" s="752" customFormat="1" ht="15">
      <c r="A1485" s="1461">
        <v>1478</v>
      </c>
      <c r="B1485" s="811"/>
      <c r="C1485" s="545"/>
      <c r="D1485" s="539" t="s">
        <v>957</v>
      </c>
      <c r="E1485" s="782"/>
      <c r="F1485" s="562"/>
      <c r="G1485" s="557"/>
      <c r="H1485" s="791"/>
      <c r="I1485" s="607"/>
      <c r="J1485" s="538">
        <v>500</v>
      </c>
      <c r="K1485" s="538"/>
      <c r="L1485" s="609">
        <f t="shared" si="21"/>
        <v>500</v>
      </c>
      <c r="M1485" s="586"/>
    </row>
    <row r="1486" spans="1:13" s="753" customFormat="1" ht="15">
      <c r="A1486" s="1461">
        <v>1479</v>
      </c>
      <c r="B1486" s="812"/>
      <c r="C1486" s="1464"/>
      <c r="D1486" s="541" t="s">
        <v>234</v>
      </c>
      <c r="E1486" s="805"/>
      <c r="F1486" s="806"/>
      <c r="G1486" s="567"/>
      <c r="H1486" s="745"/>
      <c r="I1486" s="610"/>
      <c r="J1486" s="555"/>
      <c r="K1486" s="555"/>
      <c r="L1486" s="611">
        <f t="shared" si="21"/>
        <v>0</v>
      </c>
      <c r="M1486" s="594"/>
    </row>
    <row r="1487" spans="1:13" s="754" customFormat="1" ht="15">
      <c r="A1487" s="1461">
        <v>1480</v>
      </c>
      <c r="B1487" s="577"/>
      <c r="C1487" s="1465"/>
      <c r="D1487" s="542" t="s">
        <v>1067</v>
      </c>
      <c r="E1487" s="576"/>
      <c r="F1487" s="568"/>
      <c r="G1487" s="568"/>
      <c r="H1487" s="746"/>
      <c r="I1487" s="615">
        <f>SUM(I1485:I1486)</f>
        <v>0</v>
      </c>
      <c r="J1487" s="568">
        <f>SUM(J1485:J1486)</f>
        <v>500</v>
      </c>
      <c r="K1487" s="568">
        <f>SUM(K1485:K1486)</f>
        <v>0</v>
      </c>
      <c r="L1487" s="608">
        <f t="shared" si="21"/>
        <v>500</v>
      </c>
      <c r="M1487" s="593">
        <v>0</v>
      </c>
    </row>
    <row r="1488" spans="1:13" s="752" customFormat="1" ht="15">
      <c r="A1488" s="1461">
        <v>1481</v>
      </c>
      <c r="B1488" s="535">
        <v>15</v>
      </c>
      <c r="C1488" s="545"/>
      <c r="D1488" s="536" t="s">
        <v>364</v>
      </c>
      <c r="E1488" s="779"/>
      <c r="F1488" s="557"/>
      <c r="G1488" s="564"/>
      <c r="H1488" s="912"/>
      <c r="I1488" s="607"/>
      <c r="J1488" s="538"/>
      <c r="K1488" s="538"/>
      <c r="L1488" s="609"/>
      <c r="M1488" s="589"/>
    </row>
    <row r="1489" spans="1:13" s="752" customFormat="1" ht="15">
      <c r="A1489" s="1461">
        <v>1482</v>
      </c>
      <c r="B1489" s="535"/>
      <c r="C1489" s="545">
        <v>1</v>
      </c>
      <c r="D1489" s="557" t="s">
        <v>341</v>
      </c>
      <c r="E1489" s="782" t="s">
        <v>799</v>
      </c>
      <c r="F1489" s="553">
        <f>SUM(H1489,L1493)</f>
        <v>0</v>
      </c>
      <c r="G1489" s="557">
        <v>0</v>
      </c>
      <c r="H1489" s="913">
        <v>0</v>
      </c>
      <c r="I1489" s="607"/>
      <c r="J1489" s="538"/>
      <c r="K1489" s="538"/>
      <c r="L1489" s="609"/>
      <c r="M1489" s="586"/>
    </row>
    <row r="1490" spans="1:13" ht="15">
      <c r="A1490" s="1461">
        <v>1483</v>
      </c>
      <c r="B1490" s="811"/>
      <c r="C1490" s="545"/>
      <c r="D1490" s="539" t="s">
        <v>403</v>
      </c>
      <c r="E1490" s="782"/>
      <c r="F1490" s="567"/>
      <c r="G1490" s="562"/>
      <c r="H1490" s="918"/>
      <c r="I1490" s="607"/>
      <c r="J1490" s="538">
        <v>3500</v>
      </c>
      <c r="K1490" s="538"/>
      <c r="L1490" s="609">
        <f>SUM(I1490:K1490)</f>
        <v>3500</v>
      </c>
      <c r="M1490" s="591"/>
    </row>
    <row r="1491" spans="1:13" ht="15">
      <c r="A1491" s="1461">
        <v>1484</v>
      </c>
      <c r="B1491" s="811"/>
      <c r="C1491" s="545"/>
      <c r="D1491" s="539" t="s">
        <v>957</v>
      </c>
      <c r="E1491" s="782"/>
      <c r="F1491" s="567"/>
      <c r="G1491" s="562"/>
      <c r="H1491" s="918"/>
      <c r="I1491" s="607"/>
      <c r="J1491" s="538">
        <v>0</v>
      </c>
      <c r="K1491" s="538"/>
      <c r="L1491" s="609">
        <f>SUM(I1491:K1491)</f>
        <v>0</v>
      </c>
      <c r="M1491" s="591"/>
    </row>
    <row r="1492" spans="1:13" s="753" customFormat="1" ht="15">
      <c r="A1492" s="1461">
        <v>1485</v>
      </c>
      <c r="B1492" s="812"/>
      <c r="C1492" s="1464"/>
      <c r="D1492" s="541" t="s">
        <v>234</v>
      </c>
      <c r="E1492" s="576"/>
      <c r="F1492" s="568"/>
      <c r="G1492" s="567"/>
      <c r="H1492" s="919"/>
      <c r="I1492" s="610"/>
      <c r="J1492" s="555"/>
      <c r="K1492" s="555"/>
      <c r="L1492" s="611">
        <f>SUM(I1492:K1492)</f>
        <v>0</v>
      </c>
      <c r="M1492" s="594"/>
    </row>
    <row r="1493" spans="1:13" s="754" customFormat="1" ht="15">
      <c r="A1493" s="1461">
        <v>1486</v>
      </c>
      <c r="B1493" s="577"/>
      <c r="C1493" s="1465"/>
      <c r="D1493" s="542" t="s">
        <v>1067</v>
      </c>
      <c r="E1493" s="779"/>
      <c r="F1493" s="557"/>
      <c r="G1493" s="568"/>
      <c r="H1493" s="911"/>
      <c r="I1493" s="615">
        <f>SUM(I1491:I1492)</f>
        <v>0</v>
      </c>
      <c r="J1493" s="568">
        <f>SUM(J1491:J1492)</f>
        <v>0</v>
      </c>
      <c r="K1493" s="568">
        <f>SUM(K1491:K1492)</f>
        <v>0</v>
      </c>
      <c r="L1493" s="608">
        <f>SUM(I1493:K1493)</f>
        <v>0</v>
      </c>
      <c r="M1493" s="593">
        <f>SUM(M1490:M1492)</f>
        <v>0</v>
      </c>
    </row>
    <row r="1494" spans="1:13" s="752" customFormat="1" ht="15">
      <c r="A1494" s="1461">
        <v>1487</v>
      </c>
      <c r="B1494" s="535"/>
      <c r="C1494" s="545">
        <v>2</v>
      </c>
      <c r="D1494" s="557" t="s">
        <v>585</v>
      </c>
      <c r="E1494" s="782" t="s">
        <v>799</v>
      </c>
      <c r="F1494" s="553">
        <f>SUM(H1494,L1498)</f>
        <v>0</v>
      </c>
      <c r="G1494" s="557">
        <v>0</v>
      </c>
      <c r="H1494" s="913">
        <v>0</v>
      </c>
      <c r="I1494" s="607"/>
      <c r="J1494" s="538"/>
      <c r="K1494" s="538"/>
      <c r="L1494" s="609"/>
      <c r="M1494" s="586"/>
    </row>
    <row r="1495" spans="1:13" ht="15">
      <c r="A1495" s="1461">
        <v>1488</v>
      </c>
      <c r="B1495" s="811"/>
      <c r="C1495" s="545"/>
      <c r="D1495" s="539" t="s">
        <v>403</v>
      </c>
      <c r="E1495" s="788"/>
      <c r="F1495" s="796"/>
      <c r="G1495" s="562"/>
      <c r="H1495" s="918"/>
      <c r="I1495" s="607"/>
      <c r="J1495" s="538">
        <v>1000</v>
      </c>
      <c r="K1495" s="538"/>
      <c r="L1495" s="609">
        <f>SUM(I1495:K1495)</f>
        <v>1000</v>
      </c>
      <c r="M1495" s="591"/>
    </row>
    <row r="1496" spans="1:13" ht="15">
      <c r="A1496" s="1461">
        <v>1489</v>
      </c>
      <c r="B1496" s="811"/>
      <c r="C1496" s="545"/>
      <c r="D1496" s="539" t="s">
        <v>957</v>
      </c>
      <c r="E1496" s="788"/>
      <c r="F1496" s="796"/>
      <c r="G1496" s="562"/>
      <c r="H1496" s="918"/>
      <c r="I1496" s="607"/>
      <c r="J1496" s="538">
        <v>0</v>
      </c>
      <c r="K1496" s="538"/>
      <c r="L1496" s="609">
        <f>SUM(I1496:K1496)</f>
        <v>0</v>
      </c>
      <c r="M1496" s="591"/>
    </row>
    <row r="1497" spans="1:13" s="753" customFormat="1" ht="15">
      <c r="A1497" s="1461">
        <v>1490</v>
      </c>
      <c r="B1497" s="812"/>
      <c r="C1497" s="1464"/>
      <c r="D1497" s="541" t="s">
        <v>234</v>
      </c>
      <c r="E1497" s="782"/>
      <c r="F1497" s="567"/>
      <c r="G1497" s="567"/>
      <c r="H1497" s="919"/>
      <c r="I1497" s="610"/>
      <c r="J1497" s="555"/>
      <c r="K1497" s="555"/>
      <c r="L1497" s="611">
        <f>SUM(I1497:K1497)</f>
        <v>0</v>
      </c>
      <c r="M1497" s="594"/>
    </row>
    <row r="1498" spans="1:13" s="754" customFormat="1" ht="15">
      <c r="A1498" s="1461">
        <v>1491</v>
      </c>
      <c r="B1498" s="577"/>
      <c r="C1498" s="1465"/>
      <c r="D1498" s="542" t="s">
        <v>1067</v>
      </c>
      <c r="E1498" s="576"/>
      <c r="F1498" s="568"/>
      <c r="G1498" s="568"/>
      <c r="H1498" s="911"/>
      <c r="I1498" s="615">
        <f>SUM(I1496:I1497)</f>
        <v>0</v>
      </c>
      <c r="J1498" s="568">
        <f>SUM(J1496:J1497)</f>
        <v>0</v>
      </c>
      <c r="K1498" s="568">
        <f>SUM(K1496:K1497)</f>
        <v>0</v>
      </c>
      <c r="L1498" s="608">
        <f>SUM(I1498:K1498)</f>
        <v>0</v>
      </c>
      <c r="M1498" s="593">
        <f>SUM(M1495:M1497)</f>
        <v>0</v>
      </c>
    </row>
    <row r="1499" spans="1:13" s="752" customFormat="1" ht="15">
      <c r="A1499" s="1461">
        <v>1492</v>
      </c>
      <c r="B1499" s="535"/>
      <c r="C1499" s="545">
        <v>3</v>
      </c>
      <c r="D1499" s="557" t="s">
        <v>586</v>
      </c>
      <c r="E1499" s="782" t="s">
        <v>799</v>
      </c>
      <c r="F1499" s="553">
        <f>SUM(H1499,L1503)</f>
        <v>0</v>
      </c>
      <c r="G1499" s="557">
        <v>0</v>
      </c>
      <c r="H1499" s="913">
        <v>0</v>
      </c>
      <c r="I1499" s="607"/>
      <c r="J1499" s="538"/>
      <c r="K1499" s="538"/>
      <c r="L1499" s="609"/>
      <c r="M1499" s="586"/>
    </row>
    <row r="1500" spans="1:13" ht="15">
      <c r="A1500" s="1461">
        <v>1493</v>
      </c>
      <c r="B1500" s="811"/>
      <c r="C1500" s="545"/>
      <c r="D1500" s="539" t="s">
        <v>403</v>
      </c>
      <c r="E1500" s="782"/>
      <c r="F1500" s="567"/>
      <c r="G1500" s="562"/>
      <c r="H1500" s="918"/>
      <c r="I1500" s="607">
        <v>5670</v>
      </c>
      <c r="J1500" s="538"/>
      <c r="K1500" s="538"/>
      <c r="L1500" s="609">
        <f>SUM(I1500:K1500)</f>
        <v>5670</v>
      </c>
      <c r="M1500" s="591"/>
    </row>
    <row r="1501" spans="1:13" ht="15">
      <c r="A1501" s="1461">
        <v>1494</v>
      </c>
      <c r="B1501" s="811"/>
      <c r="C1501" s="545"/>
      <c r="D1501" s="539" t="s">
        <v>957</v>
      </c>
      <c r="E1501" s="782"/>
      <c r="F1501" s="567"/>
      <c r="G1501" s="562"/>
      <c r="H1501" s="918"/>
      <c r="I1501" s="607">
        <v>0</v>
      </c>
      <c r="J1501" s="538"/>
      <c r="K1501" s="538"/>
      <c r="L1501" s="609">
        <f>SUM(I1501:K1501)</f>
        <v>0</v>
      </c>
      <c r="M1501" s="591"/>
    </row>
    <row r="1502" spans="1:13" s="753" customFormat="1" ht="15">
      <c r="A1502" s="1461">
        <v>1495</v>
      </c>
      <c r="B1502" s="812"/>
      <c r="C1502" s="1464"/>
      <c r="D1502" s="541" t="s">
        <v>234</v>
      </c>
      <c r="E1502" s="576"/>
      <c r="F1502" s="568"/>
      <c r="G1502" s="567"/>
      <c r="H1502" s="919"/>
      <c r="I1502" s="610"/>
      <c r="J1502" s="555"/>
      <c r="K1502" s="555"/>
      <c r="L1502" s="611">
        <f>SUM(I1502:K1502)</f>
        <v>0</v>
      </c>
      <c r="M1502" s="594"/>
    </row>
    <row r="1503" spans="1:13" s="754" customFormat="1" ht="15">
      <c r="A1503" s="1461">
        <v>1496</v>
      </c>
      <c r="B1503" s="577"/>
      <c r="C1503" s="1465"/>
      <c r="D1503" s="542" t="s">
        <v>1067</v>
      </c>
      <c r="E1503" s="782"/>
      <c r="F1503" s="537"/>
      <c r="G1503" s="568"/>
      <c r="H1503" s="911"/>
      <c r="I1503" s="615">
        <f>SUM(I1501:I1502)</f>
        <v>0</v>
      </c>
      <c r="J1503" s="568">
        <f>SUM(J1501:J1502)</f>
        <v>0</v>
      </c>
      <c r="K1503" s="568">
        <f>SUM(K1501:K1502)</f>
        <v>0</v>
      </c>
      <c r="L1503" s="608">
        <f>SUM(I1503:K1503)</f>
        <v>0</v>
      </c>
      <c r="M1503" s="593">
        <f>SUM(M1500:M1502)</f>
        <v>0</v>
      </c>
    </row>
    <row r="1504" spans="1:13" s="752" customFormat="1" ht="15">
      <c r="A1504" s="1461">
        <v>1497</v>
      </c>
      <c r="B1504" s="535"/>
      <c r="C1504" s="545">
        <v>4</v>
      </c>
      <c r="D1504" s="1303" t="s">
        <v>1041</v>
      </c>
      <c r="E1504" s="782" t="s">
        <v>799</v>
      </c>
      <c r="F1504" s="553">
        <f>SUM(H1504,L1507)</f>
        <v>450</v>
      </c>
      <c r="G1504" s="553">
        <v>0</v>
      </c>
      <c r="H1504" s="1304">
        <v>0</v>
      </c>
      <c r="I1504" s="607"/>
      <c r="J1504" s="538"/>
      <c r="K1504" s="538"/>
      <c r="L1504" s="608"/>
      <c r="M1504" s="591"/>
    </row>
    <row r="1505" spans="1:13" s="752" customFormat="1" ht="15">
      <c r="A1505" s="1461">
        <v>1498</v>
      </c>
      <c r="B1505" s="811"/>
      <c r="C1505" s="545"/>
      <c r="D1505" s="539" t="s">
        <v>957</v>
      </c>
      <c r="E1505" s="782"/>
      <c r="F1505" s="562"/>
      <c r="G1505" s="557"/>
      <c r="H1505" s="791"/>
      <c r="I1505" s="607"/>
      <c r="J1505" s="538">
        <v>450</v>
      </c>
      <c r="K1505" s="538"/>
      <c r="L1505" s="609">
        <f aca="true" t="shared" si="22" ref="L1505:L1519">SUM(I1505:K1505)</f>
        <v>450</v>
      </c>
      <c r="M1505" s="586"/>
    </row>
    <row r="1506" spans="1:13" s="753" customFormat="1" ht="15">
      <c r="A1506" s="1461">
        <v>1499</v>
      </c>
      <c r="B1506" s="812"/>
      <c r="C1506" s="1464"/>
      <c r="D1506" s="541" t="s">
        <v>405</v>
      </c>
      <c r="E1506" s="805"/>
      <c r="F1506" s="806"/>
      <c r="G1506" s="567"/>
      <c r="H1506" s="745"/>
      <c r="I1506" s="610"/>
      <c r="J1506" s="555"/>
      <c r="K1506" s="555"/>
      <c r="L1506" s="611">
        <f t="shared" si="22"/>
        <v>0</v>
      </c>
      <c r="M1506" s="594"/>
    </row>
    <row r="1507" spans="1:13" s="754" customFormat="1" ht="15">
      <c r="A1507" s="1461">
        <v>1500</v>
      </c>
      <c r="B1507" s="577"/>
      <c r="C1507" s="1465"/>
      <c r="D1507" s="542" t="s">
        <v>1067</v>
      </c>
      <c r="E1507" s="576"/>
      <c r="F1507" s="568"/>
      <c r="G1507" s="568"/>
      <c r="H1507" s="746"/>
      <c r="I1507" s="615">
        <f>SUM(I1505:I1506)</f>
        <v>0</v>
      </c>
      <c r="J1507" s="568">
        <f>SUM(J1505:J1506)</f>
        <v>450</v>
      </c>
      <c r="K1507" s="568">
        <f>SUM(K1505:K1506)</f>
        <v>0</v>
      </c>
      <c r="L1507" s="608">
        <f t="shared" si="22"/>
        <v>450</v>
      </c>
      <c r="M1507" s="593">
        <v>0</v>
      </c>
    </row>
    <row r="1508" spans="1:13" s="752" customFormat="1" ht="15">
      <c r="A1508" s="1461">
        <v>1501</v>
      </c>
      <c r="B1508" s="535"/>
      <c r="C1508" s="545">
        <v>5</v>
      </c>
      <c r="D1508" s="1303" t="s">
        <v>1176</v>
      </c>
      <c r="E1508" s="782" t="s">
        <v>799</v>
      </c>
      <c r="F1508" s="553">
        <f>SUM(H1508,L1511)</f>
        <v>481</v>
      </c>
      <c r="G1508" s="553">
        <v>0</v>
      </c>
      <c r="H1508" s="1304">
        <v>0</v>
      </c>
      <c r="I1508" s="607"/>
      <c r="J1508" s="538"/>
      <c r="K1508" s="538"/>
      <c r="L1508" s="608"/>
      <c r="M1508" s="591"/>
    </row>
    <row r="1509" spans="1:13" s="752" customFormat="1" ht="15">
      <c r="A1509" s="1461">
        <v>1502</v>
      </c>
      <c r="B1509" s="811"/>
      <c r="C1509" s="545"/>
      <c r="D1509" s="539" t="s">
        <v>957</v>
      </c>
      <c r="E1509" s="782"/>
      <c r="F1509" s="562"/>
      <c r="G1509" s="557"/>
      <c r="H1509" s="791"/>
      <c r="I1509" s="607"/>
      <c r="J1509" s="538">
        <v>330</v>
      </c>
      <c r="K1509" s="538"/>
      <c r="L1509" s="609">
        <f t="shared" si="22"/>
        <v>330</v>
      </c>
      <c r="M1509" s="586"/>
    </row>
    <row r="1510" spans="1:13" s="753" customFormat="1" ht="15">
      <c r="A1510" s="1461">
        <v>1503</v>
      </c>
      <c r="B1510" s="812"/>
      <c r="C1510" s="1464"/>
      <c r="D1510" s="541" t="s">
        <v>1080</v>
      </c>
      <c r="E1510" s="805"/>
      <c r="F1510" s="806"/>
      <c r="G1510" s="567"/>
      <c r="H1510" s="745"/>
      <c r="I1510" s="610"/>
      <c r="J1510" s="555">
        <v>151</v>
      </c>
      <c r="K1510" s="555"/>
      <c r="L1510" s="611">
        <f t="shared" si="22"/>
        <v>151</v>
      </c>
      <c r="M1510" s="594"/>
    </row>
    <row r="1511" spans="1:13" s="754" customFormat="1" ht="15">
      <c r="A1511" s="1461">
        <v>1504</v>
      </c>
      <c r="B1511" s="577"/>
      <c r="C1511" s="1465"/>
      <c r="D1511" s="542" t="s">
        <v>1067</v>
      </c>
      <c r="E1511" s="576"/>
      <c r="F1511" s="568"/>
      <c r="G1511" s="568"/>
      <c r="H1511" s="746"/>
      <c r="I1511" s="615">
        <f>SUM(I1509:I1510)</f>
        <v>0</v>
      </c>
      <c r="J1511" s="568">
        <f>SUM(J1509:J1510)</f>
        <v>481</v>
      </c>
      <c r="K1511" s="568">
        <f>SUM(K1509:K1510)</f>
        <v>0</v>
      </c>
      <c r="L1511" s="608">
        <f t="shared" si="22"/>
        <v>481</v>
      </c>
      <c r="M1511" s="593">
        <v>0</v>
      </c>
    </row>
    <row r="1512" spans="1:13" s="752" customFormat="1" ht="15">
      <c r="A1512" s="1461">
        <v>1505</v>
      </c>
      <c r="B1512" s="535"/>
      <c r="C1512" s="545">
        <v>6</v>
      </c>
      <c r="D1512" s="1303" t="s">
        <v>973</v>
      </c>
      <c r="E1512" s="782" t="s">
        <v>799</v>
      </c>
      <c r="F1512" s="553">
        <f>SUM(H1512,L1515)</f>
        <v>647</v>
      </c>
      <c r="G1512" s="553">
        <v>0</v>
      </c>
      <c r="H1512" s="1304">
        <v>0</v>
      </c>
      <c r="I1512" s="607"/>
      <c r="J1512" s="538"/>
      <c r="K1512" s="538"/>
      <c r="L1512" s="608"/>
      <c r="M1512" s="591"/>
    </row>
    <row r="1513" spans="1:13" s="752" customFormat="1" ht="15">
      <c r="A1513" s="1461">
        <v>1506</v>
      </c>
      <c r="B1513" s="811"/>
      <c r="C1513" s="545"/>
      <c r="D1513" s="539" t="s">
        <v>957</v>
      </c>
      <c r="E1513" s="782"/>
      <c r="F1513" s="562"/>
      <c r="G1513" s="557"/>
      <c r="H1513" s="791"/>
      <c r="I1513" s="607"/>
      <c r="J1513" s="538">
        <v>647</v>
      </c>
      <c r="K1513" s="538"/>
      <c r="L1513" s="609">
        <f t="shared" si="22"/>
        <v>647</v>
      </c>
      <c r="M1513" s="586"/>
    </row>
    <row r="1514" spans="1:13" s="753" customFormat="1" ht="15">
      <c r="A1514" s="1461">
        <v>1507</v>
      </c>
      <c r="B1514" s="812"/>
      <c r="C1514" s="1464"/>
      <c r="D1514" s="541" t="s">
        <v>405</v>
      </c>
      <c r="E1514" s="805"/>
      <c r="F1514" s="806"/>
      <c r="G1514" s="567"/>
      <c r="H1514" s="745"/>
      <c r="I1514" s="610"/>
      <c r="J1514" s="555"/>
      <c r="K1514" s="555"/>
      <c r="L1514" s="611">
        <f t="shared" si="22"/>
        <v>0</v>
      </c>
      <c r="M1514" s="594"/>
    </row>
    <row r="1515" spans="1:13" s="754" customFormat="1" ht="15">
      <c r="A1515" s="1461">
        <v>1508</v>
      </c>
      <c r="B1515" s="577"/>
      <c r="C1515" s="1465"/>
      <c r="D1515" s="542" t="s">
        <v>1067</v>
      </c>
      <c r="E1515" s="576"/>
      <c r="F1515" s="568"/>
      <c r="G1515" s="568"/>
      <c r="H1515" s="746"/>
      <c r="I1515" s="615">
        <f>SUM(I1513:I1514)</f>
        <v>0</v>
      </c>
      <c r="J1515" s="568">
        <f>SUM(J1513:J1514)</f>
        <v>647</v>
      </c>
      <c r="K1515" s="568">
        <f>SUM(K1513:K1514)</f>
        <v>0</v>
      </c>
      <c r="L1515" s="608">
        <f t="shared" si="22"/>
        <v>647</v>
      </c>
      <c r="M1515" s="593">
        <v>0</v>
      </c>
    </row>
    <row r="1516" spans="1:13" s="752" customFormat="1" ht="30">
      <c r="A1516" s="1461">
        <v>1509</v>
      </c>
      <c r="B1516" s="566"/>
      <c r="C1516" s="1463">
        <v>7</v>
      </c>
      <c r="D1516" s="1303" t="s">
        <v>1047</v>
      </c>
      <c r="E1516" s="782" t="s">
        <v>799</v>
      </c>
      <c r="F1516" s="553">
        <f>SUM(H1516,L1519)</f>
        <v>250</v>
      </c>
      <c r="G1516" s="553">
        <v>0</v>
      </c>
      <c r="H1516" s="1304">
        <v>0</v>
      </c>
      <c r="I1516" s="607"/>
      <c r="J1516" s="538"/>
      <c r="K1516" s="538"/>
      <c r="L1516" s="608"/>
      <c r="M1516" s="591"/>
    </row>
    <row r="1517" spans="1:13" s="752" customFormat="1" ht="15">
      <c r="A1517" s="1461">
        <v>1510</v>
      </c>
      <c r="B1517" s="811"/>
      <c r="C1517" s="545"/>
      <c r="D1517" s="539" t="s">
        <v>957</v>
      </c>
      <c r="E1517" s="782"/>
      <c r="F1517" s="562"/>
      <c r="G1517" s="557"/>
      <c r="H1517" s="791"/>
      <c r="I1517" s="607"/>
      <c r="J1517" s="538">
        <v>250</v>
      </c>
      <c r="K1517" s="538"/>
      <c r="L1517" s="609">
        <f t="shared" si="22"/>
        <v>250</v>
      </c>
      <c r="M1517" s="586"/>
    </row>
    <row r="1518" spans="1:13" s="753" customFormat="1" ht="15">
      <c r="A1518" s="1461">
        <v>1511</v>
      </c>
      <c r="B1518" s="812"/>
      <c r="C1518" s="1464"/>
      <c r="D1518" s="541" t="s">
        <v>405</v>
      </c>
      <c r="E1518" s="805"/>
      <c r="F1518" s="806"/>
      <c r="G1518" s="567"/>
      <c r="H1518" s="745"/>
      <c r="I1518" s="610"/>
      <c r="J1518" s="555"/>
      <c r="K1518" s="555"/>
      <c r="L1518" s="611">
        <f t="shared" si="22"/>
        <v>0</v>
      </c>
      <c r="M1518" s="594"/>
    </row>
    <row r="1519" spans="1:13" s="754" customFormat="1" ht="15">
      <c r="A1519" s="1461">
        <v>1512</v>
      </c>
      <c r="B1519" s="577"/>
      <c r="C1519" s="1465"/>
      <c r="D1519" s="542" t="s">
        <v>1067</v>
      </c>
      <c r="E1519" s="576"/>
      <c r="F1519" s="568"/>
      <c r="G1519" s="568"/>
      <c r="H1519" s="746"/>
      <c r="I1519" s="615">
        <f>SUM(I1517:I1518)</f>
        <v>0</v>
      </c>
      <c r="J1519" s="568">
        <f>SUM(J1517:J1518)</f>
        <v>250</v>
      </c>
      <c r="K1519" s="568">
        <f>SUM(K1517:K1518)</f>
        <v>0</v>
      </c>
      <c r="L1519" s="608">
        <f t="shared" si="22"/>
        <v>250</v>
      </c>
      <c r="M1519" s="593">
        <v>0</v>
      </c>
    </row>
    <row r="1520" spans="1:13" s="752" customFormat="1" ht="15">
      <c r="A1520" s="1461">
        <v>1513</v>
      </c>
      <c r="B1520" s="535"/>
      <c r="C1520" s="545">
        <v>8</v>
      </c>
      <c r="D1520" s="1303" t="s">
        <v>1165</v>
      </c>
      <c r="E1520" s="782" t="s">
        <v>799</v>
      </c>
      <c r="F1520" s="553">
        <v>1000</v>
      </c>
      <c r="G1520" s="553">
        <v>0</v>
      </c>
      <c r="H1520" s="1304">
        <v>0</v>
      </c>
      <c r="I1520" s="607"/>
      <c r="J1520" s="538"/>
      <c r="K1520" s="538"/>
      <c r="L1520" s="608"/>
      <c r="M1520" s="591"/>
    </row>
    <row r="1521" spans="1:13" s="753" customFormat="1" ht="15">
      <c r="A1521" s="1461">
        <v>1514</v>
      </c>
      <c r="B1521" s="812"/>
      <c r="C1521" s="1464"/>
      <c r="D1521" s="541" t="s">
        <v>234</v>
      </c>
      <c r="E1521" s="805"/>
      <c r="F1521" s="806"/>
      <c r="G1521" s="567"/>
      <c r="H1521" s="745"/>
      <c r="I1521" s="610"/>
      <c r="J1521" s="555">
        <v>1000</v>
      </c>
      <c r="K1521" s="555"/>
      <c r="L1521" s="611">
        <f>SUM(I1521:K1521)</f>
        <v>1000</v>
      </c>
      <c r="M1521" s="594"/>
    </row>
    <row r="1522" spans="1:13" s="754" customFormat="1" ht="15">
      <c r="A1522" s="1461">
        <v>1515</v>
      </c>
      <c r="B1522" s="577"/>
      <c r="C1522" s="1465"/>
      <c r="D1522" s="542" t="s">
        <v>1067</v>
      </c>
      <c r="E1522" s="576"/>
      <c r="F1522" s="568"/>
      <c r="G1522" s="568"/>
      <c r="H1522" s="746"/>
      <c r="I1522" s="615">
        <f>SUM(I1521)</f>
        <v>0</v>
      </c>
      <c r="J1522" s="568">
        <f>SUM(J1521)</f>
        <v>1000</v>
      </c>
      <c r="K1522" s="568">
        <f>SUM(K1521)</f>
        <v>0</v>
      </c>
      <c r="L1522" s="608">
        <f>SUM(L1521)</f>
        <v>1000</v>
      </c>
      <c r="M1522" s="593">
        <v>0</v>
      </c>
    </row>
    <row r="1523" spans="1:13" s="752" customFormat="1" ht="15">
      <c r="A1523" s="1461">
        <v>1516</v>
      </c>
      <c r="B1523" s="535">
        <v>16</v>
      </c>
      <c r="C1523" s="545"/>
      <c r="D1523" s="536" t="s">
        <v>851</v>
      </c>
      <c r="E1523" s="779"/>
      <c r="F1523" s="557"/>
      <c r="G1523" s="564"/>
      <c r="H1523" s="912"/>
      <c r="I1523" s="607"/>
      <c r="J1523" s="538"/>
      <c r="K1523" s="538"/>
      <c r="L1523" s="609"/>
      <c r="M1523" s="589"/>
    </row>
    <row r="1524" spans="1:13" s="752" customFormat="1" ht="15">
      <c r="A1524" s="1461">
        <v>1517</v>
      </c>
      <c r="B1524" s="811"/>
      <c r="C1524" s="545">
        <v>1</v>
      </c>
      <c r="D1524" s="557" t="s">
        <v>342</v>
      </c>
      <c r="E1524" s="782" t="s">
        <v>799</v>
      </c>
      <c r="F1524" s="553">
        <f>SUM(H1524,L1528)</f>
        <v>1500</v>
      </c>
      <c r="G1524" s="557">
        <v>0</v>
      </c>
      <c r="H1524" s="913">
        <v>0</v>
      </c>
      <c r="I1524" s="607"/>
      <c r="J1524" s="538"/>
      <c r="K1524" s="538"/>
      <c r="L1524" s="609"/>
      <c r="M1524" s="586"/>
    </row>
    <row r="1525" spans="1:13" ht="15">
      <c r="A1525" s="1461">
        <v>1518</v>
      </c>
      <c r="B1525" s="811"/>
      <c r="C1525" s="545"/>
      <c r="D1525" s="539" t="s">
        <v>403</v>
      </c>
      <c r="E1525" s="782"/>
      <c r="F1525" s="567"/>
      <c r="G1525" s="562"/>
      <c r="H1525" s="918"/>
      <c r="I1525" s="607"/>
      <c r="J1525" s="538">
        <v>1500</v>
      </c>
      <c r="K1525" s="538"/>
      <c r="L1525" s="609">
        <f>SUM(I1525:K1525)</f>
        <v>1500</v>
      </c>
      <c r="M1525" s="591"/>
    </row>
    <row r="1526" spans="1:13" ht="15">
      <c r="A1526" s="1461">
        <v>1519</v>
      </c>
      <c r="B1526" s="811"/>
      <c r="C1526" s="545"/>
      <c r="D1526" s="539" t="s">
        <v>957</v>
      </c>
      <c r="E1526" s="782"/>
      <c r="F1526" s="567"/>
      <c r="G1526" s="562"/>
      <c r="H1526" s="918"/>
      <c r="I1526" s="607"/>
      <c r="J1526" s="538">
        <v>1500</v>
      </c>
      <c r="K1526" s="538"/>
      <c r="L1526" s="609">
        <f>SUM(I1526:K1526)</f>
        <v>1500</v>
      </c>
      <c r="M1526" s="591"/>
    </row>
    <row r="1527" spans="1:13" s="753" customFormat="1" ht="15">
      <c r="A1527" s="1461">
        <v>1520</v>
      </c>
      <c r="B1527" s="812"/>
      <c r="C1527" s="1464"/>
      <c r="D1527" s="541" t="s">
        <v>405</v>
      </c>
      <c r="E1527" s="576"/>
      <c r="F1527" s="568"/>
      <c r="G1527" s="567"/>
      <c r="H1527" s="919"/>
      <c r="I1527" s="610"/>
      <c r="J1527" s="555"/>
      <c r="K1527" s="555"/>
      <c r="L1527" s="611">
        <f>SUM(I1527:K1527)</f>
        <v>0</v>
      </c>
      <c r="M1527" s="594"/>
    </row>
    <row r="1528" spans="1:13" s="754" customFormat="1" ht="15">
      <c r="A1528" s="1461">
        <v>1521</v>
      </c>
      <c r="B1528" s="577"/>
      <c r="C1528" s="1465"/>
      <c r="D1528" s="542" t="s">
        <v>1067</v>
      </c>
      <c r="E1528" s="779"/>
      <c r="F1528" s="557"/>
      <c r="G1528" s="568"/>
      <c r="H1528" s="911"/>
      <c r="I1528" s="615">
        <f>SUM(I1526:I1527)</f>
        <v>0</v>
      </c>
      <c r="J1528" s="568">
        <f>SUM(J1526:J1527)</f>
        <v>1500</v>
      </c>
      <c r="K1528" s="568">
        <f>SUM(K1526:K1527)</f>
        <v>0</v>
      </c>
      <c r="L1528" s="608">
        <f>SUM(I1528:K1528)</f>
        <v>1500</v>
      </c>
      <c r="M1528" s="593">
        <f>SUM(M1525:M1527)</f>
        <v>0</v>
      </c>
    </row>
    <row r="1529" spans="1:13" s="752" customFormat="1" ht="15">
      <c r="A1529" s="1461">
        <v>1522</v>
      </c>
      <c r="B1529" s="535"/>
      <c r="C1529" s="545">
        <v>2</v>
      </c>
      <c r="D1529" s="557" t="s">
        <v>517</v>
      </c>
      <c r="E1529" s="782" t="s">
        <v>799</v>
      </c>
      <c r="F1529" s="553">
        <f>SUM(H1529,L1533)</f>
        <v>610</v>
      </c>
      <c r="G1529" s="557">
        <v>0</v>
      </c>
      <c r="H1529" s="913">
        <v>0</v>
      </c>
      <c r="I1529" s="607"/>
      <c r="J1529" s="538"/>
      <c r="K1529" s="538"/>
      <c r="L1529" s="609"/>
      <c r="M1529" s="586"/>
    </row>
    <row r="1530" spans="1:13" ht="15">
      <c r="A1530" s="1461">
        <v>1523</v>
      </c>
      <c r="B1530" s="811"/>
      <c r="C1530" s="545"/>
      <c r="D1530" s="539" t="s">
        <v>403</v>
      </c>
      <c r="E1530" s="788"/>
      <c r="F1530" s="796"/>
      <c r="G1530" s="562"/>
      <c r="H1530" s="918"/>
      <c r="I1530" s="607"/>
      <c r="J1530" s="538">
        <v>610</v>
      </c>
      <c r="K1530" s="538"/>
      <c r="L1530" s="609">
        <f>SUM(I1530:K1530)</f>
        <v>610</v>
      </c>
      <c r="M1530" s="591"/>
    </row>
    <row r="1531" spans="1:13" ht="15">
      <c r="A1531" s="1461">
        <v>1524</v>
      </c>
      <c r="B1531" s="811"/>
      <c r="C1531" s="545"/>
      <c r="D1531" s="539" t="s">
        <v>957</v>
      </c>
      <c r="E1531" s="788"/>
      <c r="F1531" s="796"/>
      <c r="G1531" s="562"/>
      <c r="H1531" s="918"/>
      <c r="I1531" s="607"/>
      <c r="J1531" s="538">
        <v>610</v>
      </c>
      <c r="K1531" s="538"/>
      <c r="L1531" s="609">
        <f>SUM(I1531:K1531)</f>
        <v>610</v>
      </c>
      <c r="M1531" s="591"/>
    </row>
    <row r="1532" spans="1:13" s="753" customFormat="1" ht="15">
      <c r="A1532" s="1461">
        <v>1525</v>
      </c>
      <c r="B1532" s="812"/>
      <c r="C1532" s="1464"/>
      <c r="D1532" s="541" t="s">
        <v>405</v>
      </c>
      <c r="E1532" s="782"/>
      <c r="F1532" s="567"/>
      <c r="G1532" s="567"/>
      <c r="H1532" s="919"/>
      <c r="I1532" s="610"/>
      <c r="J1532" s="555"/>
      <c r="K1532" s="555"/>
      <c r="L1532" s="611">
        <f>SUM(I1532:K1532)</f>
        <v>0</v>
      </c>
      <c r="M1532" s="594"/>
    </row>
    <row r="1533" spans="1:13" s="754" customFormat="1" ht="15">
      <c r="A1533" s="1461">
        <v>1526</v>
      </c>
      <c r="B1533" s="577"/>
      <c r="C1533" s="1465"/>
      <c r="D1533" s="542" t="s">
        <v>1067</v>
      </c>
      <c r="E1533" s="576"/>
      <c r="F1533" s="568"/>
      <c r="G1533" s="568"/>
      <c r="H1533" s="911"/>
      <c r="I1533" s="615">
        <f>SUM(I1531:I1532)</f>
        <v>0</v>
      </c>
      <c r="J1533" s="568">
        <f>SUM(J1531:J1532)</f>
        <v>610</v>
      </c>
      <c r="K1533" s="568">
        <f>SUM(K1531:K1532)</f>
        <v>0</v>
      </c>
      <c r="L1533" s="608">
        <f>SUM(I1533:K1533)</f>
        <v>610</v>
      </c>
      <c r="M1533" s="593">
        <f>SUM(M1530:M1532)</f>
        <v>0</v>
      </c>
    </row>
    <row r="1534" spans="1:13" s="752" customFormat="1" ht="15">
      <c r="A1534" s="1461">
        <v>1527</v>
      </c>
      <c r="B1534" s="535"/>
      <c r="C1534" s="545">
        <v>3</v>
      </c>
      <c r="D1534" s="557" t="s">
        <v>519</v>
      </c>
      <c r="E1534" s="782" t="s">
        <v>799</v>
      </c>
      <c r="F1534" s="553">
        <f>SUM(H1534,L1538)</f>
        <v>330</v>
      </c>
      <c r="G1534" s="553">
        <v>0</v>
      </c>
      <c r="H1534" s="918">
        <v>0</v>
      </c>
      <c r="I1534" s="607"/>
      <c r="J1534" s="538"/>
      <c r="K1534" s="538"/>
      <c r="L1534" s="609"/>
      <c r="M1534" s="586"/>
    </row>
    <row r="1535" spans="1:13" ht="15">
      <c r="A1535" s="1461">
        <v>1528</v>
      </c>
      <c r="B1535" s="811"/>
      <c r="C1535" s="545"/>
      <c r="D1535" s="539" t="s">
        <v>403</v>
      </c>
      <c r="E1535" s="782"/>
      <c r="F1535" s="567"/>
      <c r="G1535" s="567"/>
      <c r="H1535" s="919"/>
      <c r="I1535" s="607"/>
      <c r="J1535" s="538">
        <v>330</v>
      </c>
      <c r="K1535" s="538"/>
      <c r="L1535" s="609">
        <f>SUM(I1535:K1535)</f>
        <v>330</v>
      </c>
      <c r="M1535" s="591"/>
    </row>
    <row r="1536" spans="1:13" ht="15">
      <c r="A1536" s="1461">
        <v>1529</v>
      </c>
      <c r="B1536" s="811"/>
      <c r="C1536" s="545"/>
      <c r="D1536" s="539" t="s">
        <v>957</v>
      </c>
      <c r="E1536" s="782"/>
      <c r="F1536" s="567"/>
      <c r="G1536" s="567"/>
      <c r="H1536" s="919"/>
      <c r="I1536" s="607"/>
      <c r="J1536" s="538">
        <v>330</v>
      </c>
      <c r="K1536" s="538"/>
      <c r="L1536" s="609">
        <f>SUM(I1536:K1536)</f>
        <v>330</v>
      </c>
      <c r="M1536" s="591"/>
    </row>
    <row r="1537" spans="1:13" s="753" customFormat="1" ht="15">
      <c r="A1537" s="1461">
        <v>1530</v>
      </c>
      <c r="B1537" s="812"/>
      <c r="C1537" s="1464"/>
      <c r="D1537" s="541" t="s">
        <v>405</v>
      </c>
      <c r="E1537" s="576"/>
      <c r="F1537" s="568"/>
      <c r="G1537" s="568"/>
      <c r="H1537" s="911"/>
      <c r="I1537" s="610"/>
      <c r="J1537" s="555"/>
      <c r="K1537" s="555"/>
      <c r="L1537" s="611">
        <f>SUM(I1537:K1537)</f>
        <v>0</v>
      </c>
      <c r="M1537" s="594"/>
    </row>
    <row r="1538" spans="1:13" s="754" customFormat="1" ht="15">
      <c r="A1538" s="1461">
        <v>1531</v>
      </c>
      <c r="B1538" s="577"/>
      <c r="C1538" s="1465"/>
      <c r="D1538" s="542" t="s">
        <v>1067</v>
      </c>
      <c r="E1538" s="779"/>
      <c r="F1538" s="557"/>
      <c r="G1538" s="557"/>
      <c r="H1538" s="913"/>
      <c r="I1538" s="615">
        <f>SUM(I1536:I1537)</f>
        <v>0</v>
      </c>
      <c r="J1538" s="568">
        <f>SUM(J1536:J1537)</f>
        <v>330</v>
      </c>
      <c r="K1538" s="568">
        <f>SUM(K1536:K1537)</f>
        <v>0</v>
      </c>
      <c r="L1538" s="608">
        <f>SUM(I1538:K1538)</f>
        <v>330</v>
      </c>
      <c r="M1538" s="593">
        <f>SUM(M1535:M1537)</f>
        <v>0</v>
      </c>
    </row>
    <row r="1539" spans="1:13" s="752" customFormat="1" ht="15">
      <c r="A1539" s="1461">
        <v>1532</v>
      </c>
      <c r="B1539" s="535"/>
      <c r="C1539" s="545">
        <v>4</v>
      </c>
      <c r="D1539" s="557" t="s">
        <v>518</v>
      </c>
      <c r="E1539" s="782" t="s">
        <v>799</v>
      </c>
      <c r="F1539" s="553">
        <f>SUM(H1539,L1543)</f>
        <v>560</v>
      </c>
      <c r="G1539" s="553">
        <v>0</v>
      </c>
      <c r="H1539" s="918">
        <v>0</v>
      </c>
      <c r="I1539" s="607"/>
      <c r="J1539" s="538"/>
      <c r="K1539" s="538"/>
      <c r="L1539" s="609"/>
      <c r="M1539" s="586"/>
    </row>
    <row r="1540" spans="1:13" ht="15">
      <c r="A1540" s="1461">
        <v>1533</v>
      </c>
      <c r="B1540" s="811"/>
      <c r="C1540" s="545"/>
      <c r="D1540" s="539" t="s">
        <v>403</v>
      </c>
      <c r="E1540" s="782"/>
      <c r="F1540" s="567"/>
      <c r="G1540" s="567"/>
      <c r="H1540" s="919"/>
      <c r="I1540" s="607"/>
      <c r="J1540" s="538">
        <v>560</v>
      </c>
      <c r="K1540" s="538"/>
      <c r="L1540" s="609">
        <f>SUM(I1540:K1540)</f>
        <v>560</v>
      </c>
      <c r="M1540" s="591"/>
    </row>
    <row r="1541" spans="1:13" ht="15">
      <c r="A1541" s="1461">
        <v>1534</v>
      </c>
      <c r="B1541" s="811"/>
      <c r="C1541" s="545"/>
      <c r="D1541" s="539" t="s">
        <v>957</v>
      </c>
      <c r="E1541" s="782"/>
      <c r="F1541" s="567"/>
      <c r="G1541" s="567"/>
      <c r="H1541" s="919"/>
      <c r="I1541" s="607"/>
      <c r="J1541" s="538">
        <v>560</v>
      </c>
      <c r="K1541" s="538"/>
      <c r="L1541" s="609">
        <f>SUM(I1541:K1541)</f>
        <v>560</v>
      </c>
      <c r="M1541" s="591"/>
    </row>
    <row r="1542" spans="1:13" s="753" customFormat="1" ht="15">
      <c r="A1542" s="1461">
        <v>1535</v>
      </c>
      <c r="B1542" s="812"/>
      <c r="C1542" s="1464"/>
      <c r="D1542" s="541" t="s">
        <v>405</v>
      </c>
      <c r="E1542" s="576"/>
      <c r="F1542" s="568"/>
      <c r="G1542" s="568"/>
      <c r="H1542" s="911"/>
      <c r="I1542" s="610"/>
      <c r="J1542" s="555"/>
      <c r="K1542" s="555"/>
      <c r="L1542" s="611">
        <f>SUM(I1542:K1542)</f>
        <v>0</v>
      </c>
      <c r="M1542" s="594"/>
    </row>
    <row r="1543" spans="1:13" s="754" customFormat="1" ht="15">
      <c r="A1543" s="1461">
        <v>1536</v>
      </c>
      <c r="B1543" s="577"/>
      <c r="C1543" s="1465"/>
      <c r="D1543" s="542" t="s">
        <v>1067</v>
      </c>
      <c r="E1543" s="782"/>
      <c r="F1543" s="537"/>
      <c r="G1543" s="537"/>
      <c r="H1543" s="917"/>
      <c r="I1543" s="615">
        <f>SUM(I1541:I1542)</f>
        <v>0</v>
      </c>
      <c r="J1543" s="568">
        <f>SUM(J1541:J1542)</f>
        <v>560</v>
      </c>
      <c r="K1543" s="568">
        <f>SUM(K1541:K1542)</f>
        <v>0</v>
      </c>
      <c r="L1543" s="608">
        <f>SUM(I1543:K1543)</f>
        <v>560</v>
      </c>
      <c r="M1543" s="593">
        <f>SUM(M1540:M1542)</f>
        <v>0</v>
      </c>
    </row>
    <row r="1544" spans="1:13" s="752" customFormat="1" ht="15">
      <c r="A1544" s="1461">
        <v>1537</v>
      </c>
      <c r="B1544" s="535"/>
      <c r="C1544" s="545">
        <v>5</v>
      </c>
      <c r="D1544" s="557" t="s">
        <v>938</v>
      </c>
      <c r="E1544" s="782" t="s">
        <v>799</v>
      </c>
      <c r="F1544" s="553">
        <f>SUM(H1544,L1547)</f>
        <v>1650</v>
      </c>
      <c r="G1544" s="557">
        <v>0</v>
      </c>
      <c r="H1544" s="913">
        <v>0</v>
      </c>
      <c r="I1544" s="607"/>
      <c r="J1544" s="538"/>
      <c r="K1544" s="538"/>
      <c r="L1544" s="609"/>
      <c r="M1544" s="586"/>
    </row>
    <row r="1545" spans="1:13" ht="15">
      <c r="A1545" s="1461">
        <v>1538</v>
      </c>
      <c r="B1545" s="811"/>
      <c r="C1545" s="545"/>
      <c r="D1545" s="539" t="s">
        <v>957</v>
      </c>
      <c r="E1545" s="782"/>
      <c r="F1545" s="567"/>
      <c r="G1545" s="567"/>
      <c r="H1545" s="919"/>
      <c r="I1545" s="607"/>
      <c r="J1545" s="538">
        <v>1650</v>
      </c>
      <c r="K1545" s="538"/>
      <c r="L1545" s="609">
        <f>SUM(I1545:K1545)</f>
        <v>1650</v>
      </c>
      <c r="M1545" s="591"/>
    </row>
    <row r="1546" spans="1:13" s="753" customFormat="1" ht="15">
      <c r="A1546" s="1461">
        <v>1539</v>
      </c>
      <c r="B1546" s="812"/>
      <c r="C1546" s="1464"/>
      <c r="D1546" s="541" t="s">
        <v>405</v>
      </c>
      <c r="E1546" s="576"/>
      <c r="F1546" s="568"/>
      <c r="G1546" s="568"/>
      <c r="H1546" s="911"/>
      <c r="I1546" s="610"/>
      <c r="J1546" s="555"/>
      <c r="K1546" s="555"/>
      <c r="L1546" s="611">
        <f>SUM(I1546:K1546)</f>
        <v>0</v>
      </c>
      <c r="M1546" s="594"/>
    </row>
    <row r="1547" spans="1:13" s="754" customFormat="1" ht="15">
      <c r="A1547" s="1461">
        <v>1540</v>
      </c>
      <c r="B1547" s="577"/>
      <c r="C1547" s="1465"/>
      <c r="D1547" s="542" t="s">
        <v>939</v>
      </c>
      <c r="E1547" s="782"/>
      <c r="F1547" s="537"/>
      <c r="G1547" s="568"/>
      <c r="H1547" s="911"/>
      <c r="I1547" s="615">
        <f>SUM(I1545:I1546)</f>
        <v>0</v>
      </c>
      <c r="J1547" s="568">
        <f>SUM(J1545:J1546)</f>
        <v>1650</v>
      </c>
      <c r="K1547" s="568">
        <f>SUM(K1545:K1546)</f>
        <v>0</v>
      </c>
      <c r="L1547" s="608">
        <f>SUM(I1547:K1547)</f>
        <v>1650</v>
      </c>
      <c r="M1547" s="593">
        <v>0</v>
      </c>
    </row>
    <row r="1548" spans="1:13" ht="15">
      <c r="A1548" s="1461">
        <v>1541</v>
      </c>
      <c r="B1548" s="811"/>
      <c r="C1548" s="545">
        <v>6</v>
      </c>
      <c r="D1548" s="539" t="s">
        <v>442</v>
      </c>
      <c r="E1548" s="782" t="s">
        <v>799</v>
      </c>
      <c r="F1548" s="553">
        <f>SUM(H1548,L1551)</f>
        <v>450</v>
      </c>
      <c r="G1548" s="562">
        <v>0</v>
      </c>
      <c r="H1548" s="914">
        <v>0</v>
      </c>
      <c r="I1548" s="607"/>
      <c r="J1548" s="538"/>
      <c r="K1548" s="538"/>
      <c r="L1548" s="608">
        <f aca="true" t="shared" si="23" ref="L1548:L1559">SUM(I1548:K1548)</f>
        <v>0</v>
      </c>
      <c r="M1548" s="591"/>
    </row>
    <row r="1549" spans="1:13" s="752" customFormat="1" ht="15">
      <c r="A1549" s="1461">
        <v>1542</v>
      </c>
      <c r="B1549" s="811"/>
      <c r="C1549" s="545"/>
      <c r="D1549" s="539" t="s">
        <v>957</v>
      </c>
      <c r="E1549" s="782"/>
      <c r="F1549" s="562"/>
      <c r="G1549" s="557"/>
      <c r="H1549" s="791"/>
      <c r="I1549" s="607"/>
      <c r="J1549" s="538">
        <v>450</v>
      </c>
      <c r="K1549" s="538"/>
      <c r="L1549" s="609">
        <f t="shared" si="23"/>
        <v>450</v>
      </c>
      <c r="M1549" s="586"/>
    </row>
    <row r="1550" spans="1:13" s="753" customFormat="1" ht="15">
      <c r="A1550" s="1461">
        <v>1543</v>
      </c>
      <c r="B1550" s="812"/>
      <c r="C1550" s="1464"/>
      <c r="D1550" s="541" t="s">
        <v>74</v>
      </c>
      <c r="E1550" s="805"/>
      <c r="F1550" s="806"/>
      <c r="G1550" s="567"/>
      <c r="H1550" s="745"/>
      <c r="I1550" s="610"/>
      <c r="J1550" s="555"/>
      <c r="K1550" s="555"/>
      <c r="L1550" s="611">
        <f t="shared" si="23"/>
        <v>0</v>
      </c>
      <c r="M1550" s="594"/>
    </row>
    <row r="1551" spans="1:13" s="754" customFormat="1" ht="15">
      <c r="A1551" s="1461">
        <v>1544</v>
      </c>
      <c r="B1551" s="577"/>
      <c r="C1551" s="1465"/>
      <c r="D1551" s="542" t="s">
        <v>1067</v>
      </c>
      <c r="E1551" s="576"/>
      <c r="F1551" s="568"/>
      <c r="G1551" s="568"/>
      <c r="H1551" s="746"/>
      <c r="I1551" s="615">
        <f>SUM(I1549:I1550)</f>
        <v>0</v>
      </c>
      <c r="J1551" s="568">
        <f>SUM(J1549:J1550)</f>
        <v>450</v>
      </c>
      <c r="K1551" s="568">
        <f>SUM(K1549:K1550)</f>
        <v>0</v>
      </c>
      <c r="L1551" s="608">
        <f t="shared" si="23"/>
        <v>450</v>
      </c>
      <c r="M1551" s="593">
        <v>0</v>
      </c>
    </row>
    <row r="1552" spans="1:13" ht="30">
      <c r="A1552" s="1461">
        <v>1545</v>
      </c>
      <c r="B1552" s="566"/>
      <c r="C1552" s="1463">
        <v>7</v>
      </c>
      <c r="D1552" s="539" t="s">
        <v>1232</v>
      </c>
      <c r="E1552" s="782" t="s">
        <v>799</v>
      </c>
      <c r="F1552" s="553">
        <f>SUM(H1552,L1555)</f>
        <v>1050</v>
      </c>
      <c r="G1552" s="562">
        <v>0</v>
      </c>
      <c r="H1552" s="914">
        <v>0</v>
      </c>
      <c r="I1552" s="607"/>
      <c r="J1552" s="538"/>
      <c r="K1552" s="538"/>
      <c r="L1552" s="608">
        <f t="shared" si="23"/>
        <v>0</v>
      </c>
      <c r="M1552" s="591"/>
    </row>
    <row r="1553" spans="1:13" s="752" customFormat="1" ht="15">
      <c r="A1553" s="1461">
        <v>1546</v>
      </c>
      <c r="B1553" s="811"/>
      <c r="C1553" s="545"/>
      <c r="D1553" s="539" t="s">
        <v>957</v>
      </c>
      <c r="E1553" s="782"/>
      <c r="F1553" s="562"/>
      <c r="G1553" s="557"/>
      <c r="H1553" s="791"/>
      <c r="I1553" s="607"/>
      <c r="J1553" s="538">
        <v>1050</v>
      </c>
      <c r="K1553" s="538"/>
      <c r="L1553" s="609">
        <f t="shared" si="23"/>
        <v>1050</v>
      </c>
      <c r="M1553" s="586"/>
    </row>
    <row r="1554" spans="1:13" s="753" customFormat="1" ht="15">
      <c r="A1554" s="1461">
        <v>1547</v>
      </c>
      <c r="B1554" s="812"/>
      <c r="C1554" s="1464"/>
      <c r="D1554" s="541" t="s">
        <v>74</v>
      </c>
      <c r="E1554" s="805"/>
      <c r="F1554" s="806"/>
      <c r="G1554" s="567"/>
      <c r="H1554" s="745"/>
      <c r="I1554" s="610"/>
      <c r="J1554" s="555"/>
      <c r="K1554" s="555"/>
      <c r="L1554" s="611">
        <f t="shared" si="23"/>
        <v>0</v>
      </c>
      <c r="M1554" s="594"/>
    </row>
    <row r="1555" spans="1:14" s="754" customFormat="1" ht="15">
      <c r="A1555" s="1461">
        <v>1548</v>
      </c>
      <c r="B1555" s="577"/>
      <c r="C1555" s="1465"/>
      <c r="D1555" s="542" t="s">
        <v>1067</v>
      </c>
      <c r="E1555" s="576"/>
      <c r="F1555" s="568"/>
      <c r="G1555" s="568"/>
      <c r="H1555" s="746"/>
      <c r="I1555" s="615">
        <f>SUM(I1553:I1554)</f>
        <v>0</v>
      </c>
      <c r="J1555" s="568">
        <f>SUM(J1553:J1554)</f>
        <v>1050</v>
      </c>
      <c r="K1555" s="568">
        <f>SUM(K1553:K1554)</f>
        <v>0</v>
      </c>
      <c r="L1555" s="608">
        <f t="shared" si="23"/>
        <v>1050</v>
      </c>
      <c r="M1555" s="593">
        <v>0</v>
      </c>
      <c r="N1555" s="754">
        <f>J1550+J1554</f>
        <v>0</v>
      </c>
    </row>
    <row r="1556" spans="1:13" ht="15">
      <c r="A1556" s="1461">
        <v>1549</v>
      </c>
      <c r="B1556" s="811"/>
      <c r="C1556" s="545">
        <v>8</v>
      </c>
      <c r="D1556" s="539" t="s">
        <v>964</v>
      </c>
      <c r="E1556" s="782" t="s">
        <v>799</v>
      </c>
      <c r="F1556" s="553">
        <f>SUM(H1556,L1559)</f>
        <v>1050</v>
      </c>
      <c r="G1556" s="562">
        <v>0</v>
      </c>
      <c r="H1556" s="914">
        <v>0</v>
      </c>
      <c r="I1556" s="607"/>
      <c r="J1556" s="538"/>
      <c r="K1556" s="538"/>
      <c r="L1556" s="608"/>
      <c r="M1556" s="591"/>
    </row>
    <row r="1557" spans="1:13" s="752" customFormat="1" ht="15">
      <c r="A1557" s="1461">
        <v>1550</v>
      </c>
      <c r="B1557" s="811"/>
      <c r="C1557" s="545"/>
      <c r="D1557" s="539" t="s">
        <v>957</v>
      </c>
      <c r="E1557" s="782"/>
      <c r="F1557" s="562"/>
      <c r="G1557" s="557"/>
      <c r="H1557" s="791"/>
      <c r="I1557" s="607"/>
      <c r="J1557" s="538">
        <v>1050</v>
      </c>
      <c r="K1557" s="538"/>
      <c r="L1557" s="609">
        <f t="shared" si="23"/>
        <v>1050</v>
      </c>
      <c r="M1557" s="586"/>
    </row>
    <row r="1558" spans="1:13" s="753" customFormat="1" ht="15">
      <c r="A1558" s="1461">
        <v>1551</v>
      </c>
      <c r="B1558" s="812"/>
      <c r="C1558" s="1464"/>
      <c r="D1558" s="541" t="s">
        <v>405</v>
      </c>
      <c r="E1558" s="805"/>
      <c r="F1558" s="806"/>
      <c r="G1558" s="567"/>
      <c r="H1558" s="745"/>
      <c r="I1558" s="610"/>
      <c r="J1558" s="555"/>
      <c r="K1558" s="555"/>
      <c r="L1558" s="611">
        <f t="shared" si="23"/>
        <v>0</v>
      </c>
      <c r="M1558" s="594"/>
    </row>
    <row r="1559" spans="1:13" s="754" customFormat="1" ht="15">
      <c r="A1559" s="1461">
        <v>1552</v>
      </c>
      <c r="B1559" s="577"/>
      <c r="C1559" s="1465"/>
      <c r="D1559" s="542" t="s">
        <v>1067</v>
      </c>
      <c r="E1559" s="576"/>
      <c r="F1559" s="568"/>
      <c r="G1559" s="568"/>
      <c r="H1559" s="746"/>
      <c r="I1559" s="568">
        <f>SUM(I1557:I1558)</f>
        <v>0</v>
      </c>
      <c r="J1559" s="568">
        <f>SUM(J1557:J1558)</f>
        <v>1050</v>
      </c>
      <c r="K1559" s="568">
        <f>SUM(K1557:K1558)</f>
        <v>0</v>
      </c>
      <c r="L1559" s="608">
        <f t="shared" si="23"/>
        <v>1050</v>
      </c>
      <c r="M1559" s="593">
        <v>0</v>
      </c>
    </row>
    <row r="1560" spans="1:13" s="752" customFormat="1" ht="15">
      <c r="A1560" s="1461">
        <v>1553</v>
      </c>
      <c r="B1560" s="535">
        <v>17</v>
      </c>
      <c r="C1560" s="545"/>
      <c r="D1560" s="536" t="s">
        <v>365</v>
      </c>
      <c r="E1560" s="779"/>
      <c r="F1560" s="557"/>
      <c r="G1560" s="557"/>
      <c r="H1560" s="913"/>
      <c r="I1560" s="607"/>
      <c r="J1560" s="538"/>
      <c r="K1560" s="538"/>
      <c r="L1560" s="609"/>
      <c r="M1560" s="589"/>
    </row>
    <row r="1561" spans="1:13" s="752" customFormat="1" ht="15">
      <c r="A1561" s="1461">
        <v>1554</v>
      </c>
      <c r="B1561" s="811"/>
      <c r="C1561" s="545">
        <v>1</v>
      </c>
      <c r="D1561" s="557" t="s">
        <v>343</v>
      </c>
      <c r="E1561" s="782" t="s">
        <v>799</v>
      </c>
      <c r="F1561" s="562">
        <f>SUM(G1561,H1561,L1565)</f>
        <v>25887</v>
      </c>
      <c r="G1561" s="562">
        <v>0</v>
      </c>
      <c r="H1561" s="918">
        <v>0</v>
      </c>
      <c r="I1561" s="607"/>
      <c r="J1561" s="538"/>
      <c r="K1561" s="538"/>
      <c r="L1561" s="609"/>
      <c r="M1561" s="586"/>
    </row>
    <row r="1562" spans="1:13" ht="15">
      <c r="A1562" s="1461">
        <v>1555</v>
      </c>
      <c r="B1562" s="811"/>
      <c r="C1562" s="545"/>
      <c r="D1562" s="539" t="s">
        <v>403</v>
      </c>
      <c r="E1562" s="788"/>
      <c r="F1562" s="796"/>
      <c r="G1562" s="796"/>
      <c r="H1562" s="920"/>
      <c r="I1562" s="607">
        <v>19833</v>
      </c>
      <c r="J1562" s="538"/>
      <c r="K1562" s="538"/>
      <c r="L1562" s="609">
        <f>SUM(I1562:K1562)</f>
        <v>19833</v>
      </c>
      <c r="M1562" s="591"/>
    </row>
    <row r="1563" spans="1:13" ht="15">
      <c r="A1563" s="1461">
        <v>1556</v>
      </c>
      <c r="B1563" s="811"/>
      <c r="C1563" s="545"/>
      <c r="D1563" s="539" t="s">
        <v>957</v>
      </c>
      <c r="E1563" s="788"/>
      <c r="F1563" s="796"/>
      <c r="G1563" s="796"/>
      <c r="H1563" s="920"/>
      <c r="I1563" s="607">
        <v>25887</v>
      </c>
      <c r="J1563" s="538"/>
      <c r="K1563" s="538"/>
      <c r="L1563" s="609">
        <f>SUM(I1563:K1563)</f>
        <v>25887</v>
      </c>
      <c r="M1563" s="591"/>
    </row>
    <row r="1564" spans="1:13" s="753" customFormat="1" ht="15">
      <c r="A1564" s="1461">
        <v>1557</v>
      </c>
      <c r="B1564" s="812"/>
      <c r="C1564" s="1464"/>
      <c r="D1564" s="541" t="s">
        <v>405</v>
      </c>
      <c r="E1564" s="782"/>
      <c r="F1564" s="567"/>
      <c r="G1564" s="567"/>
      <c r="H1564" s="919"/>
      <c r="I1564" s="610"/>
      <c r="J1564" s="555"/>
      <c r="K1564" s="555"/>
      <c r="L1564" s="611">
        <f>SUM(I1564:K1564)</f>
        <v>0</v>
      </c>
      <c r="M1564" s="594"/>
    </row>
    <row r="1565" spans="1:13" s="755" customFormat="1" ht="15">
      <c r="A1565" s="1461">
        <v>1558</v>
      </c>
      <c r="B1565" s="577"/>
      <c r="C1565" s="1465"/>
      <c r="D1565" s="542" t="s">
        <v>1067</v>
      </c>
      <c r="E1565" s="576"/>
      <c r="F1565" s="578"/>
      <c r="G1565" s="578"/>
      <c r="H1565" s="921"/>
      <c r="I1565" s="618">
        <f>SUM(I1563:I1564)</f>
        <v>25887</v>
      </c>
      <c r="J1565" s="578">
        <f>SUM(J1563:J1564)</f>
        <v>0</v>
      </c>
      <c r="K1565" s="578">
        <f>SUM(K1563:K1564)</f>
        <v>0</v>
      </c>
      <c r="L1565" s="608">
        <f>SUM(I1565:K1565)</f>
        <v>25887</v>
      </c>
      <c r="M1565" s="597">
        <f>SUM(M1562:M1564)</f>
        <v>0</v>
      </c>
    </row>
    <row r="1566" spans="1:13" s="752" customFormat="1" ht="30">
      <c r="A1566" s="1461">
        <v>1559</v>
      </c>
      <c r="B1566" s="535"/>
      <c r="C1566" s="545">
        <v>2</v>
      </c>
      <c r="D1566" s="557" t="s">
        <v>944</v>
      </c>
      <c r="E1566" s="782" t="s">
        <v>799</v>
      </c>
      <c r="F1566" s="562">
        <f>SUM(G1566,H1566,L1569)</f>
        <v>2000</v>
      </c>
      <c r="G1566" s="557">
        <v>0</v>
      </c>
      <c r="H1566" s="913">
        <v>0</v>
      </c>
      <c r="I1566" s="607"/>
      <c r="J1566" s="538"/>
      <c r="K1566" s="538"/>
      <c r="L1566" s="609"/>
      <c r="M1566" s="586"/>
    </row>
    <row r="1567" spans="1:13" ht="15">
      <c r="A1567" s="1461">
        <v>1560</v>
      </c>
      <c r="B1567" s="811"/>
      <c r="C1567" s="545"/>
      <c r="D1567" s="539" t="s">
        <v>957</v>
      </c>
      <c r="E1567" s="788"/>
      <c r="F1567" s="796"/>
      <c r="G1567" s="796"/>
      <c r="H1567" s="920"/>
      <c r="I1567" s="607"/>
      <c r="J1567" s="538">
        <v>2000</v>
      </c>
      <c r="K1567" s="538"/>
      <c r="L1567" s="609">
        <f>SUM(I1567:K1567)</f>
        <v>2000</v>
      </c>
      <c r="M1567" s="591"/>
    </row>
    <row r="1568" spans="1:13" s="753" customFormat="1" ht="15">
      <c r="A1568" s="1461">
        <v>1561</v>
      </c>
      <c r="B1568" s="812"/>
      <c r="C1568" s="1464"/>
      <c r="D1568" s="541" t="s">
        <v>405</v>
      </c>
      <c r="E1568" s="782"/>
      <c r="F1568" s="567"/>
      <c r="G1568" s="567"/>
      <c r="H1568" s="919"/>
      <c r="I1568" s="610"/>
      <c r="J1568" s="555"/>
      <c r="K1568" s="555"/>
      <c r="L1568" s="611">
        <f>SUM(I1568:K1568)</f>
        <v>0</v>
      </c>
      <c r="M1568" s="594"/>
    </row>
    <row r="1569" spans="1:13" s="754" customFormat="1" ht="15">
      <c r="A1569" s="1461">
        <v>1562</v>
      </c>
      <c r="B1569" s="577"/>
      <c r="C1569" s="1465"/>
      <c r="D1569" s="542" t="s">
        <v>1067</v>
      </c>
      <c r="E1569" s="782"/>
      <c r="F1569" s="537"/>
      <c r="G1569" s="568"/>
      <c r="H1569" s="911"/>
      <c r="I1569" s="618">
        <f>SUM(I1567:I1568)</f>
        <v>0</v>
      </c>
      <c r="J1569" s="568">
        <f>SUM(J1567:J1568)</f>
        <v>2000</v>
      </c>
      <c r="K1569" s="568">
        <f>SUM(K1567:K1568)</f>
        <v>0</v>
      </c>
      <c r="L1569" s="608">
        <f>SUM(I1569:K1569)</f>
        <v>2000</v>
      </c>
      <c r="M1569" s="593">
        <v>0</v>
      </c>
    </row>
    <row r="1570" spans="1:13" s="752" customFormat="1" ht="15">
      <c r="A1570" s="1461">
        <v>1563</v>
      </c>
      <c r="B1570" s="566"/>
      <c r="C1570" s="1463">
        <v>1</v>
      </c>
      <c r="D1570" s="744" t="s">
        <v>1231</v>
      </c>
      <c r="E1570" s="557" t="s">
        <v>799</v>
      </c>
      <c r="F1570" s="562">
        <f>SUM(G1570,H1570,L1573)</f>
        <v>386</v>
      </c>
      <c r="G1570" s="557">
        <v>0</v>
      </c>
      <c r="H1570" s="913">
        <v>0</v>
      </c>
      <c r="I1570" s="607"/>
      <c r="J1570" s="538"/>
      <c r="K1570" s="538"/>
      <c r="L1570" s="609"/>
      <c r="M1570" s="586"/>
    </row>
    <row r="1571" spans="1:13" s="752" customFormat="1" ht="15">
      <c r="A1571" s="1461">
        <v>1564</v>
      </c>
      <c r="B1571" s="811"/>
      <c r="C1571" s="545"/>
      <c r="D1571" s="539" t="s">
        <v>957</v>
      </c>
      <c r="E1571" s="557"/>
      <c r="F1571" s="557"/>
      <c r="G1571" s="557"/>
      <c r="H1571" s="913"/>
      <c r="I1571" s="607"/>
      <c r="J1571" s="538">
        <v>386</v>
      </c>
      <c r="K1571" s="538"/>
      <c r="L1571" s="609">
        <f>SUM(I1571:K1571)</f>
        <v>386</v>
      </c>
      <c r="M1571" s="586"/>
    </row>
    <row r="1572" spans="1:13" s="753" customFormat="1" ht="15">
      <c r="A1572" s="1461">
        <v>1565</v>
      </c>
      <c r="B1572" s="812"/>
      <c r="C1572" s="1464"/>
      <c r="D1572" s="541" t="s">
        <v>405</v>
      </c>
      <c r="E1572" s="782"/>
      <c r="F1572" s="567"/>
      <c r="G1572" s="567"/>
      <c r="H1572" s="919"/>
      <c r="I1572" s="610"/>
      <c r="J1572" s="555"/>
      <c r="K1572" s="555"/>
      <c r="L1572" s="611">
        <f>SUM(I1572:K1572)</f>
        <v>0</v>
      </c>
      <c r="M1572" s="594"/>
    </row>
    <row r="1573" spans="1:13" s="754" customFormat="1" ht="15">
      <c r="A1573" s="1461">
        <v>1566</v>
      </c>
      <c r="B1573" s="577"/>
      <c r="C1573" s="1465"/>
      <c r="D1573" s="542" t="s">
        <v>1067</v>
      </c>
      <c r="E1573" s="782"/>
      <c r="F1573" s="537"/>
      <c r="G1573" s="568"/>
      <c r="H1573" s="911"/>
      <c r="I1573" s="618">
        <f>SUM(I1571:I1572)</f>
        <v>0</v>
      </c>
      <c r="J1573" s="568">
        <f>SUM(J1571:J1572)</f>
        <v>386</v>
      </c>
      <c r="K1573" s="568">
        <f>SUM(K1571:K1572)</f>
        <v>0</v>
      </c>
      <c r="L1573" s="608">
        <f>SUM(I1573:K1573)</f>
        <v>386</v>
      </c>
      <c r="M1573" s="593">
        <f>SUM(M1572)</f>
        <v>0</v>
      </c>
    </row>
    <row r="1574" spans="1:13" ht="15">
      <c r="A1574" s="1461">
        <v>1567</v>
      </c>
      <c r="B1574" s="811"/>
      <c r="C1574" s="545">
        <v>2</v>
      </c>
      <c r="D1574" s="539" t="s">
        <v>1127</v>
      </c>
      <c r="E1574" s="782" t="s">
        <v>799</v>
      </c>
      <c r="F1574" s="562">
        <f>SUM(G1574,H1574,L1577)</f>
        <v>1059</v>
      </c>
      <c r="G1574" s="562">
        <v>0</v>
      </c>
      <c r="H1574" s="914">
        <v>0</v>
      </c>
      <c r="I1574" s="607"/>
      <c r="J1574" s="538"/>
      <c r="K1574" s="538"/>
      <c r="L1574" s="608">
        <f>SUM(I1574:K1574)</f>
        <v>0</v>
      </c>
      <c r="M1574" s="591"/>
    </row>
    <row r="1575" spans="1:13" s="752" customFormat="1" ht="15">
      <c r="A1575" s="1461">
        <v>1568</v>
      </c>
      <c r="B1575" s="811"/>
      <c r="C1575" s="545"/>
      <c r="D1575" s="539" t="s">
        <v>957</v>
      </c>
      <c r="E1575" s="782"/>
      <c r="F1575" s="562"/>
      <c r="G1575" s="557"/>
      <c r="H1575" s="791"/>
      <c r="I1575" s="607"/>
      <c r="J1575" s="538">
        <v>983</v>
      </c>
      <c r="K1575" s="538"/>
      <c r="L1575" s="609">
        <f>SUM(I1575:K1575)</f>
        <v>983</v>
      </c>
      <c r="M1575" s="586"/>
    </row>
    <row r="1576" spans="1:13" s="753" customFormat="1" ht="15">
      <c r="A1576" s="1461">
        <v>1569</v>
      </c>
      <c r="B1576" s="812"/>
      <c r="C1576" s="1464"/>
      <c r="D1576" s="541" t="s">
        <v>969</v>
      </c>
      <c r="E1576" s="805"/>
      <c r="F1576" s="806"/>
      <c r="G1576" s="567"/>
      <c r="H1576" s="745"/>
      <c r="I1576" s="610"/>
      <c r="J1576" s="555">
        <v>76</v>
      </c>
      <c r="K1576" s="555"/>
      <c r="L1576" s="611">
        <f>SUM(I1576:K1576)</f>
        <v>76</v>
      </c>
      <c r="M1576" s="594"/>
    </row>
    <row r="1577" spans="1:13" s="755" customFormat="1" ht="15">
      <c r="A1577" s="1461">
        <v>1570</v>
      </c>
      <c r="B1577" s="577"/>
      <c r="C1577" s="1465"/>
      <c r="D1577" s="542" t="s">
        <v>1067</v>
      </c>
      <c r="E1577" s="1358"/>
      <c r="F1577" s="578"/>
      <c r="G1577" s="578"/>
      <c r="H1577" s="684"/>
      <c r="I1577" s="618">
        <f>SUM(I1575:I1576)</f>
        <v>0</v>
      </c>
      <c r="J1577" s="578">
        <f>SUM(J1575:J1576)</f>
        <v>1059</v>
      </c>
      <c r="K1577" s="578">
        <f>SUM(K1575:K1576)</f>
        <v>0</v>
      </c>
      <c r="L1577" s="1357">
        <f>SUM(I1577:K1577)</f>
        <v>1059</v>
      </c>
      <c r="M1577" s="597">
        <v>0</v>
      </c>
    </row>
    <row r="1578" spans="1:13" s="758" customFormat="1" ht="15">
      <c r="A1578" s="1461">
        <v>1571</v>
      </c>
      <c r="B1578" s="813"/>
      <c r="C1578" s="1468"/>
      <c r="D1578" s="685" t="s">
        <v>587</v>
      </c>
      <c r="E1578" s="786"/>
      <c r="F1578" s="685">
        <f>SUM(F468:F1577)</f>
        <v>162468</v>
      </c>
      <c r="G1578" s="685">
        <f>SUM(G468:G1577)</f>
        <v>0</v>
      </c>
      <c r="H1578" s="685">
        <f>SUM(H468:H1577)</f>
        <v>0</v>
      </c>
      <c r="I1578" s="1247"/>
      <c r="J1578" s="1248"/>
      <c r="K1578" s="1248"/>
      <c r="L1578" s="1249"/>
      <c r="M1578" s="686"/>
    </row>
    <row r="1579" spans="1:13" s="758" customFormat="1" ht="15">
      <c r="A1579" s="1461">
        <v>1572</v>
      </c>
      <c r="B1579" s="811"/>
      <c r="C1579" s="545"/>
      <c r="D1579" s="573" t="s">
        <v>403</v>
      </c>
      <c r="E1579" s="782"/>
      <c r="F1579" s="547"/>
      <c r="G1579" s="547"/>
      <c r="H1579" s="687"/>
      <c r="I1579" s="1250">
        <f>SUM(I1562+I1540+I1535+I1530+I1525+I1500+I1495+I1490+I1472+I1422+I1417+I1412+I1383+I1361+I1356+I1325+I1311+I1306+I1301+I1279+I1274+I1269+I1264+I1250+I1225+I1208+I1193+I1188+I1183+I1178+I1173+I1144+I1139+I1134+I1068+I1063+I1058+I1004+I946+I941+I936+I931+I926+I921+I916+I874+I869+I864+I859+I854+I849+I844+I839+I834+I829+I799+I794+I789+I759+I734+I729+I724+I719+I714+I656+I587+I582+I577+I572+I567+I562+I557+I552+I547+I542+I522+I469)</f>
        <v>42123</v>
      </c>
      <c r="J1579" s="547">
        <f>SUM(J1562+J1540+J1535+J1530+J1525+J1500+J1495+J1490+J1472+J1422+J1417+J1412+J1383+J1361+J1356+J1325+J1311+J1306+J1301+J1279+J1274+J1269+J1264+J1250+J1225+J1208+J1193+J1188+J1183+J1178+J1173+J1144+J1139+J1134+J1068+J1063+J1058+J1004+J946+J941+J936+J931+J926+J921+J916+J874+J869+J864+J859+J854+J849+J844+J839+J834+J829+J799+J794+J789+J759+J734+J729+J724+J719+J714+J656+J587+J582+J577+J572+J567+J562+J557+J552+J547+J542+J522+J469)</f>
        <v>52088</v>
      </c>
      <c r="K1579" s="547">
        <f>SUM(K1562+K1540+K1535+K1530+K1525+K1500+K1495+K1490+K1472+K1422+K1417+K1412+K1383+K1361+K1356+K1325+K1311+K1306+K1301+K1279+K1274+K1269+K1264+K1250+K1225+K1208+K1193+K1188+K1183+K1178+K1173+K1144+K1139+K1134+K1068+K1063+K1058+K1004+K946+K941+K936+K931+K926+K921+K916+K874+K869+K864+K859+K854+K849+K844+K839+K834+K829+K799+K794+K789+K759+K734+K729+K724+K719+K714+K656+K587+K582+K577+K572+K567+K562+K557+K552+K547+K542+K522+K469)</f>
        <v>0</v>
      </c>
      <c r="L1579" s="1251">
        <f>SUM(I1579:K1579)</f>
        <v>94211</v>
      </c>
      <c r="M1579" s="688">
        <f>SUM(M1562+M1540+M1535+M1530+M1525+M1500+M1495+M1490+M1472+M1422+M1417+M1412+M1383+M1361+M1356+M1325+M1311+M1306+M1301+M1279+M1274+M1269+M1264+M1250+M1225+M1208+M1193+M1188+M1183+M1178+M1173+M1144+M1139+M1134+M1068+M1063+M1058+M1004+M946+M941+M936+M931+M926+M921+M916+M874+M869+M864+M859+M854+M849+M844+M839+M834+M829+M799+M794+M789+M759+M734+M729+M724+M719+M714+M656+M587+M582+M577+M572+M567+M562+M557+M552+M547+M542+M522+M469)</f>
        <v>0</v>
      </c>
    </row>
    <row r="1580" spans="1:13" s="758" customFormat="1" ht="15">
      <c r="A1580" s="1461">
        <v>1573</v>
      </c>
      <c r="B1580" s="811"/>
      <c r="C1580" s="545"/>
      <c r="D1580" s="539" t="s">
        <v>957</v>
      </c>
      <c r="E1580" s="782"/>
      <c r="F1580" s="547"/>
      <c r="G1580" s="547"/>
      <c r="H1580" s="687"/>
      <c r="I1580" s="1250">
        <f>SUM(I1571+I1563+I1541+I1536+I1531+I1526+I1501+I1496+I1491+I1473+I1423+I1418+I1413+I1384+I1362+I1357+I1326+I1312+I1307+I1302+I1280+I1275+I1270+I1265+I1255+I1251+I1226+I1209+I1194+I1189+I1184+I1179+I1174+I1145+I1140+I1135+I1073+I1069+I1064+I1059+I1005+I947+I942+I937+I932+I927+I922+I917+I875+I870+I865+I860+I855+I850+I845+I840+I835+I830+I800+I795+I790+I760+I735+I730+I725+I720+I715+I661+I657+I596+I588+I583+I578+I573+I568+I563+I558+I553+I548+I543+I523+I486+I470)+I1149+I1567+I1545+I1477+I1388+I1009+I1575+I1553+I1549+I1481+I1439+I1435+I1431+I1427+I1378+I1374+I1370+I1366+I1342+I1338+I1334+I1330+I1320+I1316+I1288+I1284+I1246+I1242+I1238+I1234+I1230+I1217+I1213+I1165+I1161+I1157+I1153+I1105+I1101+I1097+I1093+I1089+I1085+I1081+I1077+I1033+I1029+I1025+I1021+I1017+I1013+I999+I995+I991+I987+I975+I959+I955+I951+I899+I895+I891+I887+I883+I879+I824+I808+I804+I784+I780+I776+I772+I768+I764+I681+I677+I673+I669+I665+I628+I624+I620+I612+I608+I604+I600+I531+I527+I513+I509+I505+I501+I497+I490+I1557+I1517+I1513+I1509+I1505+I1485+I1467+I1463+I1459+I1455+I1451+I1447+I1443+I1404+I1400+I1396+I1392+I1351+I1347+I1296+I1292+I1259+I1202+I1198+I1129+I1125+I1121+I1117+I1113+I1109+I1053+I1049+I1045+I1041+I1037+I983+I979+I971+I967+I963+I911+I907+I903+I820+I816+I812+I755+I751+I747+I743+I739+I709+I705+I701+I697+I693+I689+I648+I644+I640+I636+I632+I616+I592+I517+I685</f>
        <v>51028</v>
      </c>
      <c r="J1580" s="547">
        <f>SUM(J1571+J1563+J1541+J1536+J1531+J1526+J1501+J1496+J1491+J1473+J1423+J1418+J1413+J1384+J1362+J1357+J1326+J1312+J1307+J1302+J1280+J1275+J1270+J1265+J1255+J1251+J1226+J1209+J1194+J1189+J1184+J1179+J1174+J1145+J1140+J1135+J1073+J1069+J1064+J1059+J1005+J947+J942+J937+J932+J927+J922+J917+J875+J870+J865+J860+J855+J850+J845+J840+J835+J830+J800+J795+J790+J760+J735+J730+J725+J720+J715+J661+J657+J596+J588+J583+J578+J573+J568+J563+J558+J553+J548+J543+J523+J486+J470)+J1149+J1567+J1545+J1477+J1388+J1009+J1575+J1553+J1549+J1481+J1439+J1435+J1431+J1427+J1378+J1374+J1370+J1366+J1342+J1338+J1334+J1330+J1320+J1316+J1288+J1284+J1246+J1242+J1238+J1234+J1230+J1217+J1213+J1165+J1161+J1157+J1153+J1105+J1101+J1097+J1093+J1089+J1085+J1081+J1077+J1033+J1029+J1025+J1021+J1017+J1013+J999+J995+J991+J987+J975+J959+J955+J951+J899+J895+J891+J887+J883+J879+J824+J808+J804+J784+J780+J776+J772+J768+J764+J681+J677+J673+J669+J665+J628+J624+J620+J612+J608+J604+J600+J531+J527+J513+J509+J505+J501+J497+J490+J1557+J1517+J1513+J1509+J1505+J1485+J1467+J1463+J1459+J1455+J1451+J1447+J1443+J1404+J1400+J1396+J1392+J1351+J1347+J1296+J1292+J1259+J1202+J1198+J1129+J1125+J1121+J1117+J1113+J1109+J1053+J1049+J1045+J1041+J1037+J983+J979+J971+J967+J963+J911+J907+J903+J820+J816+J812+J755+J751+J747+J743+J739+J709+J705+J701+J697+J693+J689+J648+J644+J640+J636+J632+J616+J592+J517+J685</f>
        <v>104103</v>
      </c>
      <c r="K1580" s="547">
        <f>SUM(K1571+K1563+K1541+K1536+K1531+K1526+K1501+K1496+K1491+K1473+K1423+K1418+K1413+K1384+K1362+K1357+K1326+K1312+K1307+K1302+K1280+K1275+K1270+K1265+K1255+K1251+K1226+K1209+K1194+K1189+K1184+K1179+K1174+K1145+K1140+K1135+K1073+K1069+K1064+K1059+K1005+K947+K942+K937+K932+K927+K922+K917+K875+K870+K865+K860+K855+K850+K845+K840+K835+K830+K800+K795+K790+K760+K735+K730+K725+K720+K715+K661+K657+K596+K588+K583+K578+K573+K568+K563+K558+K553+K548+K543+K523+K486+K470)+K1149+K1567+K1545+K1477+K1388+K1009+K1575+K1553+K1549+K1481+K1439+K1435+K1431+K1427+K1378+K1374+K1370+K1366+K1342+K1338+K1334+K1330+K1320+K1316+K1288+K1284+K1246+K1242+K1238+K1234+K1230+K1217+K1213+K1165+K1161+K1157+K1153+K1105+K1101+K1097+K1093+K1089+K1085+K1081+K1077+K1033+K1029+K1025+K1021+K1017+K1013+K999+K995+K991+K987+K975+K959+K955+K951+K899+K895+K891+K887+K883+K879+K824+K808+K804+K784+K780+K776+K772+K768+K764+K681+K677+K673+K669+K665+K628+K624+K620+K612+K608+K604+K600+K531+K527+K513+K509+K505+K501+K497+K490+K1557+K1517+K1513+K1509+K1505+K1485+K1467+K1463+K1459+K1455+K1451+K1447+K1443+K1404+K1400+K1396+K1392+K1351+K1347+K1296+K1292+K1259+K1202+K1198+K1129+K1125+K1121+K1117+K1113+K1109+K1053+K1049+K1045+K1041+K1037+K983+K979+K971+K967+K963+K911+K907+K903+K820+K816+K812+K755+K751+K747+K743+K739+K709+K705+K701+K697+K693+K689+K648+K644+K640+K636+K632+K616+K592+K517+K685</f>
        <v>0</v>
      </c>
      <c r="L1580" s="1252">
        <f>SUM(L1571+L1563+L1541+L1536+L1531+L1526+L1501+L1496+L1491+L1473+L1423+L1418+L1413+L1384+L1362+L1357+L1326+L1312+L1307+L1302+L1280+L1275+L1270+L1265+L1255+L1251+L1226+L1209+L1194+L1189+L1184+L1179+L1174+L1145+L1140+L1135+L1073+L1069+L1064+L1059+L1005+L947+L942+L937+L932+L927+L922+L917+L875+L870+L865+L860+L855+L850+L845+L840+L835+L830+L800+L795+L790+L760+L735+L730+L725+L720+L715+L661+L657+L596+L588+L583+L578+L573+L568+L563+L558+L553+L548+L543+L523+L486+L470)+L1149+L1567+L1545+L1477+L1388+L1009+L1575+L1553+L1549+L1481+L1439+L1435+L1431+L1427+L1378+L1374+L1370+L1366+L1342+L1338+L1334+L1330+L1320+L1316+L1288+L1284+L1246+L1242+L1238+L1234+L1230+L1217+L1213+L1165+L1161+L1157+L1153+L1105+L1101+L1097+L1093+L1089+L1085+L1081+L1077+L1033+L1029+L1025+L1021+L1017+L1013+L999+L995+L991+L987+L975+L959+L955+L951+L899+L895+L891+L887+L883+L879+L824+L808+L804+L784+L780+L776+L772+L768+L764+L681+L677+L673+L669+L665+L628+L624+L620+L612+L608+L604+L600+L531+L527+L513+L509+L505+L501+L497+L490+L1557+L1517+L1513+L1509+L1505+L1485+L1467+L1463+L1459+L1455+L1451+L1447+L1443+L1404+L1400+L1396+L1392+L1351+L1347+L1296+L1292+L1259+L1202+L1198+L1129+L1125+L1121+L1117+L1113+L1109+L1053+L1049+L1045+L1041+L1037+L983+L979+L971+L967+L963+L911+L907+L903+L820+L816+L812+L755+L751+L747+L743+L739+L709+L705+L701+L697+L693+L689+L648+L644+L640+L636+L632+L616+L592+L517+L685</f>
        <v>155131</v>
      </c>
      <c r="M1580" s="688">
        <v>0</v>
      </c>
    </row>
    <row r="1581" spans="1:13" s="759" customFormat="1" ht="15">
      <c r="A1581" s="1461">
        <v>1574</v>
      </c>
      <c r="B1581" s="812"/>
      <c r="C1581" s="1464"/>
      <c r="D1581" s="574" t="s">
        <v>405</v>
      </c>
      <c r="E1581" s="782"/>
      <c r="F1581" s="689"/>
      <c r="G1581" s="689"/>
      <c r="H1581" s="690"/>
      <c r="I1581" s="1253">
        <f>SUM(I1576+I1572+I1568+I1564+I1554+I1550+I1546+I1542+I1537+I1532+I1527+I1502+I1497+I1492+I1482+I1478+I1474+I1440+I1436+I1432+I1428+I1424+I1419+I1414+I1389+I1385+I1379+I1375+I1371+I1367+I1363+I1358+I1343+I1339+I1335+I1331+I1327+I1321+I1317+I1313+I1308+I1303+I1289+I1285+I1281+I1276+I1271+I1266+I1256+I1252+I1247+I1243+I1239+I1235+I1231+I1227+I1218+I1214+I1210+I1195+I1190+I1185+I1180+I1175+I1166+I1162+I1158+I1154+I1150+I1146+I1141+I1136+I1106+I1102+I1098+I1094+I1090+I1086+I1082+I1078+I1074+I1070+I1065+I1060+I1034+I1030+I1026+I1022+I1018+I1014+I1010+I1006+I1000+I996+I992+I988+I976+I960+I956+I952+I948+I943+I938+I933+I928+I923+I918+I900+I896+I892+I888+I884+I880+I876+I871+I866+I861+I856+I851+I846+I841+I836+I831+I825+I809+I805+I801+I796+I791+I785+I781+I777+I773+I769+I765+I761+I736+I731+I726+I721+I716+I682+I678+I674+I670+I666+I662+I658+I629+I625+I621+I613+I609+I605+I601+I597+I589+I584+I579+I574+I569+I564+I559+I554+I549+I544+I532+I528+I524+I514+I510+I506+I502+I498+I491+I487+I471)+I1486+I1558+I1203+I1199+I1348+I1352+I1297+I1293+I1260+I912+I908+I904+I1405+I1401+I1397+I1393+I518+I1110+I1114+I1118+I1122+I1126+I1130+I821+I817+I813+I756+I752+I748+I744+I740+I710+I706+I702+I698+I694+I690+I686+I617+I593+I633+I1054+I1050+I1046+I1042+I1038+I984+I980+I972+I968+I964+I1468+I1464+I1460+I1456+I1452+I1448+I1444+I649+I645+I641+I637+I1506+I1510+I1514+I1518+I652+I538+I535+I494+I483+I480+I477+I474+I1221+I1169+I1408+I1521</f>
        <v>0</v>
      </c>
      <c r="J1581" s="689">
        <f>SUM(J1576+J1572+J1568+J1564+J1554+J1550+J1546+J1542+J1537+J1532+J1527+J1502+J1497+J1492+J1482+J1478+J1474+J1440+J1436+J1432+J1428+J1424+J1419+J1414+J1389+J1385+J1379+J1375+J1371+J1367+J1363+J1358+J1343+J1339+J1335+J1331+J1327+J1321+J1317+J1313+J1308+J1303+J1289+J1285+J1281+J1276+J1271+J1266+J1256+J1252+J1247+J1243+J1239+J1235+J1231+J1227+J1218+J1214+J1210+J1195+J1190+J1185+J1180+J1175+J1166+J1162+J1158+J1154+J1150+J1146+J1141+J1136+J1106+J1102+J1098+J1094+J1090+J1086+J1082+J1078+J1074+J1070+J1065+J1060+J1034+J1030+J1026+J1022+J1018+J1014+J1010+J1006+J1000+J996+J992+J988+J976+J960+J956+J952+J948+J943+J938+J933+J928+J923+J918+J900+J896+J892+J888+J884+J880+J876+J871+J866+J861+J856+J851+J846+J841+J836+J831+J825+J809+J805+J801+J796+J791+J785+J781+J777+J773+J769+J765+J761+J736+J731+J726+J721+J716+J682+J678+J674+J670+J666+J662+J658+J629+J625+J621+J613+J609+J605+J601+J597+J589+J584+J579+J574+J569+J564+J559+J554+J549+J544+J532+J528+J524+J514+J510+J506+J502+J498+J491+J487+J471)+J1486+J1558+J1203+J1199+J1348+J1352+J1297+J1293+J1260+J912+J908+J904+J1405+J1401+J1397+J1393+J518+J1110+J1114+J1118+J1122+J1126+J1130+J821+J817+J813+J756+J752+J748+J744+J740+J710+J706+J702+J698+J694+J690+J686+J617+J593+J633+J1054+J1050+J1046+J1042+J1038+J984+J980+J972+J968+J964+J1468+J1464+J1460+J1456+J1452+J1448+J1444+J649+J645+J641+J637+J1506+J1510+J1514+J1518+J652+J538+J535+J494+J483+J480+J477+J474+J1221+J1169+J1408+J1521</f>
        <v>7337</v>
      </c>
      <c r="K1581" s="689">
        <f>SUM(K1576+K1572+K1568+K1564+K1554+K1550+K1546+K1542+K1537+K1532+K1527+K1502+K1497+K1492+K1482+K1478+K1474+K1440+K1436+K1432+K1428+K1424+K1419+K1414+K1389+K1385+K1379+K1375+K1371+K1367+K1363+K1358+K1343+K1339+K1335+K1331+K1327+K1321+K1317+K1313+K1308+K1303+K1289+K1285+K1281+K1276+K1271+K1266+K1256+K1252+K1247+K1243+K1239+K1235+K1231+K1227+K1218+K1214+K1210+K1195+K1190+K1185+K1180+K1175+K1166+K1162+K1158+K1154+K1150+K1146+K1141+K1136+K1106+K1102+K1098+K1094+K1090+K1086+K1082+K1078+K1074+K1070+K1065+K1060+K1034+K1030+K1026+K1022+K1018+K1014+K1010+K1006+K1000+K996+K992+K988+K976+K960+K956+K952+K948+K943+K938+K933+K928+K923+K918+K900+K896+K892+K888+K884+K880+K876+K871+K866+K861+K856+K851+K846+K841+K836+K831+K825+K809+K805+K801+K796+K791+K785+K781+K777+K773+K769+K765+K761+K736+K731+K726+K721+K716+K682+K678+K674+K670+K666+K662+K658+K629+K625+K621+K613+K609+K605+K601+K597+K589+K584+K579+K574+K569+K564+K559+K554+K549+K544+K532+K528+K524+K514+K510+K506+K502+K498+K491+K487+K471)+K1486+K1558+K1203+K1199+K1348+K1352+K1297+K1293+K1260+K912+K908+K904+K1405+K1401+K1397+K1393+K518+K1110+K1114+K1118+K1122+K1126+K1130+K821+K817+K813+K756+K752+K748+K744+K740+K710+K706+K702+K698+K694+K690+K686+K617+K593+K633+K1054+K1050+K1046+K1042+K1038+K984+K980+K972+K968+K964+K1468+K1464+K1460+K1456+K1452+K1448+K1444+K649+K645+K641+K637+K1506+K1510+K1514+K1518+K652+K538+K535+K494+K483+K480+K477+K474+K1221+K1169+K1408+K1521</f>
        <v>0</v>
      </c>
      <c r="L1581" s="1592">
        <f>SUM(L1576+L1572+L1568+L1564+L1554+L1550+L1546+L1542+L1537+L1532+L1527+L1502+L1497+L1492+L1482+L1478+L1474+L1440+L1436+L1432+L1428+L1424+L1419+L1414+L1389+L1385+L1379+L1375+L1371+L1367+L1363+L1358+L1343+L1339+L1335+L1331+L1327+L1321+L1317+L1313+L1308+L1303+L1289+L1285+L1281+L1276+L1271+L1266+L1256+L1252+L1247+L1243+L1239+L1235+L1231+L1227+L1218+L1214+L1210+L1195+L1190+L1185+L1180+L1175+L1166+L1162+L1158+L1154+L1150+L1146+L1141+L1136+L1106+L1102+L1098+L1094+L1090+L1086+L1082+L1078+L1074+L1070+L1065+L1060+L1034+L1030+L1026+L1022+L1018+L1014+L1010+L1006+L1000+L996+L992+L988+L976+L960+L956+L952+L948+L943+L938+L933+L928+L923+L918+L900+L896+L892+L888+L884+L880+L876+L871+L866+L861+L856+L851+L846+L841+L836+L831+L825+L809+L805+L801+L796+L791+L785+L781+L777+L773+L769+L765+L761+L736+L731+L726+L721+L716+L682+L678+L674+L670+L666+L662+L658+L629+L625+L621+L613+L609+L605+L601+L597+L589+L584+L579+L574+L569+L564+L559+L554+L549+L544+L532+L528+L524+L514+L510+L506+L502+L498+L491+L487+L471)+L1486+L1558+L1203+L1199+L1348+L1352+L1297+L1293+L1260+L912+L908+L904+L1405+L1401+L1397+L1393+L518+L1110+L1114+L1118+L1122+L1126+L1130+L821+L817+L813+L756+L752+L748+L744+L740+L710+L706+L702+L698+L694+L690+L686+L617+L593+L633+L1054+L1050+L1046+L1042+L1038+L984+L980+L972+L968+L964+L1468+L1464+L1460+L1456+L1452+L1448+L1444+L649+L645+L641+L637+L1506+L1510+L1514+L1518+L652+L538+L535+L494+L483+L480+L477+L474+L1221+L1169+L1408+L1521</f>
        <v>7337</v>
      </c>
      <c r="M1581" s="1459">
        <f>M1572+M1568+M1564+M1546+M1542+M1537+M1532+M1527+M1502+M1497+M1492+M1482+M1474+M1440+M1436+M1432+M1428+M1424+M1419+M1414+M1389+M1385+M1363+M1358+M1327+M1313+M1308+M1303+M1281+M1276+M1271+M1266+M1256+M1252+M1227+M1210+M1195+M1190+M1185+M1180+M1175+M1166+M1162+M1158+M1154+M1150+M1146+M1141+M1136+M1106+M1102+M1098+M1094+M1090+M1086+M1082+M1078+M1074+M1070+M1065+M1060+M1034+M1030+M1026+M1022+M1018+M1014+M1010+M1006+M1000+M996+M992+M988+M976+M960+M956+M952+M948+M943+M938+M933+M928+M923+M918+M900+M896+M892+M888+M884+M880+M876+M871+M866+M861+M856+M851+M846+M841+M836+M831+M825+M801+M796+M791+M785+M781+M777+M773+M769+M765+M761+M736+M731+M726+M721+M716+M682+M678+M674+M670+M666+M662+M658+M629+M625+M621+M613+M609+M605+M601+M597+M589+M584+M579+M574+M569+M564+M559+M554+M549+M544+M532+M528+M524+M514+M510+M506+M502+M498+M491+M487+M471+M1576+M1554+M1550+M1343+M1339+M1335+M1331+M1321+M1317+M1289+M1285+M1247+M1243+M1239+M1235+M1231+M1218+M1214+M1379+M1375+M1371+M1367+M809+M805</f>
        <v>0</v>
      </c>
    </row>
    <row r="1582" spans="1:13" s="756" customFormat="1" ht="15.75" thickBot="1">
      <c r="A1582" s="1461">
        <v>1575</v>
      </c>
      <c r="B1582" s="815"/>
      <c r="C1582" s="785"/>
      <c r="D1582" s="575" t="s">
        <v>1067</v>
      </c>
      <c r="E1582" s="787"/>
      <c r="F1582" s="691"/>
      <c r="G1582" s="691"/>
      <c r="H1582" s="692"/>
      <c r="I1582" s="1254">
        <f>SUM(I1580:I1581)</f>
        <v>51028</v>
      </c>
      <c r="J1582" s="691">
        <f>SUM(J1580:J1581)</f>
        <v>111440</v>
      </c>
      <c r="K1582" s="691">
        <f>SUM(K1580:K1581)</f>
        <v>0</v>
      </c>
      <c r="L1582" s="1375">
        <f>SUM(I1582:K1582)</f>
        <v>162468</v>
      </c>
      <c r="M1582" s="693">
        <f>SUM(M1579:M1581)</f>
        <v>0</v>
      </c>
    </row>
    <row r="1583" spans="1:13" s="758" customFormat="1" ht="16.5" thickBot="1" thickTop="1">
      <c r="A1583" s="1461">
        <v>1576</v>
      </c>
      <c r="B1583" s="1198"/>
      <c r="C1583" s="1470"/>
      <c r="D1583" s="1199" t="s">
        <v>876</v>
      </c>
      <c r="E1583" s="1200"/>
      <c r="F1583" s="1201"/>
      <c r="G1583" s="1201"/>
      <c r="H1583" s="1202"/>
      <c r="I1583" s="1213">
        <v>120971</v>
      </c>
      <c r="J1583" s="1214">
        <v>500</v>
      </c>
      <c r="K1583" s="1214">
        <v>0</v>
      </c>
      <c r="L1583" s="1215">
        <v>121471</v>
      </c>
      <c r="M1583" s="1203"/>
    </row>
    <row r="1584" spans="1:13" s="758" customFormat="1" ht="15">
      <c r="A1584" s="1461">
        <v>1577</v>
      </c>
      <c r="B1584" s="1238"/>
      <c r="C1584" s="1471"/>
      <c r="D1584" s="1239" t="s">
        <v>403</v>
      </c>
      <c r="E1584" s="1240"/>
      <c r="F1584" s="1241"/>
      <c r="G1584" s="1241"/>
      <c r="H1584" s="1242"/>
      <c r="I1584" s="1243">
        <f>SUM(I1579,I462)+I1583</f>
        <v>3180180</v>
      </c>
      <c r="J1584" s="1244">
        <f>SUM(J1579,J462)+J1583</f>
        <v>52588</v>
      </c>
      <c r="K1584" s="1244">
        <f>SUM(K1579,K462)+K1583</f>
        <v>1418800</v>
      </c>
      <c r="L1584" s="1245">
        <f>SUM(L1579,L462)+L1583</f>
        <v>4651568</v>
      </c>
      <c r="M1584" s="1246">
        <f>SUM(M1579,M462)+M1583</f>
        <v>7061020</v>
      </c>
    </row>
    <row r="1585" spans="1:13" s="758" customFormat="1" ht="15">
      <c r="A1585" s="1461">
        <v>1578</v>
      </c>
      <c r="B1585" s="811"/>
      <c r="C1585" s="545"/>
      <c r="D1585" s="573" t="s">
        <v>957</v>
      </c>
      <c r="E1585" s="788"/>
      <c r="F1585" s="760"/>
      <c r="G1585" s="760"/>
      <c r="H1585" s="670"/>
      <c r="I1585" s="1204">
        <f aca="true" t="shared" si="24" ref="I1585:M1586">SUM(I1580,I463)</f>
        <v>6449190</v>
      </c>
      <c r="J1585" s="1205">
        <f t="shared" si="24"/>
        <v>117429</v>
      </c>
      <c r="K1585" s="1205">
        <f t="shared" si="24"/>
        <v>27613</v>
      </c>
      <c r="L1585" s="1206">
        <f t="shared" si="24"/>
        <v>6594232</v>
      </c>
      <c r="M1585" s="761">
        <f t="shared" si="24"/>
        <v>7061020</v>
      </c>
    </row>
    <row r="1586" spans="1:13" s="758" customFormat="1" ht="15">
      <c r="A1586" s="1461">
        <v>1579</v>
      </c>
      <c r="B1586" s="811"/>
      <c r="C1586" s="545"/>
      <c r="D1586" s="574" t="s">
        <v>405</v>
      </c>
      <c r="E1586" s="788"/>
      <c r="F1586" s="762"/>
      <c r="G1586" s="762"/>
      <c r="H1586" s="671"/>
      <c r="I1586" s="1207">
        <f t="shared" si="24"/>
        <v>-67290</v>
      </c>
      <c r="J1586" s="1208">
        <f t="shared" si="24"/>
        <v>7372</v>
      </c>
      <c r="K1586" s="1208">
        <f t="shared" si="24"/>
        <v>0</v>
      </c>
      <c r="L1586" s="1209">
        <f t="shared" si="24"/>
        <v>-59918</v>
      </c>
      <c r="M1586" s="763">
        <f t="shared" si="24"/>
        <v>0</v>
      </c>
    </row>
    <row r="1587" spans="1:13" s="758" customFormat="1" ht="15.75" thickBot="1">
      <c r="A1587" s="1461">
        <v>1580</v>
      </c>
      <c r="B1587" s="816"/>
      <c r="C1587" s="1472"/>
      <c r="D1587" s="581" t="s">
        <v>1067</v>
      </c>
      <c r="E1587" s="789"/>
      <c r="F1587" s="764"/>
      <c r="G1587" s="764"/>
      <c r="H1587" s="672"/>
      <c r="I1587" s="1210">
        <f>SUM(I1585:I1586)</f>
        <v>6381900</v>
      </c>
      <c r="J1587" s="1211">
        <f>SUM(J1585:J1586)</f>
        <v>124801</v>
      </c>
      <c r="K1587" s="1211">
        <f>SUM(K1585:K1586)</f>
        <v>27613</v>
      </c>
      <c r="L1587" s="1212">
        <f>SUM(I1587:K1587)</f>
        <v>6534314</v>
      </c>
      <c r="M1587" s="765">
        <f>SUM(M1584:M1586)</f>
        <v>14122040</v>
      </c>
    </row>
    <row r="1588" spans="1:13" s="767" customFormat="1" ht="13.5">
      <c r="A1588" s="1461"/>
      <c r="B1588" s="1360" t="s">
        <v>801</v>
      </c>
      <c r="C1588" s="224"/>
      <c r="E1588" s="790"/>
      <c r="F1588" s="673"/>
      <c r="G1588" s="673"/>
      <c r="H1588" s="673"/>
      <c r="I1588" s="673"/>
      <c r="J1588" s="673"/>
      <c r="K1588" s="673"/>
      <c r="L1588" s="766"/>
      <c r="M1588" s="673"/>
    </row>
    <row r="1589" spans="1:13" s="767" customFormat="1" ht="13.5">
      <c r="A1589" s="1461"/>
      <c r="B1589" s="1360" t="s">
        <v>885</v>
      </c>
      <c r="C1589" s="224"/>
      <c r="D1589" s="549"/>
      <c r="E1589" s="790"/>
      <c r="F1589" s="673"/>
      <c r="G1589" s="673"/>
      <c r="H1589" s="673"/>
      <c r="I1589" s="673"/>
      <c r="J1589" s="673"/>
      <c r="K1589" s="673"/>
      <c r="L1589" s="766"/>
      <c r="M1589" s="673"/>
    </row>
    <row r="1590" spans="1:13" s="767" customFormat="1" ht="13.5">
      <c r="A1590" s="1461"/>
      <c r="B1590" s="1360" t="s">
        <v>886</v>
      </c>
      <c r="C1590" s="224"/>
      <c r="D1590" s="412"/>
      <c r="E1590" s="790"/>
      <c r="F1590" s="673"/>
      <c r="G1590" s="673"/>
      <c r="H1590" s="673"/>
      <c r="I1590" s="673"/>
      <c r="J1590" s="673"/>
      <c r="K1590" s="673"/>
      <c r="L1590" s="766"/>
      <c r="M1590" s="673"/>
    </row>
    <row r="1591" ht="15">
      <c r="D1591" s="412"/>
    </row>
  </sheetData>
  <sheetProtection/>
  <mergeCells count="16">
    <mergeCell ref="D1345:F1345"/>
    <mergeCell ref="B1:D1"/>
    <mergeCell ref="B6:B7"/>
    <mergeCell ref="C6:C7"/>
    <mergeCell ref="F6:F7"/>
    <mergeCell ref="D6:D7"/>
    <mergeCell ref="B2:M2"/>
    <mergeCell ref="B3:M3"/>
    <mergeCell ref="E6:E7"/>
    <mergeCell ref="G6:G7"/>
    <mergeCell ref="K6:K7"/>
    <mergeCell ref="M6:M7"/>
    <mergeCell ref="L6:L7"/>
    <mergeCell ref="H6:H7"/>
    <mergeCell ref="I6:J6"/>
    <mergeCell ref="D520:E520"/>
  </mergeCells>
  <printOptions horizontalCentered="1"/>
  <pageMargins left="0.1968503937007874" right="0.1968503937007874" top="0.5905511811023623" bottom="0.3937007874015748" header="0.5118110236220472" footer="0.5118110236220472"/>
  <pageSetup fitToHeight="12" horizontalDpi="600" verticalDpi="600" orientation="portrait" paperSize="9" scale="55" r:id="rId1"/>
  <rowBreaks count="2" manualBreakCount="2">
    <brk id="465" max="13" man="1"/>
    <brk id="82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25" defaultRowHeight="12.75"/>
  <cols>
    <col min="1" max="1" width="3.125" style="1318" bestFit="1" customWidth="1"/>
    <col min="2" max="3" width="4.00390625" style="148" customWidth="1"/>
    <col min="4" max="4" width="50.75390625" style="150" customWidth="1"/>
    <col min="5" max="5" width="5.75390625" style="151" customWidth="1"/>
    <col min="6" max="9" width="14.75390625" style="152" customWidth="1"/>
    <col min="10" max="10" width="14.75390625" style="632" customWidth="1"/>
    <col min="11" max="11" width="14.75390625" style="421" customWidth="1"/>
    <col min="12" max="12" width="14.75390625" style="152" customWidth="1"/>
    <col min="13" max="16384" width="9.125" style="149" customWidth="1"/>
  </cols>
  <sheetData>
    <row r="1" spans="1:12" s="417" customFormat="1" ht="21.75" customHeight="1">
      <c r="A1" s="1318"/>
      <c r="B1" s="1749" t="s">
        <v>925</v>
      </c>
      <c r="C1" s="1749"/>
      <c r="D1" s="1749"/>
      <c r="E1" s="413"/>
      <c r="F1" s="414"/>
      <c r="G1" s="415"/>
      <c r="H1" s="415"/>
      <c r="I1" s="415"/>
      <c r="J1" s="631"/>
      <c r="K1" s="416"/>
      <c r="L1" s="415"/>
    </row>
    <row r="2" spans="2:12" ht="15">
      <c r="B2" s="1750" t="s">
        <v>460</v>
      </c>
      <c r="C2" s="1750"/>
      <c r="D2" s="1750"/>
      <c r="E2" s="1750"/>
      <c r="F2" s="1750"/>
      <c r="G2" s="1750"/>
      <c r="H2" s="1750"/>
      <c r="I2" s="1750"/>
      <c r="J2" s="1750"/>
      <c r="K2" s="1750"/>
      <c r="L2" s="1750"/>
    </row>
    <row r="3" spans="2:12" ht="15">
      <c r="B3" s="1750" t="s">
        <v>1065</v>
      </c>
      <c r="C3" s="1750"/>
      <c r="D3" s="1750"/>
      <c r="E3" s="1750"/>
      <c r="F3" s="1750"/>
      <c r="G3" s="1750"/>
      <c r="H3" s="1750"/>
      <c r="I3" s="1750"/>
      <c r="J3" s="1750"/>
      <c r="K3" s="1750"/>
      <c r="L3" s="1750"/>
    </row>
    <row r="4" spans="8:12" ht="15">
      <c r="H4" s="1751" t="s">
        <v>135</v>
      </c>
      <c r="I4" s="1751"/>
      <c r="J4" s="1751"/>
      <c r="K4" s="1751"/>
      <c r="L4" s="1751"/>
    </row>
    <row r="5" spans="1:12" s="153" customFormat="1" ht="15.75" thickBot="1">
      <c r="A5" s="1318"/>
      <c r="B5" s="148" t="s">
        <v>146</v>
      </c>
      <c r="C5" s="148" t="s">
        <v>147</v>
      </c>
      <c r="D5" s="151" t="s">
        <v>148</v>
      </c>
      <c r="E5" s="151" t="s">
        <v>149</v>
      </c>
      <c r="F5" s="418" t="s">
        <v>150</v>
      </c>
      <c r="G5" s="418" t="s">
        <v>151</v>
      </c>
      <c r="H5" s="418" t="s">
        <v>152</v>
      </c>
      <c r="I5" s="418" t="s">
        <v>911</v>
      </c>
      <c r="J5" s="418" t="s">
        <v>912</v>
      </c>
      <c r="K5" s="418" t="s">
        <v>858</v>
      </c>
      <c r="L5" s="418" t="s">
        <v>859</v>
      </c>
    </row>
    <row r="6" spans="2:12" ht="75" customHeight="1" thickBot="1">
      <c r="B6" s="215" t="s">
        <v>790</v>
      </c>
      <c r="C6" s="216" t="s">
        <v>418</v>
      </c>
      <c r="D6" s="154" t="s">
        <v>136</v>
      </c>
      <c r="E6" s="419" t="s">
        <v>800</v>
      </c>
      <c r="F6" s="420" t="s">
        <v>293</v>
      </c>
      <c r="G6" s="628" t="s">
        <v>38</v>
      </c>
      <c r="H6" s="1305" t="s">
        <v>276</v>
      </c>
      <c r="I6" s="420" t="s">
        <v>956</v>
      </c>
      <c r="J6" s="923" t="s">
        <v>873</v>
      </c>
      <c r="K6" s="651" t="s">
        <v>1066</v>
      </c>
      <c r="L6" s="643" t="s">
        <v>294</v>
      </c>
    </row>
    <row r="7" spans="1:12" ht="19.5" customHeight="1">
      <c r="A7" s="1318">
        <v>1</v>
      </c>
      <c r="B7" s="221">
        <v>18</v>
      </c>
      <c r="D7" s="210" t="s">
        <v>879</v>
      </c>
      <c r="H7" s="1306"/>
      <c r="K7" s="652"/>
      <c r="L7" s="422"/>
    </row>
    <row r="8" spans="1:12" ht="15">
      <c r="A8" s="1318">
        <v>2</v>
      </c>
      <c r="B8" s="217"/>
      <c r="C8" s="218">
        <v>1</v>
      </c>
      <c r="D8" s="144" t="s">
        <v>589</v>
      </c>
      <c r="E8" s="155" t="s">
        <v>859</v>
      </c>
      <c r="F8" s="409">
        <f>SUM(G8,K8,L8)</f>
        <v>9999</v>
      </c>
      <c r="G8" s="1319">
        <v>688</v>
      </c>
      <c r="H8" s="1307">
        <v>5000</v>
      </c>
      <c r="I8" s="145">
        <v>9311</v>
      </c>
      <c r="J8" s="1232"/>
      <c r="K8" s="653">
        <f>SUM(I8:J8)</f>
        <v>9311</v>
      </c>
      <c r="L8" s="644"/>
    </row>
    <row r="9" spans="1:12" ht="30">
      <c r="A9" s="1318">
        <v>3</v>
      </c>
      <c r="B9" s="217"/>
      <c r="C9" s="218">
        <v>2</v>
      </c>
      <c r="D9" s="157" t="s">
        <v>602</v>
      </c>
      <c r="E9" s="155" t="s">
        <v>799</v>
      </c>
      <c r="F9" s="409">
        <f>SUM(G9,K9,L9)</f>
        <v>1500</v>
      </c>
      <c r="G9" s="1320"/>
      <c r="H9" s="1308">
        <v>1500</v>
      </c>
      <c r="I9" s="1335">
        <v>1500</v>
      </c>
      <c r="J9" s="1336"/>
      <c r="K9" s="653">
        <f aca="true" t="shared" si="0" ref="K9:K76">SUM(I9:J9)</f>
        <v>1500</v>
      </c>
      <c r="L9" s="645"/>
    </row>
    <row r="10" spans="1:12" s="159" customFormat="1" ht="15">
      <c r="A10" s="1318">
        <v>4</v>
      </c>
      <c r="B10" s="217"/>
      <c r="C10" s="218">
        <v>3</v>
      </c>
      <c r="D10" s="146" t="s">
        <v>604</v>
      </c>
      <c r="E10" s="156" t="s">
        <v>799</v>
      </c>
      <c r="F10" s="409">
        <f>SUM(G10,K10,L10)</f>
        <v>15000</v>
      </c>
      <c r="G10" s="1321"/>
      <c r="H10" s="1309">
        <v>5000</v>
      </c>
      <c r="I10" s="1337">
        <v>5000</v>
      </c>
      <c r="J10" s="1338"/>
      <c r="K10" s="653">
        <f t="shared" si="0"/>
        <v>5000</v>
      </c>
      <c r="L10" s="646">
        <v>10000</v>
      </c>
    </row>
    <row r="11" spans="1:12" s="158" customFormat="1" ht="15">
      <c r="A11" s="1318">
        <v>5</v>
      </c>
      <c r="B11" s="217"/>
      <c r="C11" s="218">
        <v>4</v>
      </c>
      <c r="D11" s="146" t="s">
        <v>606</v>
      </c>
      <c r="E11" s="156" t="s">
        <v>799</v>
      </c>
      <c r="F11" s="409">
        <f>SUM(G11,K11,L11)</f>
        <v>0</v>
      </c>
      <c r="G11" s="1321"/>
      <c r="H11" s="1309">
        <v>1500</v>
      </c>
      <c r="I11" s="1337">
        <v>0</v>
      </c>
      <c r="J11" s="1338"/>
      <c r="K11" s="653">
        <f t="shared" si="0"/>
        <v>0</v>
      </c>
      <c r="L11" s="646"/>
    </row>
    <row r="12" spans="1:12" s="160" customFormat="1" ht="15">
      <c r="A12" s="1318">
        <v>6</v>
      </c>
      <c r="B12" s="217"/>
      <c r="C12" s="218">
        <v>5</v>
      </c>
      <c r="D12" s="423" t="s">
        <v>607</v>
      </c>
      <c r="E12" s="156" t="s">
        <v>799</v>
      </c>
      <c r="F12" s="409">
        <f>SUM(G12,K12,L12)</f>
        <v>70000</v>
      </c>
      <c r="G12" s="1322">
        <v>25000</v>
      </c>
      <c r="H12" s="1310">
        <v>45000</v>
      </c>
      <c r="I12" s="1339">
        <v>45000</v>
      </c>
      <c r="J12" s="1340"/>
      <c r="K12" s="653">
        <f t="shared" si="0"/>
        <v>45000</v>
      </c>
      <c r="L12" s="646"/>
    </row>
    <row r="13" spans="1:12" ht="30">
      <c r="A13" s="1318">
        <v>7</v>
      </c>
      <c r="B13" s="217"/>
      <c r="C13" s="218">
        <v>6</v>
      </c>
      <c r="D13" s="144" t="s">
        <v>609</v>
      </c>
      <c r="E13" s="156" t="s">
        <v>799</v>
      </c>
      <c r="F13" s="409">
        <f>SUM(G13,K13,L13)</f>
        <v>16900</v>
      </c>
      <c r="G13" s="1319">
        <v>826</v>
      </c>
      <c r="H13" s="1307">
        <v>14000</v>
      </c>
      <c r="I13" s="145">
        <v>16074</v>
      </c>
      <c r="J13" s="1232"/>
      <c r="K13" s="653">
        <f t="shared" si="0"/>
        <v>16074</v>
      </c>
      <c r="L13" s="644"/>
    </row>
    <row r="14" spans="1:12" ht="30">
      <c r="A14" s="1318">
        <v>8</v>
      </c>
      <c r="B14" s="217"/>
      <c r="C14" s="218">
        <v>7</v>
      </c>
      <c r="D14" s="144" t="s">
        <v>610</v>
      </c>
      <c r="E14" s="156" t="s">
        <v>799</v>
      </c>
      <c r="F14" s="409">
        <f>SUM(G14,K14,L14)</f>
        <v>25621</v>
      </c>
      <c r="G14" s="1319">
        <v>1927</v>
      </c>
      <c r="H14" s="1307">
        <v>23000</v>
      </c>
      <c r="I14" s="145">
        <v>23694</v>
      </c>
      <c r="J14" s="1232"/>
      <c r="K14" s="653">
        <f t="shared" si="0"/>
        <v>23694</v>
      </c>
      <c r="L14" s="644"/>
    </row>
    <row r="15" spans="1:12" ht="30">
      <c r="A15" s="1318">
        <v>9</v>
      </c>
      <c r="B15" s="217"/>
      <c r="C15" s="218">
        <v>8</v>
      </c>
      <c r="D15" s="144" t="s">
        <v>611</v>
      </c>
      <c r="E15" s="156" t="s">
        <v>799</v>
      </c>
      <c r="F15" s="409">
        <f>SUM(G15,K15,L15)</f>
        <v>52350</v>
      </c>
      <c r="G15" s="1319">
        <v>350</v>
      </c>
      <c r="H15" s="1307">
        <v>52000</v>
      </c>
      <c r="I15" s="145">
        <v>52000</v>
      </c>
      <c r="J15" s="1232"/>
      <c r="K15" s="653">
        <f t="shared" si="0"/>
        <v>52000</v>
      </c>
      <c r="L15" s="644"/>
    </row>
    <row r="16" spans="1:12" ht="30">
      <c r="A16" s="1318">
        <v>10</v>
      </c>
      <c r="B16" s="217"/>
      <c r="C16" s="218">
        <v>9</v>
      </c>
      <c r="D16" s="144" t="s">
        <v>612</v>
      </c>
      <c r="E16" s="156" t="s">
        <v>799</v>
      </c>
      <c r="F16" s="409">
        <f>SUM(G16,K16,L16)</f>
        <v>28500</v>
      </c>
      <c r="G16" s="1319"/>
      <c r="H16" s="1307">
        <v>32000</v>
      </c>
      <c r="I16" s="145">
        <v>28500</v>
      </c>
      <c r="J16" s="1232"/>
      <c r="K16" s="653">
        <f t="shared" si="0"/>
        <v>28500</v>
      </c>
      <c r="L16" s="647"/>
    </row>
    <row r="17" spans="1:12" ht="15" customHeight="1">
      <c r="A17" s="1318">
        <v>11</v>
      </c>
      <c r="B17" s="217"/>
      <c r="C17" s="218">
        <v>10</v>
      </c>
      <c r="D17" s="144" t="s">
        <v>613</v>
      </c>
      <c r="E17" s="156" t="s">
        <v>799</v>
      </c>
      <c r="F17" s="409">
        <f>SUM(G17,K17,L17)</f>
        <v>10000</v>
      </c>
      <c r="G17" s="1319"/>
      <c r="H17" s="1307">
        <v>10000</v>
      </c>
      <c r="I17" s="145">
        <v>10000</v>
      </c>
      <c r="J17" s="1232"/>
      <c r="K17" s="653">
        <f t="shared" si="0"/>
        <v>10000</v>
      </c>
      <c r="L17" s="647"/>
    </row>
    <row r="18" spans="1:12" ht="15">
      <c r="A18" s="1318">
        <v>12</v>
      </c>
      <c r="B18" s="217"/>
      <c r="C18" s="218">
        <v>11</v>
      </c>
      <c r="D18" s="157" t="s">
        <v>614</v>
      </c>
      <c r="E18" s="156" t="s">
        <v>799</v>
      </c>
      <c r="F18" s="409">
        <f>SUM(G18,K18,L18)</f>
        <v>4916</v>
      </c>
      <c r="G18" s="1323"/>
      <c r="H18" s="1308">
        <v>4500</v>
      </c>
      <c r="I18" s="1335">
        <v>4916</v>
      </c>
      <c r="J18" s="1336"/>
      <c r="K18" s="653">
        <f t="shared" si="0"/>
        <v>4916</v>
      </c>
      <c r="L18" s="645"/>
    </row>
    <row r="19" spans="1:12" ht="15">
      <c r="A19" s="1318">
        <v>13</v>
      </c>
      <c r="B19" s="217"/>
      <c r="C19" s="218">
        <v>12</v>
      </c>
      <c r="D19" s="424" t="s">
        <v>615</v>
      </c>
      <c r="E19" s="155" t="s">
        <v>799</v>
      </c>
      <c r="F19" s="409">
        <f>SUM(G19,K19,L19)</f>
        <v>2000</v>
      </c>
      <c r="G19" s="1324"/>
      <c r="H19" s="1308">
        <v>2000</v>
      </c>
      <c r="I19" s="1335">
        <v>2000</v>
      </c>
      <c r="J19" s="1336"/>
      <c r="K19" s="653">
        <f t="shared" si="0"/>
        <v>2000</v>
      </c>
      <c r="L19" s="645"/>
    </row>
    <row r="20" spans="1:12" ht="15">
      <c r="A20" s="1318">
        <v>14</v>
      </c>
      <c r="B20" s="217"/>
      <c r="C20" s="218">
        <v>13</v>
      </c>
      <c r="D20" s="144" t="s">
        <v>588</v>
      </c>
      <c r="E20" s="155" t="s">
        <v>859</v>
      </c>
      <c r="F20" s="409">
        <f aca="true" t="shared" si="1" ref="F20:F31">SUM(G20,K20,L20)</f>
        <v>205000</v>
      </c>
      <c r="G20" s="1319"/>
      <c r="H20" s="1307"/>
      <c r="I20" s="145">
        <v>10000</v>
      </c>
      <c r="J20" s="1232"/>
      <c r="K20" s="653">
        <f aca="true" t="shared" si="2" ref="K20:K31">SUM(I20:J20)</f>
        <v>10000</v>
      </c>
      <c r="L20" s="644">
        <v>195000</v>
      </c>
    </row>
    <row r="21" spans="1:12" ht="15">
      <c r="A21" s="1318">
        <v>15</v>
      </c>
      <c r="B21" s="217"/>
      <c r="C21" s="218">
        <v>14</v>
      </c>
      <c r="D21" s="144" t="s">
        <v>909</v>
      </c>
      <c r="E21" s="155" t="s">
        <v>859</v>
      </c>
      <c r="F21" s="409">
        <f t="shared" si="1"/>
        <v>10000</v>
      </c>
      <c r="G21" s="1319"/>
      <c r="H21" s="1307"/>
      <c r="I21" s="145">
        <v>10000</v>
      </c>
      <c r="J21" s="1232"/>
      <c r="K21" s="653">
        <f t="shared" si="2"/>
        <v>10000</v>
      </c>
      <c r="L21" s="644"/>
    </row>
    <row r="22" spans="1:12" s="158" customFormat="1" ht="33.75" customHeight="1">
      <c r="A22" s="1318">
        <v>16</v>
      </c>
      <c r="B22" s="217"/>
      <c r="C22" s="218">
        <v>15</v>
      </c>
      <c r="D22" s="146" t="s">
        <v>54</v>
      </c>
      <c r="E22" s="156" t="s">
        <v>859</v>
      </c>
      <c r="F22" s="409">
        <f t="shared" si="1"/>
        <v>19950</v>
      </c>
      <c r="G22" s="1321">
        <v>4950</v>
      </c>
      <c r="H22" s="1309"/>
      <c r="I22" s="1337">
        <v>15000</v>
      </c>
      <c r="J22" s="1338"/>
      <c r="K22" s="653">
        <f t="shared" si="2"/>
        <v>15000</v>
      </c>
      <c r="L22" s="646"/>
    </row>
    <row r="23" spans="1:12" s="158" customFormat="1" ht="30">
      <c r="A23" s="1318">
        <v>17</v>
      </c>
      <c r="B23" s="217"/>
      <c r="C23" s="218">
        <v>16</v>
      </c>
      <c r="D23" s="146" t="s">
        <v>53</v>
      </c>
      <c r="E23" s="156" t="s">
        <v>859</v>
      </c>
      <c r="F23" s="409">
        <f t="shared" si="1"/>
        <v>0</v>
      </c>
      <c r="G23" s="1321"/>
      <c r="H23" s="1309"/>
      <c r="I23" s="1337">
        <v>0</v>
      </c>
      <c r="J23" s="1338"/>
      <c r="K23" s="653">
        <f t="shared" si="2"/>
        <v>0</v>
      </c>
      <c r="L23" s="646"/>
    </row>
    <row r="24" spans="1:12" ht="15" customHeight="1">
      <c r="A24" s="1318">
        <v>18</v>
      </c>
      <c r="B24" s="217"/>
      <c r="C24" s="218">
        <v>17</v>
      </c>
      <c r="D24" s="144" t="s">
        <v>600</v>
      </c>
      <c r="E24" s="155" t="s">
        <v>859</v>
      </c>
      <c r="F24" s="409">
        <f t="shared" si="1"/>
        <v>26467</v>
      </c>
      <c r="G24" s="1319">
        <v>6467</v>
      </c>
      <c r="H24" s="1307"/>
      <c r="I24" s="145">
        <v>20000</v>
      </c>
      <c r="J24" s="1232"/>
      <c r="K24" s="653">
        <f t="shared" si="2"/>
        <v>20000</v>
      </c>
      <c r="L24" s="644"/>
    </row>
    <row r="25" spans="1:12" ht="15" customHeight="1">
      <c r="A25" s="1318">
        <v>19</v>
      </c>
      <c r="B25" s="217"/>
      <c r="C25" s="218">
        <v>18</v>
      </c>
      <c r="D25" s="144" t="s">
        <v>52</v>
      </c>
      <c r="E25" s="155" t="s">
        <v>859</v>
      </c>
      <c r="F25" s="409">
        <f t="shared" si="1"/>
        <v>17000</v>
      </c>
      <c r="G25" s="1319"/>
      <c r="H25" s="1307"/>
      <c r="I25" s="145">
        <v>17000</v>
      </c>
      <c r="J25" s="1232"/>
      <c r="K25" s="653">
        <f t="shared" si="2"/>
        <v>17000</v>
      </c>
      <c r="L25" s="644"/>
    </row>
    <row r="26" spans="1:12" ht="15" customHeight="1">
      <c r="A26" s="1318">
        <v>20</v>
      </c>
      <c r="B26" s="217"/>
      <c r="C26" s="218">
        <v>19</v>
      </c>
      <c r="D26" s="146" t="s">
        <v>601</v>
      </c>
      <c r="E26" s="156" t="s">
        <v>799</v>
      </c>
      <c r="F26" s="409">
        <f t="shared" si="1"/>
        <v>154584</v>
      </c>
      <c r="G26" s="1321">
        <v>9584</v>
      </c>
      <c r="H26" s="1309"/>
      <c r="I26" s="1337">
        <v>145000</v>
      </c>
      <c r="J26" s="1338"/>
      <c r="K26" s="653">
        <f t="shared" si="2"/>
        <v>145000</v>
      </c>
      <c r="L26" s="646"/>
    </row>
    <row r="27" spans="1:12" s="158" customFormat="1" ht="30">
      <c r="A27" s="1318">
        <v>21</v>
      </c>
      <c r="B27" s="217"/>
      <c r="C27" s="218">
        <v>20</v>
      </c>
      <c r="D27" s="146" t="s">
        <v>603</v>
      </c>
      <c r="E27" s="156" t="s">
        <v>799</v>
      </c>
      <c r="F27" s="409">
        <f t="shared" si="1"/>
        <v>8000</v>
      </c>
      <c r="G27" s="1321"/>
      <c r="H27" s="1309"/>
      <c r="I27" s="1337">
        <v>11000</v>
      </c>
      <c r="J27" s="1338">
        <v>-3000</v>
      </c>
      <c r="K27" s="653">
        <f t="shared" si="2"/>
        <v>8000</v>
      </c>
      <c r="L27" s="646"/>
    </row>
    <row r="28" spans="1:12" ht="15">
      <c r="A28" s="1318">
        <v>22</v>
      </c>
      <c r="B28" s="217"/>
      <c r="C28" s="218">
        <v>21</v>
      </c>
      <c r="D28" s="146" t="s">
        <v>605</v>
      </c>
      <c r="E28" s="155" t="s">
        <v>799</v>
      </c>
      <c r="F28" s="409">
        <f t="shared" si="1"/>
        <v>6800</v>
      </c>
      <c r="G28" s="1321"/>
      <c r="H28" s="1309"/>
      <c r="I28" s="1337">
        <v>6800</v>
      </c>
      <c r="J28" s="1338"/>
      <c r="K28" s="653">
        <f t="shared" si="2"/>
        <v>6800</v>
      </c>
      <c r="L28" s="646"/>
    </row>
    <row r="29" spans="1:12" ht="15" customHeight="1">
      <c r="A29" s="1318">
        <v>23</v>
      </c>
      <c r="B29" s="217"/>
      <c r="C29" s="218">
        <v>22</v>
      </c>
      <c r="D29" s="146" t="s">
        <v>608</v>
      </c>
      <c r="E29" s="155" t="s">
        <v>799</v>
      </c>
      <c r="F29" s="409">
        <f t="shared" si="1"/>
        <v>5000</v>
      </c>
      <c r="G29" s="1321"/>
      <c r="H29" s="1309"/>
      <c r="I29" s="1337">
        <v>5000</v>
      </c>
      <c r="J29" s="1338"/>
      <c r="K29" s="653">
        <f t="shared" si="2"/>
        <v>5000</v>
      </c>
      <c r="L29" s="646"/>
    </row>
    <row r="30" spans="1:12" ht="15" customHeight="1">
      <c r="A30" s="1318">
        <v>24</v>
      </c>
      <c r="B30" s="217"/>
      <c r="C30" s="218">
        <v>23</v>
      </c>
      <c r="D30" s="146" t="s">
        <v>57</v>
      </c>
      <c r="E30" s="155" t="s">
        <v>799</v>
      </c>
      <c r="F30" s="409">
        <f t="shared" si="1"/>
        <v>5000</v>
      </c>
      <c r="G30" s="1321"/>
      <c r="H30" s="1309"/>
      <c r="I30" s="1337">
        <v>5000</v>
      </c>
      <c r="J30" s="1338"/>
      <c r="K30" s="653">
        <f t="shared" si="2"/>
        <v>5000</v>
      </c>
      <c r="L30" s="646"/>
    </row>
    <row r="31" spans="1:12" ht="15" customHeight="1">
      <c r="A31" s="1318">
        <v>25</v>
      </c>
      <c r="B31" s="217"/>
      <c r="C31" s="218">
        <v>24</v>
      </c>
      <c r="D31" s="146" t="s">
        <v>58</v>
      </c>
      <c r="E31" s="155" t="s">
        <v>799</v>
      </c>
      <c r="F31" s="409">
        <f t="shared" si="1"/>
        <v>2960</v>
      </c>
      <c r="G31" s="1321"/>
      <c r="H31" s="1309"/>
      <c r="I31" s="1337">
        <v>2960</v>
      </c>
      <c r="J31" s="1338"/>
      <c r="K31" s="653">
        <f t="shared" si="2"/>
        <v>2960</v>
      </c>
      <c r="L31" s="646"/>
    </row>
    <row r="32" spans="1:12" ht="15" customHeight="1">
      <c r="A32" s="1318">
        <v>26</v>
      </c>
      <c r="B32" s="217"/>
      <c r="C32" s="218">
        <v>25</v>
      </c>
      <c r="D32" s="146" t="s">
        <v>230</v>
      </c>
      <c r="E32" s="155" t="s">
        <v>799</v>
      </c>
      <c r="F32" s="409">
        <v>360</v>
      </c>
      <c r="G32" s="1321"/>
      <c r="H32" s="1309"/>
      <c r="I32" s="1337">
        <v>360</v>
      </c>
      <c r="J32" s="1338"/>
      <c r="K32" s="653">
        <v>360</v>
      </c>
      <c r="L32" s="646"/>
    </row>
    <row r="33" spans="1:12" ht="30.75" customHeight="1">
      <c r="A33" s="1318">
        <v>27</v>
      </c>
      <c r="B33" s="217"/>
      <c r="C33" s="218">
        <v>26</v>
      </c>
      <c r="D33" s="146" t="s">
        <v>453</v>
      </c>
      <c r="E33" s="155"/>
      <c r="F33" s="409">
        <v>2500</v>
      </c>
      <c r="G33" s="1321"/>
      <c r="H33" s="1309"/>
      <c r="I33" s="1337">
        <v>2500</v>
      </c>
      <c r="J33" s="1338"/>
      <c r="K33" s="653">
        <f>SUM(I33:J33)</f>
        <v>2500</v>
      </c>
      <c r="L33" s="646"/>
    </row>
    <row r="34" spans="1:12" ht="15" customHeight="1">
      <c r="A34" s="1318">
        <v>28</v>
      </c>
      <c r="B34" s="217"/>
      <c r="C34" s="218">
        <v>27</v>
      </c>
      <c r="D34" s="146" t="s">
        <v>1056</v>
      </c>
      <c r="E34" s="155"/>
      <c r="F34" s="409">
        <v>2100</v>
      </c>
      <c r="G34" s="1321"/>
      <c r="H34" s="1309"/>
      <c r="I34" s="1337">
        <v>2100</v>
      </c>
      <c r="J34" s="1338"/>
      <c r="K34" s="653">
        <f>SUM(I34:J34)</f>
        <v>2100</v>
      </c>
      <c r="L34" s="646"/>
    </row>
    <row r="35" spans="1:12" s="159" customFormat="1" ht="19.5" customHeight="1">
      <c r="A35" s="1318">
        <v>29</v>
      </c>
      <c r="B35" s="217"/>
      <c r="C35" s="218"/>
      <c r="D35" s="161" t="s">
        <v>426</v>
      </c>
      <c r="E35" s="156"/>
      <c r="F35" s="409"/>
      <c r="G35" s="1319"/>
      <c r="H35" s="1307"/>
      <c r="I35" s="145"/>
      <c r="J35" s="1232"/>
      <c r="K35" s="653">
        <f t="shared" si="0"/>
        <v>0</v>
      </c>
      <c r="L35" s="644"/>
    </row>
    <row r="36" spans="1:12" ht="30">
      <c r="A36" s="1318">
        <v>30</v>
      </c>
      <c r="B36" s="217"/>
      <c r="C36" s="218">
        <v>28</v>
      </c>
      <c r="D36" s="147" t="s">
        <v>626</v>
      </c>
      <c r="E36" s="156" t="s">
        <v>799</v>
      </c>
      <c r="F36" s="409">
        <f>SUM(G36,K36,L36)</f>
        <v>600</v>
      </c>
      <c r="G36" s="1319"/>
      <c r="H36" s="1307">
        <v>600</v>
      </c>
      <c r="I36" s="145">
        <v>600</v>
      </c>
      <c r="J36" s="1232"/>
      <c r="K36" s="653">
        <f t="shared" si="0"/>
        <v>600</v>
      </c>
      <c r="L36" s="644"/>
    </row>
    <row r="37" spans="1:12" s="159" customFormat="1" ht="19.5" customHeight="1">
      <c r="A37" s="1318">
        <v>31</v>
      </c>
      <c r="B37" s="217"/>
      <c r="C37" s="218"/>
      <c r="D37" s="161" t="s">
        <v>647</v>
      </c>
      <c r="E37" s="156"/>
      <c r="F37" s="409"/>
      <c r="G37" s="1319"/>
      <c r="H37" s="1307"/>
      <c r="I37" s="145"/>
      <c r="J37" s="1232"/>
      <c r="K37" s="653">
        <f t="shared" si="0"/>
        <v>0</v>
      </c>
      <c r="L37" s="644"/>
    </row>
    <row r="38" spans="1:12" s="159" customFormat="1" ht="19.5" customHeight="1">
      <c r="A38" s="1318">
        <v>32</v>
      </c>
      <c r="B38" s="217"/>
      <c r="C38" s="218"/>
      <c r="D38" s="161" t="s">
        <v>655</v>
      </c>
      <c r="E38" s="156"/>
      <c r="F38" s="409"/>
      <c r="G38" s="1319"/>
      <c r="H38" s="1307"/>
      <c r="I38" s="145"/>
      <c r="J38" s="1232"/>
      <c r="K38" s="653">
        <f t="shared" si="0"/>
        <v>0</v>
      </c>
      <c r="L38" s="644"/>
    </row>
    <row r="39" spans="1:12" ht="15">
      <c r="A39" s="1318">
        <v>33</v>
      </c>
      <c r="B39" s="217"/>
      <c r="C39" s="218">
        <v>29</v>
      </c>
      <c r="D39" s="147" t="s">
        <v>657</v>
      </c>
      <c r="E39" s="156" t="s">
        <v>799</v>
      </c>
      <c r="F39" s="409">
        <f>SUM(G39,K39,L39)</f>
        <v>2350</v>
      </c>
      <c r="G39" s="1325"/>
      <c r="H39" s="1311">
        <v>2350</v>
      </c>
      <c r="I39" s="410">
        <v>2350</v>
      </c>
      <c r="J39" s="1233"/>
      <c r="K39" s="653">
        <f t="shared" si="0"/>
        <v>2350</v>
      </c>
      <c r="L39" s="646"/>
    </row>
    <row r="40" spans="1:12" s="159" customFormat="1" ht="19.5" customHeight="1">
      <c r="A40" s="1318">
        <v>34</v>
      </c>
      <c r="B40" s="217"/>
      <c r="C40" s="218"/>
      <c r="D40" s="161" t="s">
        <v>842</v>
      </c>
      <c r="E40" s="156"/>
      <c r="F40" s="409"/>
      <c r="G40" s="1319"/>
      <c r="H40" s="1307"/>
      <c r="I40" s="145"/>
      <c r="J40" s="1232"/>
      <c r="K40" s="653">
        <f t="shared" si="0"/>
        <v>0</v>
      </c>
      <c r="L40" s="644"/>
    </row>
    <row r="41" spans="1:12" ht="15" customHeight="1">
      <c r="A41" s="1318">
        <v>35</v>
      </c>
      <c r="B41" s="217"/>
      <c r="C41" s="218">
        <v>30</v>
      </c>
      <c r="D41" s="147" t="s">
        <v>1057</v>
      </c>
      <c r="E41" s="155" t="s">
        <v>799</v>
      </c>
      <c r="F41" s="409">
        <f>SUM(G41,K41,L41)</f>
        <v>500</v>
      </c>
      <c r="G41" s="1319"/>
      <c r="H41" s="1307">
        <v>4000</v>
      </c>
      <c r="I41" s="145">
        <v>500</v>
      </c>
      <c r="J41" s="1232"/>
      <c r="K41" s="653">
        <f t="shared" si="0"/>
        <v>500</v>
      </c>
      <c r="L41" s="646"/>
    </row>
    <row r="42" spans="1:12" s="159" customFormat="1" ht="19.5" customHeight="1">
      <c r="A42" s="1318">
        <v>36</v>
      </c>
      <c r="B42" s="217"/>
      <c r="C42" s="218"/>
      <c r="D42" s="161" t="s">
        <v>367</v>
      </c>
      <c r="E42" s="156"/>
      <c r="F42" s="409"/>
      <c r="G42" s="1319"/>
      <c r="H42" s="1307"/>
      <c r="I42" s="145"/>
      <c r="J42" s="1232"/>
      <c r="K42" s="653"/>
      <c r="L42" s="644"/>
    </row>
    <row r="43" spans="1:12" ht="30">
      <c r="A43" s="1318">
        <v>37</v>
      </c>
      <c r="B43" s="217"/>
      <c r="C43" s="218">
        <v>31</v>
      </c>
      <c r="D43" s="147" t="s">
        <v>660</v>
      </c>
      <c r="E43" s="156" t="s">
        <v>799</v>
      </c>
      <c r="F43" s="409">
        <f>SUM(G43,K43,L43)</f>
        <v>2500</v>
      </c>
      <c r="G43" s="1319"/>
      <c r="H43" s="1307">
        <v>2500</v>
      </c>
      <c r="I43" s="145">
        <v>2500</v>
      </c>
      <c r="J43" s="1232"/>
      <c r="K43" s="653">
        <f t="shared" si="0"/>
        <v>2500</v>
      </c>
      <c r="L43" s="646"/>
    </row>
    <row r="44" spans="1:12" s="159" customFormat="1" ht="19.5" customHeight="1">
      <c r="A44" s="1318">
        <v>38</v>
      </c>
      <c r="B44" s="217"/>
      <c r="C44" s="218"/>
      <c r="D44" s="161" t="s">
        <v>554</v>
      </c>
      <c r="E44" s="156"/>
      <c r="F44" s="409"/>
      <c r="G44" s="1319"/>
      <c r="H44" s="1307"/>
      <c r="I44" s="145"/>
      <c r="J44" s="1232"/>
      <c r="K44" s="653"/>
      <c r="L44" s="644"/>
    </row>
    <row r="45" spans="1:12" ht="15">
      <c r="A45" s="1318">
        <v>39</v>
      </c>
      <c r="B45" s="217"/>
      <c r="C45" s="218">
        <v>32</v>
      </c>
      <c r="D45" s="425" t="s">
        <v>616</v>
      </c>
      <c r="E45" s="156" t="s">
        <v>799</v>
      </c>
      <c r="F45" s="409">
        <f>SUM(G45,K45,L45)</f>
        <v>460</v>
      </c>
      <c r="G45" s="1325"/>
      <c r="H45" s="1311"/>
      <c r="I45" s="410">
        <v>460</v>
      </c>
      <c r="J45" s="1233"/>
      <c r="K45" s="653">
        <f t="shared" si="0"/>
        <v>460</v>
      </c>
      <c r="L45" s="646"/>
    </row>
    <row r="46" spans="1:12" s="159" customFormat="1" ht="19.5" customHeight="1">
      <c r="A46" s="1318">
        <v>40</v>
      </c>
      <c r="B46" s="217"/>
      <c r="C46" s="218"/>
      <c r="D46" s="161" t="s">
        <v>420</v>
      </c>
      <c r="E46" s="156"/>
      <c r="F46" s="409"/>
      <c r="G46" s="1319"/>
      <c r="H46" s="1307"/>
      <c r="I46" s="145"/>
      <c r="J46" s="1232"/>
      <c r="K46" s="653"/>
      <c r="L46" s="644"/>
    </row>
    <row r="47" spans="1:12" ht="15">
      <c r="A47" s="1318">
        <v>41</v>
      </c>
      <c r="B47" s="217"/>
      <c r="C47" s="218">
        <v>33</v>
      </c>
      <c r="D47" s="147" t="s">
        <v>617</v>
      </c>
      <c r="E47" s="156" t="s">
        <v>799</v>
      </c>
      <c r="F47" s="409">
        <f>SUM(G47,K47,L47)</f>
        <v>2500</v>
      </c>
      <c r="G47" s="1321"/>
      <c r="H47" s="1309"/>
      <c r="I47" s="1337">
        <v>2500</v>
      </c>
      <c r="J47" s="1338"/>
      <c r="K47" s="653">
        <f t="shared" si="0"/>
        <v>2500</v>
      </c>
      <c r="L47" s="646"/>
    </row>
    <row r="48" spans="1:12" s="159" customFormat="1" ht="19.5" customHeight="1">
      <c r="A48" s="1318">
        <v>42</v>
      </c>
      <c r="B48" s="217"/>
      <c r="C48" s="218"/>
      <c r="D48" s="161" t="s">
        <v>618</v>
      </c>
      <c r="E48" s="156"/>
      <c r="F48" s="409"/>
      <c r="G48" s="1319"/>
      <c r="H48" s="1307"/>
      <c r="I48" s="145"/>
      <c r="J48" s="1232"/>
      <c r="K48" s="653"/>
      <c r="L48" s="644"/>
    </row>
    <row r="49" spans="1:12" ht="15">
      <c r="A49" s="1318">
        <v>43</v>
      </c>
      <c r="B49" s="217"/>
      <c r="C49" s="218">
        <v>34</v>
      </c>
      <c r="D49" s="425" t="s">
        <v>619</v>
      </c>
      <c r="E49" s="155" t="s">
        <v>799</v>
      </c>
      <c r="F49" s="409">
        <f>SUM(G49,K49,L49)</f>
        <v>2450</v>
      </c>
      <c r="G49" s="1326"/>
      <c r="H49" s="1309"/>
      <c r="I49" s="1337">
        <v>2450</v>
      </c>
      <c r="J49" s="1338"/>
      <c r="K49" s="653">
        <f t="shared" si="0"/>
        <v>2450</v>
      </c>
      <c r="L49" s="646"/>
    </row>
    <row r="50" spans="1:12" s="159" customFormat="1" ht="19.5" customHeight="1">
      <c r="A50" s="1318">
        <v>44</v>
      </c>
      <c r="B50" s="217"/>
      <c r="C50" s="218"/>
      <c r="D50" s="161" t="s">
        <v>422</v>
      </c>
      <c r="E50" s="156"/>
      <c r="F50" s="409"/>
      <c r="G50" s="1319"/>
      <c r="H50" s="1307"/>
      <c r="I50" s="145"/>
      <c r="J50" s="1232"/>
      <c r="K50" s="653"/>
      <c r="L50" s="644"/>
    </row>
    <row r="51" spans="1:12" ht="15">
      <c r="A51" s="1318">
        <v>45</v>
      </c>
      <c r="B51" s="217"/>
      <c r="C51" s="218">
        <v>35</v>
      </c>
      <c r="D51" s="425" t="s">
        <v>620</v>
      </c>
      <c r="E51" s="156" t="s">
        <v>799</v>
      </c>
      <c r="F51" s="409">
        <f>SUM(G51,K51,L51)</f>
        <v>850</v>
      </c>
      <c r="G51" s="1327"/>
      <c r="H51" s="1312"/>
      <c r="I51" s="1341">
        <v>850</v>
      </c>
      <c r="J51" s="1342"/>
      <c r="K51" s="653">
        <f t="shared" si="0"/>
        <v>850</v>
      </c>
      <c r="L51" s="646"/>
    </row>
    <row r="52" spans="1:12" s="159" customFormat="1" ht="19.5" customHeight="1">
      <c r="A52" s="1318">
        <v>46</v>
      </c>
      <c r="B52" s="217"/>
      <c r="C52" s="218"/>
      <c r="D52" s="161" t="s">
        <v>550</v>
      </c>
      <c r="E52" s="156"/>
      <c r="F52" s="409"/>
      <c r="G52" s="1319"/>
      <c r="H52" s="1307"/>
      <c r="I52" s="145"/>
      <c r="J52" s="1232"/>
      <c r="K52" s="653"/>
      <c r="L52" s="644"/>
    </row>
    <row r="53" spans="1:12" ht="15">
      <c r="A53" s="1318">
        <v>47</v>
      </c>
      <c r="B53" s="217"/>
      <c r="C53" s="218">
        <v>36</v>
      </c>
      <c r="D53" s="147" t="s">
        <v>621</v>
      </c>
      <c r="E53" s="155" t="s">
        <v>799</v>
      </c>
      <c r="F53" s="409">
        <f>SUM(G53,K53,L53)</f>
        <v>4347</v>
      </c>
      <c r="G53" s="1321"/>
      <c r="H53" s="1309"/>
      <c r="I53" s="1337">
        <v>4347</v>
      </c>
      <c r="J53" s="1338"/>
      <c r="K53" s="653">
        <f t="shared" si="0"/>
        <v>4347</v>
      </c>
      <c r="L53" s="646"/>
    </row>
    <row r="54" spans="1:12" s="159" customFormat="1" ht="19.5" customHeight="1">
      <c r="A54" s="1318">
        <v>48</v>
      </c>
      <c r="B54" s="217"/>
      <c r="C54" s="218"/>
      <c r="D54" s="161" t="s">
        <v>425</v>
      </c>
      <c r="E54" s="156"/>
      <c r="F54" s="409"/>
      <c r="G54" s="1319"/>
      <c r="H54" s="1307"/>
      <c r="I54" s="145"/>
      <c r="J54" s="1232"/>
      <c r="K54" s="653"/>
      <c r="L54" s="644"/>
    </row>
    <row r="55" spans="1:12" ht="15">
      <c r="A55" s="1318">
        <v>49</v>
      </c>
      <c r="B55" s="217"/>
      <c r="C55" s="218">
        <v>37</v>
      </c>
      <c r="D55" s="147" t="s">
        <v>622</v>
      </c>
      <c r="E55" s="156" t="s">
        <v>799</v>
      </c>
      <c r="F55" s="409">
        <f>SUM(G55,K55,L55)</f>
        <v>5600</v>
      </c>
      <c r="G55" s="1321"/>
      <c r="H55" s="1309"/>
      <c r="I55" s="1337">
        <v>5600</v>
      </c>
      <c r="J55" s="1338"/>
      <c r="K55" s="653">
        <f t="shared" si="0"/>
        <v>5600</v>
      </c>
      <c r="L55" s="646"/>
    </row>
    <row r="56" spans="1:12" ht="15">
      <c r="A56" s="1318">
        <v>50</v>
      </c>
      <c r="B56" s="217"/>
      <c r="C56" s="218">
        <v>38</v>
      </c>
      <c r="D56" s="425" t="s">
        <v>623</v>
      </c>
      <c r="E56" s="155" t="s">
        <v>799</v>
      </c>
      <c r="F56" s="409">
        <f>SUM(G56,K56,L56)</f>
        <v>3100</v>
      </c>
      <c r="G56" s="1326"/>
      <c r="H56" s="1313"/>
      <c r="I56" s="409">
        <v>3100</v>
      </c>
      <c r="J56" s="1156"/>
      <c r="K56" s="653">
        <f t="shared" si="0"/>
        <v>3100</v>
      </c>
      <c r="L56" s="646"/>
    </row>
    <row r="57" spans="1:12" s="159" customFormat="1" ht="19.5" customHeight="1">
      <c r="A57" s="1318">
        <v>51</v>
      </c>
      <c r="B57" s="217"/>
      <c r="C57" s="218"/>
      <c r="D57" s="161" t="s">
        <v>624</v>
      </c>
      <c r="E57" s="156"/>
      <c r="F57" s="409"/>
      <c r="G57" s="1319"/>
      <c r="H57" s="1307"/>
      <c r="I57" s="145"/>
      <c r="J57" s="1232"/>
      <c r="K57" s="653"/>
      <c r="L57" s="644"/>
    </row>
    <row r="58" spans="1:12" ht="15">
      <c r="A58" s="1318">
        <v>52</v>
      </c>
      <c r="B58" s="217"/>
      <c r="C58" s="218">
        <v>39</v>
      </c>
      <c r="D58" s="425" t="s">
        <v>625</v>
      </c>
      <c r="E58" s="156" t="s">
        <v>799</v>
      </c>
      <c r="F58" s="409">
        <f>SUM(G58,K58,L58)</f>
        <v>850</v>
      </c>
      <c r="G58" s="1327"/>
      <c r="H58" s="1312"/>
      <c r="I58" s="1341">
        <v>850</v>
      </c>
      <c r="J58" s="1342"/>
      <c r="K58" s="653">
        <f t="shared" si="0"/>
        <v>850</v>
      </c>
      <c r="L58" s="646"/>
    </row>
    <row r="59" spans="1:12" s="159" customFormat="1" ht="19.5" customHeight="1">
      <c r="A59" s="1318">
        <v>53</v>
      </c>
      <c r="B59" s="217"/>
      <c r="C59" s="218"/>
      <c r="D59" s="161" t="s">
        <v>426</v>
      </c>
      <c r="E59" s="156"/>
      <c r="F59" s="409"/>
      <c r="G59" s="1319"/>
      <c r="H59" s="1307"/>
      <c r="I59" s="145"/>
      <c r="J59" s="1232"/>
      <c r="K59" s="653"/>
      <c r="L59" s="644"/>
    </row>
    <row r="60" spans="1:12" ht="15">
      <c r="A60" s="1318">
        <v>54</v>
      </c>
      <c r="B60" s="217"/>
      <c r="C60" s="218">
        <v>40</v>
      </c>
      <c r="D60" s="147" t="s">
        <v>627</v>
      </c>
      <c r="E60" s="155" t="s">
        <v>799</v>
      </c>
      <c r="F60" s="409">
        <f>SUM(G60,K60,L60)</f>
        <v>2400</v>
      </c>
      <c r="G60" s="1325"/>
      <c r="H60" s="1311"/>
      <c r="I60" s="410">
        <v>2400</v>
      </c>
      <c r="J60" s="1233"/>
      <c r="K60" s="653">
        <f t="shared" si="0"/>
        <v>2400</v>
      </c>
      <c r="L60" s="646"/>
    </row>
    <row r="61" spans="1:12" s="159" customFormat="1" ht="19.5" customHeight="1">
      <c r="A61" s="1318">
        <v>55</v>
      </c>
      <c r="B61" s="217"/>
      <c r="C61" s="218"/>
      <c r="D61" s="161" t="s">
        <v>551</v>
      </c>
      <c r="E61" s="156"/>
      <c r="F61" s="409"/>
      <c r="G61" s="1319"/>
      <c r="H61" s="1307"/>
      <c r="I61" s="145"/>
      <c r="J61" s="1232"/>
      <c r="K61" s="653"/>
      <c r="L61" s="644"/>
    </row>
    <row r="62" spans="1:12" s="159" customFormat="1" ht="19.5" customHeight="1">
      <c r="A62" s="1318">
        <v>56</v>
      </c>
      <c r="B62" s="217"/>
      <c r="C62" s="218"/>
      <c r="D62" s="161" t="s">
        <v>628</v>
      </c>
      <c r="E62" s="156"/>
      <c r="F62" s="409"/>
      <c r="G62" s="1319"/>
      <c r="H62" s="1307"/>
      <c r="I62" s="145"/>
      <c r="J62" s="1232"/>
      <c r="K62" s="653"/>
      <c r="L62" s="644"/>
    </row>
    <row r="63" spans="1:12" ht="15">
      <c r="A63" s="1318">
        <v>57</v>
      </c>
      <c r="B63" s="217"/>
      <c r="C63" s="218">
        <v>41</v>
      </c>
      <c r="D63" s="425" t="s">
        <v>629</v>
      </c>
      <c r="E63" s="156" t="s">
        <v>799</v>
      </c>
      <c r="F63" s="409">
        <f>SUM(G63,K63,L63)</f>
        <v>0</v>
      </c>
      <c r="G63" s="1325"/>
      <c r="H63" s="1311"/>
      <c r="I63" s="410">
        <v>0</v>
      </c>
      <c r="J63" s="1233"/>
      <c r="K63" s="653">
        <f t="shared" si="0"/>
        <v>0</v>
      </c>
      <c r="L63" s="646"/>
    </row>
    <row r="64" spans="1:12" s="159" customFormat="1" ht="19.5" customHeight="1">
      <c r="A64" s="1318">
        <v>58</v>
      </c>
      <c r="B64" s="217"/>
      <c r="C64" s="218"/>
      <c r="D64" s="161" t="s">
        <v>630</v>
      </c>
      <c r="E64" s="156"/>
      <c r="F64" s="409"/>
      <c r="G64" s="1319"/>
      <c r="H64" s="1307"/>
      <c r="I64" s="145"/>
      <c r="J64" s="1232"/>
      <c r="K64" s="653"/>
      <c r="L64" s="644"/>
    </row>
    <row r="65" spans="1:12" ht="15.75" customHeight="1">
      <c r="A65" s="1318">
        <v>59</v>
      </c>
      <c r="B65" s="217"/>
      <c r="C65" s="218">
        <v>42</v>
      </c>
      <c r="D65" s="425" t="s">
        <v>631</v>
      </c>
      <c r="E65" s="156" t="s">
        <v>799</v>
      </c>
      <c r="F65" s="409">
        <f>SUM(G65,K65,L65)</f>
        <v>1600</v>
      </c>
      <c r="G65" s="1325"/>
      <c r="H65" s="1311"/>
      <c r="I65" s="410">
        <v>1600</v>
      </c>
      <c r="J65" s="1233"/>
      <c r="K65" s="653">
        <f t="shared" si="0"/>
        <v>1600</v>
      </c>
      <c r="L65" s="646"/>
    </row>
    <row r="66" spans="1:12" ht="15">
      <c r="A66" s="1318">
        <v>60</v>
      </c>
      <c r="B66" s="217"/>
      <c r="C66" s="218">
        <v>43</v>
      </c>
      <c r="D66" s="147" t="s">
        <v>632</v>
      </c>
      <c r="E66" s="156" t="s">
        <v>799</v>
      </c>
      <c r="F66" s="409">
        <f>SUM(G66,K66,L66)</f>
        <v>2500</v>
      </c>
      <c r="G66" s="1319"/>
      <c r="H66" s="1307"/>
      <c r="I66" s="145">
        <v>2500</v>
      </c>
      <c r="J66" s="1232"/>
      <c r="K66" s="653">
        <f t="shared" si="0"/>
        <v>2500</v>
      </c>
      <c r="L66" s="646"/>
    </row>
    <row r="67" spans="1:12" s="159" customFormat="1" ht="19.5" customHeight="1">
      <c r="A67" s="1318">
        <v>61</v>
      </c>
      <c r="B67" s="217"/>
      <c r="C67" s="218"/>
      <c r="D67" s="161" t="s">
        <v>633</v>
      </c>
      <c r="E67" s="156"/>
      <c r="F67" s="409"/>
      <c r="G67" s="1319"/>
      <c r="H67" s="1307"/>
      <c r="I67" s="145"/>
      <c r="J67" s="1232"/>
      <c r="K67" s="653"/>
      <c r="L67" s="644"/>
    </row>
    <row r="68" spans="1:12" ht="30">
      <c r="A68" s="1318">
        <v>62</v>
      </c>
      <c r="B68" s="217"/>
      <c r="C68" s="218">
        <v>44</v>
      </c>
      <c r="D68" s="147" t="s">
        <v>634</v>
      </c>
      <c r="E68" s="156" t="s">
        <v>799</v>
      </c>
      <c r="F68" s="409">
        <f>SUM(G68,K68,L68)</f>
        <v>7800</v>
      </c>
      <c r="G68" s="1319"/>
      <c r="H68" s="1307"/>
      <c r="I68" s="145">
        <v>7800</v>
      </c>
      <c r="J68" s="1232"/>
      <c r="K68" s="653">
        <f t="shared" si="0"/>
        <v>7800</v>
      </c>
      <c r="L68" s="646"/>
    </row>
    <row r="69" spans="1:12" ht="30">
      <c r="A69" s="1318">
        <v>63</v>
      </c>
      <c r="B69" s="217"/>
      <c r="C69" s="218">
        <v>45</v>
      </c>
      <c r="D69" s="147" t="s">
        <v>56</v>
      </c>
      <c r="E69" s="156"/>
      <c r="F69" s="409">
        <f>SUM(G69,K69,L69)</f>
        <v>3745</v>
      </c>
      <c r="G69" s="1319"/>
      <c r="H69" s="1307"/>
      <c r="I69" s="145">
        <v>3745</v>
      </c>
      <c r="J69" s="1232"/>
      <c r="K69" s="653">
        <f t="shared" si="0"/>
        <v>3745</v>
      </c>
      <c r="L69" s="646"/>
    </row>
    <row r="70" spans="1:12" s="159" customFormat="1" ht="19.5" customHeight="1">
      <c r="A70" s="1318">
        <v>64</v>
      </c>
      <c r="B70" s="217"/>
      <c r="C70" s="218"/>
      <c r="D70" s="161" t="s">
        <v>635</v>
      </c>
      <c r="E70" s="156"/>
      <c r="F70" s="409"/>
      <c r="G70" s="1319"/>
      <c r="H70" s="1307"/>
      <c r="I70" s="145"/>
      <c r="J70" s="1232"/>
      <c r="K70" s="653"/>
      <c r="L70" s="644"/>
    </row>
    <row r="71" spans="1:12" ht="15">
      <c r="A71" s="1318">
        <v>65</v>
      </c>
      <c r="B71" s="217"/>
      <c r="C71" s="218">
        <v>46</v>
      </c>
      <c r="D71" s="425" t="s">
        <v>636</v>
      </c>
      <c r="E71" s="155" t="s">
        <v>799</v>
      </c>
      <c r="F71" s="409">
        <f>SUM(G71,K71,L71)</f>
        <v>3000</v>
      </c>
      <c r="G71" s="1327"/>
      <c r="H71" s="1312"/>
      <c r="I71" s="1341">
        <v>3000</v>
      </c>
      <c r="J71" s="1342"/>
      <c r="K71" s="653">
        <f t="shared" si="0"/>
        <v>3000</v>
      </c>
      <c r="L71" s="646"/>
    </row>
    <row r="72" spans="1:12" s="159" customFormat="1" ht="19.5" customHeight="1">
      <c r="A72" s="1318">
        <v>66</v>
      </c>
      <c r="B72" s="217"/>
      <c r="C72" s="218"/>
      <c r="D72" s="161" t="s">
        <v>637</v>
      </c>
      <c r="E72" s="156"/>
      <c r="F72" s="409"/>
      <c r="G72" s="1319"/>
      <c r="H72" s="1307"/>
      <c r="I72" s="145"/>
      <c r="J72" s="1232"/>
      <c r="K72" s="653"/>
      <c r="L72" s="644"/>
    </row>
    <row r="73" spans="1:12" ht="15">
      <c r="A73" s="1318">
        <v>67</v>
      </c>
      <c r="B73" s="217"/>
      <c r="C73" s="218">
        <v>47</v>
      </c>
      <c r="D73" s="147" t="s">
        <v>638</v>
      </c>
      <c r="E73" s="156" t="s">
        <v>799</v>
      </c>
      <c r="F73" s="409">
        <f>SUM(G73,K73,L73)</f>
        <v>990</v>
      </c>
      <c r="G73" s="1325"/>
      <c r="H73" s="1311"/>
      <c r="I73" s="410">
        <v>990</v>
      </c>
      <c r="J73" s="1233"/>
      <c r="K73" s="653">
        <f t="shared" si="0"/>
        <v>990</v>
      </c>
      <c r="L73" s="646"/>
    </row>
    <row r="74" spans="1:12" ht="30">
      <c r="A74" s="1318">
        <v>68</v>
      </c>
      <c r="B74" s="217"/>
      <c r="C74" s="218">
        <v>48</v>
      </c>
      <c r="D74" s="161" t="s">
        <v>927</v>
      </c>
      <c r="E74" s="156" t="s">
        <v>799</v>
      </c>
      <c r="F74" s="409">
        <v>15000</v>
      </c>
      <c r="G74" s="1325"/>
      <c r="H74" s="1311"/>
      <c r="I74" s="409">
        <v>15000</v>
      </c>
      <c r="J74" s="1156"/>
      <c r="K74" s="653">
        <f t="shared" si="0"/>
        <v>15000</v>
      </c>
      <c r="L74" s="646"/>
    </row>
    <row r="75" spans="1:12" s="159" customFormat="1" ht="19.5" customHeight="1">
      <c r="A75" s="1318">
        <v>69</v>
      </c>
      <c r="B75" s="217"/>
      <c r="C75" s="218"/>
      <c r="D75" s="161" t="s">
        <v>639</v>
      </c>
      <c r="E75" s="156"/>
      <c r="F75" s="409"/>
      <c r="G75" s="1319"/>
      <c r="H75" s="1307"/>
      <c r="I75" s="145"/>
      <c r="J75" s="1232"/>
      <c r="K75" s="653"/>
      <c r="L75" s="644"/>
    </row>
    <row r="76" spans="1:12" ht="15">
      <c r="A76" s="1318">
        <v>70</v>
      </c>
      <c r="B76" s="217"/>
      <c r="C76" s="218">
        <v>49</v>
      </c>
      <c r="D76" s="147" t="s">
        <v>1058</v>
      </c>
      <c r="E76" s="155" t="s">
        <v>799</v>
      </c>
      <c r="F76" s="409">
        <f>SUM(G76,K76,L76)</f>
        <v>2638</v>
      </c>
      <c r="G76" s="1321"/>
      <c r="H76" s="1309"/>
      <c r="I76" s="1337">
        <v>2638</v>
      </c>
      <c r="J76" s="1338"/>
      <c r="K76" s="653">
        <f t="shared" si="0"/>
        <v>2638</v>
      </c>
      <c r="L76" s="646"/>
    </row>
    <row r="77" spans="1:12" s="159" customFormat="1" ht="19.5" customHeight="1">
      <c r="A77" s="1318">
        <v>71</v>
      </c>
      <c r="B77" s="217"/>
      <c r="C77" s="218"/>
      <c r="D77" s="161" t="s">
        <v>852</v>
      </c>
      <c r="E77" s="156"/>
      <c r="F77" s="409"/>
      <c r="G77" s="1319"/>
      <c r="H77" s="1307"/>
      <c r="I77" s="145"/>
      <c r="J77" s="1232"/>
      <c r="K77" s="653"/>
      <c r="L77" s="644"/>
    </row>
    <row r="78" spans="1:12" ht="15">
      <c r="A78" s="1318">
        <v>72</v>
      </c>
      <c r="B78" s="217"/>
      <c r="C78" s="218">
        <v>50</v>
      </c>
      <c r="D78" s="147" t="s">
        <v>640</v>
      </c>
      <c r="E78" s="156" t="s">
        <v>799</v>
      </c>
      <c r="F78" s="409">
        <f aca="true" t="shared" si="3" ref="F78:F115">SUM(G78,K78,L78)</f>
        <v>795</v>
      </c>
      <c r="G78" s="1325"/>
      <c r="H78" s="1311"/>
      <c r="I78" s="410">
        <v>715</v>
      </c>
      <c r="J78" s="1233">
        <v>80</v>
      </c>
      <c r="K78" s="653">
        <f aca="true" t="shared" si="4" ref="K78:K115">SUM(I78:J78)</f>
        <v>795</v>
      </c>
      <c r="L78" s="646"/>
    </row>
    <row r="79" spans="1:12" ht="15">
      <c r="A79" s="1318">
        <v>73</v>
      </c>
      <c r="B79" s="217"/>
      <c r="C79" s="218">
        <v>51</v>
      </c>
      <c r="D79" s="147" t="s">
        <v>642</v>
      </c>
      <c r="E79" s="156" t="s">
        <v>799</v>
      </c>
      <c r="F79" s="409">
        <f t="shared" si="3"/>
        <v>258</v>
      </c>
      <c r="G79" s="1325"/>
      <c r="H79" s="1311"/>
      <c r="I79" s="410">
        <v>338</v>
      </c>
      <c r="J79" s="1233">
        <v>-80</v>
      </c>
      <c r="K79" s="653">
        <f t="shared" si="4"/>
        <v>258</v>
      </c>
      <c r="L79" s="646"/>
    </row>
    <row r="80" spans="1:12" s="159" customFormat="1" ht="19.5" customHeight="1">
      <c r="A80" s="1318">
        <v>74</v>
      </c>
      <c r="B80" s="217"/>
      <c r="C80" s="218"/>
      <c r="D80" s="161" t="s">
        <v>643</v>
      </c>
      <c r="E80" s="156"/>
      <c r="F80" s="409"/>
      <c r="G80" s="1319"/>
      <c r="H80" s="1307"/>
      <c r="I80" s="145"/>
      <c r="J80" s="1232"/>
      <c r="K80" s="653"/>
      <c r="L80" s="644"/>
    </row>
    <row r="81" spans="1:12" ht="15">
      <c r="A81" s="1318">
        <v>75</v>
      </c>
      <c r="B81" s="217"/>
      <c r="C81" s="218">
        <v>52</v>
      </c>
      <c r="D81" s="425" t="s">
        <v>644</v>
      </c>
      <c r="E81" s="156" t="s">
        <v>799</v>
      </c>
      <c r="F81" s="409">
        <f t="shared" si="3"/>
        <v>1500</v>
      </c>
      <c r="G81" s="1327"/>
      <c r="H81" s="1312"/>
      <c r="I81" s="1341">
        <v>1500</v>
      </c>
      <c r="J81" s="1342"/>
      <c r="K81" s="653">
        <f t="shared" si="4"/>
        <v>1500</v>
      </c>
      <c r="L81" s="646"/>
    </row>
    <row r="82" spans="1:12" s="159" customFormat="1" ht="19.5" customHeight="1">
      <c r="A82" s="1318">
        <v>76</v>
      </c>
      <c r="B82" s="217"/>
      <c r="C82" s="218"/>
      <c r="D82" s="161" t="s">
        <v>365</v>
      </c>
      <c r="E82" s="156"/>
      <c r="F82" s="409"/>
      <c r="G82" s="1319"/>
      <c r="H82" s="1307"/>
      <c r="I82" s="145"/>
      <c r="J82" s="1232"/>
      <c r="K82" s="653"/>
      <c r="L82" s="644"/>
    </row>
    <row r="83" spans="1:12" ht="30">
      <c r="A83" s="1318">
        <v>77</v>
      </c>
      <c r="B83" s="217"/>
      <c r="C83" s="218">
        <v>53</v>
      </c>
      <c r="D83" s="147" t="s">
        <v>645</v>
      </c>
      <c r="E83" s="155" t="s">
        <v>799</v>
      </c>
      <c r="F83" s="409">
        <f t="shared" si="3"/>
        <v>1065</v>
      </c>
      <c r="G83" s="1319"/>
      <c r="H83" s="1307"/>
      <c r="I83" s="145">
        <v>1065</v>
      </c>
      <c r="J83" s="1232"/>
      <c r="K83" s="653">
        <f t="shared" si="4"/>
        <v>1065</v>
      </c>
      <c r="L83" s="644"/>
    </row>
    <row r="84" spans="1:12" ht="15">
      <c r="A84" s="1318">
        <v>78</v>
      </c>
      <c r="B84" s="217"/>
      <c r="C84" s="218">
        <v>54</v>
      </c>
      <c r="D84" s="147" t="s">
        <v>646</v>
      </c>
      <c r="E84" s="156" t="s">
        <v>799</v>
      </c>
      <c r="F84" s="409">
        <f t="shared" si="3"/>
        <v>1500</v>
      </c>
      <c r="G84" s="1319"/>
      <c r="H84" s="1307"/>
      <c r="I84" s="145">
        <v>1500</v>
      </c>
      <c r="J84" s="1232"/>
      <c r="K84" s="653">
        <f t="shared" si="4"/>
        <v>1500</v>
      </c>
      <c r="L84" s="644"/>
    </row>
    <row r="85" spans="1:12" s="159" customFormat="1" ht="19.5" customHeight="1">
      <c r="A85" s="1318">
        <v>79</v>
      </c>
      <c r="B85" s="217"/>
      <c r="C85" s="218"/>
      <c r="D85" s="161" t="s">
        <v>823</v>
      </c>
      <c r="E85" s="156"/>
      <c r="F85" s="409"/>
      <c r="G85" s="1319"/>
      <c r="H85" s="1307"/>
      <c r="I85" s="145"/>
      <c r="J85" s="1232"/>
      <c r="K85" s="653"/>
      <c r="L85" s="644"/>
    </row>
    <row r="86" spans="1:12" ht="15">
      <c r="A86" s="1318">
        <v>80</v>
      </c>
      <c r="B86" s="217"/>
      <c r="C86" s="218">
        <v>55</v>
      </c>
      <c r="D86" s="147" t="s">
        <v>648</v>
      </c>
      <c r="E86" s="156" t="s">
        <v>799</v>
      </c>
      <c r="F86" s="409">
        <f t="shared" si="3"/>
        <v>7600</v>
      </c>
      <c r="G86" s="1325"/>
      <c r="H86" s="1311"/>
      <c r="I86" s="410">
        <v>7600</v>
      </c>
      <c r="J86" s="1233"/>
      <c r="K86" s="653">
        <f t="shared" si="4"/>
        <v>7600</v>
      </c>
      <c r="L86" s="646"/>
    </row>
    <row r="87" spans="1:12" ht="15">
      <c r="A87" s="1318">
        <v>81</v>
      </c>
      <c r="B87" s="217"/>
      <c r="C87" s="218">
        <v>56</v>
      </c>
      <c r="D87" s="147" t="s">
        <v>649</v>
      </c>
      <c r="E87" s="155" t="s">
        <v>799</v>
      </c>
      <c r="F87" s="409">
        <f t="shared" si="3"/>
        <v>7000</v>
      </c>
      <c r="G87" s="1325"/>
      <c r="H87" s="1311"/>
      <c r="I87" s="410">
        <v>7000</v>
      </c>
      <c r="J87" s="1233"/>
      <c r="K87" s="653">
        <f t="shared" si="4"/>
        <v>7000</v>
      </c>
      <c r="L87" s="646"/>
    </row>
    <row r="88" spans="1:12" ht="15">
      <c r="A88" s="1318">
        <v>82</v>
      </c>
      <c r="B88" s="217"/>
      <c r="C88" s="218">
        <v>57</v>
      </c>
      <c r="D88" s="147" t="s">
        <v>55</v>
      </c>
      <c r="E88" s="155" t="s">
        <v>799</v>
      </c>
      <c r="F88" s="409">
        <f t="shared" si="3"/>
        <v>6000</v>
      </c>
      <c r="G88" s="1325">
        <v>26</v>
      </c>
      <c r="H88" s="1311"/>
      <c r="I88" s="410">
        <v>5974</v>
      </c>
      <c r="J88" s="1233"/>
      <c r="K88" s="653">
        <f t="shared" si="4"/>
        <v>5974</v>
      </c>
      <c r="L88" s="646"/>
    </row>
    <row r="89" spans="1:12" ht="15">
      <c r="A89" s="1318">
        <v>83</v>
      </c>
      <c r="B89" s="217"/>
      <c r="C89" s="218">
        <v>58</v>
      </c>
      <c r="D89" s="147" t="s">
        <v>650</v>
      </c>
      <c r="E89" s="156" t="s">
        <v>799</v>
      </c>
      <c r="F89" s="409">
        <f t="shared" si="3"/>
        <v>9350</v>
      </c>
      <c r="G89" s="1325"/>
      <c r="H89" s="1311"/>
      <c r="I89" s="410">
        <v>9350</v>
      </c>
      <c r="J89" s="1233"/>
      <c r="K89" s="653">
        <f t="shared" si="4"/>
        <v>9350</v>
      </c>
      <c r="L89" s="646"/>
    </row>
    <row r="90" spans="1:12" s="159" customFormat="1" ht="19.5" customHeight="1">
      <c r="A90" s="1318">
        <v>84</v>
      </c>
      <c r="B90" s="217"/>
      <c r="C90" s="218"/>
      <c r="D90" s="161" t="s">
        <v>822</v>
      </c>
      <c r="E90" s="156"/>
      <c r="F90" s="409"/>
      <c r="G90" s="1319"/>
      <c r="H90" s="1307"/>
      <c r="I90" s="145"/>
      <c r="J90" s="1232"/>
      <c r="K90" s="653"/>
      <c r="L90" s="644"/>
    </row>
    <row r="91" spans="1:12" ht="15">
      <c r="A91" s="1318">
        <v>85</v>
      </c>
      <c r="B91" s="217"/>
      <c r="C91" s="218">
        <v>59</v>
      </c>
      <c r="D91" s="425" t="s">
        <v>651</v>
      </c>
      <c r="E91" s="155" t="s">
        <v>799</v>
      </c>
      <c r="F91" s="409">
        <f t="shared" si="3"/>
        <v>1800</v>
      </c>
      <c r="G91" s="1328"/>
      <c r="H91" s="1314"/>
      <c r="I91" s="1343">
        <v>1800</v>
      </c>
      <c r="J91" s="1344"/>
      <c r="K91" s="653">
        <f t="shared" si="4"/>
        <v>1800</v>
      </c>
      <c r="L91" s="646"/>
    </row>
    <row r="92" spans="1:12" s="159" customFormat="1" ht="19.5" customHeight="1">
      <c r="A92" s="1318">
        <v>86</v>
      </c>
      <c r="B92" s="217"/>
      <c r="C92" s="218"/>
      <c r="D92" s="161" t="s">
        <v>825</v>
      </c>
      <c r="E92" s="156"/>
      <c r="F92" s="409"/>
      <c r="G92" s="1319"/>
      <c r="H92" s="1307"/>
      <c r="I92" s="145"/>
      <c r="J92" s="1232"/>
      <c r="K92" s="653"/>
      <c r="L92" s="644"/>
    </row>
    <row r="93" spans="1:12" ht="15">
      <c r="A93" s="1318">
        <v>87</v>
      </c>
      <c r="B93" s="217"/>
      <c r="C93" s="218">
        <v>60</v>
      </c>
      <c r="D93" s="425" t="s">
        <v>654</v>
      </c>
      <c r="E93" s="156" t="s">
        <v>799</v>
      </c>
      <c r="F93" s="409">
        <f t="shared" si="3"/>
        <v>4500</v>
      </c>
      <c r="G93" s="1328"/>
      <c r="H93" s="1314"/>
      <c r="I93" s="1343">
        <v>4500</v>
      </c>
      <c r="J93" s="1344"/>
      <c r="K93" s="653">
        <f t="shared" si="4"/>
        <v>4500</v>
      </c>
      <c r="L93" s="646"/>
    </row>
    <row r="94" spans="1:12" ht="15">
      <c r="A94" s="1318">
        <v>88</v>
      </c>
      <c r="B94" s="217"/>
      <c r="C94" s="218">
        <v>61</v>
      </c>
      <c r="D94" s="425" t="s">
        <v>934</v>
      </c>
      <c r="E94" s="156" t="s">
        <v>799</v>
      </c>
      <c r="F94" s="409">
        <f t="shared" si="3"/>
        <v>800</v>
      </c>
      <c r="G94" s="1328"/>
      <c r="H94" s="1314"/>
      <c r="I94" s="1343">
        <v>800</v>
      </c>
      <c r="J94" s="1344"/>
      <c r="K94" s="653">
        <f t="shared" si="4"/>
        <v>800</v>
      </c>
      <c r="L94" s="646"/>
    </row>
    <row r="95" spans="1:12" ht="15">
      <c r="A95" s="1318">
        <v>89</v>
      </c>
      <c r="B95" s="217"/>
      <c r="C95" s="218"/>
      <c r="D95" s="161" t="s">
        <v>827</v>
      </c>
      <c r="E95" s="156"/>
      <c r="F95" s="409"/>
      <c r="G95" s="1328"/>
      <c r="H95" s="1314"/>
      <c r="I95" s="1343"/>
      <c r="J95" s="1344"/>
      <c r="K95" s="653"/>
      <c r="L95" s="646"/>
    </row>
    <row r="96" spans="1:12" ht="15">
      <c r="A96" s="1318">
        <v>90</v>
      </c>
      <c r="B96" s="217"/>
      <c r="C96" s="218">
        <v>62</v>
      </c>
      <c r="D96" s="425" t="s">
        <v>934</v>
      </c>
      <c r="E96" s="156" t="s">
        <v>799</v>
      </c>
      <c r="F96" s="409">
        <f t="shared" si="3"/>
        <v>1200</v>
      </c>
      <c r="G96" s="1328"/>
      <c r="H96" s="1314"/>
      <c r="I96" s="1343">
        <v>1200</v>
      </c>
      <c r="J96" s="1344"/>
      <c r="K96" s="653">
        <f t="shared" si="4"/>
        <v>1200</v>
      </c>
      <c r="L96" s="646"/>
    </row>
    <row r="97" spans="1:12" s="159" customFormat="1" ht="19.5" customHeight="1">
      <c r="A97" s="1318">
        <v>91</v>
      </c>
      <c r="B97" s="217"/>
      <c r="C97" s="218"/>
      <c r="D97" s="161" t="s">
        <v>828</v>
      </c>
      <c r="E97" s="156"/>
      <c r="F97" s="409"/>
      <c r="G97" s="1319"/>
      <c r="H97" s="1307"/>
      <c r="I97" s="145"/>
      <c r="J97" s="1232"/>
      <c r="K97" s="653"/>
      <c r="L97" s="644"/>
    </row>
    <row r="98" spans="1:12" ht="15">
      <c r="A98" s="1318">
        <v>92</v>
      </c>
      <c r="B98" s="217"/>
      <c r="C98" s="218">
        <v>63</v>
      </c>
      <c r="D98" s="147" t="s">
        <v>658</v>
      </c>
      <c r="E98" s="156" t="s">
        <v>799</v>
      </c>
      <c r="F98" s="409">
        <f t="shared" si="3"/>
        <v>5000</v>
      </c>
      <c r="G98" s="1325"/>
      <c r="H98" s="1311"/>
      <c r="I98" s="410">
        <v>5000</v>
      </c>
      <c r="J98" s="1233"/>
      <c r="K98" s="653">
        <f t="shared" si="4"/>
        <v>5000</v>
      </c>
      <c r="L98" s="646"/>
    </row>
    <row r="99" spans="1:12" s="159" customFormat="1" ht="19.5" customHeight="1">
      <c r="A99" s="1318">
        <v>93</v>
      </c>
      <c r="B99" s="217"/>
      <c r="C99" s="218"/>
      <c r="D99" s="161" t="s">
        <v>831</v>
      </c>
      <c r="E99" s="156"/>
      <c r="F99" s="409"/>
      <c r="G99" s="1319"/>
      <c r="H99" s="1307"/>
      <c r="I99" s="145"/>
      <c r="J99" s="1232"/>
      <c r="K99" s="653"/>
      <c r="L99" s="644"/>
    </row>
    <row r="100" spans="1:12" ht="15" customHeight="1">
      <c r="A100" s="1318">
        <v>94</v>
      </c>
      <c r="B100" s="217"/>
      <c r="C100" s="218">
        <v>64</v>
      </c>
      <c r="D100" s="147" t="s">
        <v>659</v>
      </c>
      <c r="E100" s="155" t="s">
        <v>799</v>
      </c>
      <c r="F100" s="409">
        <f t="shared" si="3"/>
        <v>2000</v>
      </c>
      <c r="G100" s="1319"/>
      <c r="H100" s="1307"/>
      <c r="I100" s="145">
        <v>2000</v>
      </c>
      <c r="J100" s="1232"/>
      <c r="K100" s="653">
        <f t="shared" si="4"/>
        <v>2000</v>
      </c>
      <c r="L100" s="646"/>
    </row>
    <row r="101" spans="1:12" ht="15" customHeight="1">
      <c r="A101" s="1318">
        <v>95</v>
      </c>
      <c r="B101" s="217"/>
      <c r="C101" s="218"/>
      <c r="D101" s="161" t="s">
        <v>821</v>
      </c>
      <c r="E101" s="155"/>
      <c r="F101" s="409"/>
      <c r="G101" s="1319"/>
      <c r="H101" s="1307"/>
      <c r="I101" s="145"/>
      <c r="J101" s="1232"/>
      <c r="K101" s="653"/>
      <c r="L101" s="646"/>
    </row>
    <row r="102" spans="1:12" ht="15" customHeight="1">
      <c r="A102" s="1318">
        <v>96</v>
      </c>
      <c r="B102" s="217"/>
      <c r="C102" s="218">
        <v>65</v>
      </c>
      <c r="D102" s="147" t="s">
        <v>656</v>
      </c>
      <c r="E102" s="155"/>
      <c r="F102" s="409">
        <v>4400</v>
      </c>
      <c r="G102" s="1319"/>
      <c r="H102" s="1307"/>
      <c r="I102" s="145">
        <v>4400</v>
      </c>
      <c r="J102" s="1232"/>
      <c r="K102" s="653">
        <f>SUM(H102:J102)</f>
        <v>4400</v>
      </c>
      <c r="L102" s="646"/>
    </row>
    <row r="103" spans="1:12" s="159" customFormat="1" ht="19.5" customHeight="1">
      <c r="A103" s="1318">
        <v>97</v>
      </c>
      <c r="B103" s="217"/>
      <c r="C103" s="218"/>
      <c r="D103" s="161" t="s">
        <v>367</v>
      </c>
      <c r="E103" s="156"/>
      <c r="F103" s="409"/>
      <c r="G103" s="1319"/>
      <c r="H103" s="1307"/>
      <c r="I103" s="145"/>
      <c r="J103" s="1232"/>
      <c r="K103" s="653"/>
      <c r="L103" s="644"/>
    </row>
    <row r="104" spans="1:12" ht="30">
      <c r="A104" s="1318">
        <v>98</v>
      </c>
      <c r="B104" s="217"/>
      <c r="C104" s="218">
        <v>66</v>
      </c>
      <c r="D104" s="147" t="s">
        <v>661</v>
      </c>
      <c r="E104" s="156" t="s">
        <v>799</v>
      </c>
      <c r="F104" s="409">
        <f t="shared" si="3"/>
        <v>0</v>
      </c>
      <c r="G104" s="1319"/>
      <c r="H104" s="1307"/>
      <c r="I104" s="145">
        <v>0</v>
      </c>
      <c r="J104" s="1232"/>
      <c r="K104" s="653">
        <f t="shared" si="4"/>
        <v>0</v>
      </c>
      <c r="L104" s="646"/>
    </row>
    <row r="105" spans="1:12" s="159" customFormat="1" ht="19.5" customHeight="1">
      <c r="A105" s="1318">
        <v>99</v>
      </c>
      <c r="B105" s="217"/>
      <c r="C105" s="218"/>
      <c r="D105" s="161" t="s">
        <v>843</v>
      </c>
      <c r="E105" s="156"/>
      <c r="F105" s="409"/>
      <c r="G105" s="1319"/>
      <c r="H105" s="1307"/>
      <c r="I105" s="145"/>
      <c r="J105" s="1232"/>
      <c r="K105" s="653"/>
      <c r="L105" s="644"/>
    </row>
    <row r="106" spans="1:12" ht="15">
      <c r="A106" s="1318">
        <v>100</v>
      </c>
      <c r="B106" s="217"/>
      <c r="C106" s="218">
        <v>67</v>
      </c>
      <c r="D106" s="425" t="s">
        <v>662</v>
      </c>
      <c r="E106" s="156" t="s">
        <v>799</v>
      </c>
      <c r="F106" s="409">
        <f t="shared" si="3"/>
        <v>38890</v>
      </c>
      <c r="G106" s="1327">
        <v>134</v>
      </c>
      <c r="H106" s="1312"/>
      <c r="I106" s="1341">
        <v>38756</v>
      </c>
      <c r="J106" s="1342"/>
      <c r="K106" s="653">
        <f t="shared" si="4"/>
        <v>38756</v>
      </c>
      <c r="L106" s="646"/>
    </row>
    <row r="107" spans="1:12" ht="15">
      <c r="A107" s="1318">
        <v>101</v>
      </c>
      <c r="B107" s="217"/>
      <c r="C107" s="218">
        <v>68</v>
      </c>
      <c r="D107" s="425" t="s">
        <v>454</v>
      </c>
      <c r="E107" s="156"/>
      <c r="F107" s="409">
        <v>438</v>
      </c>
      <c r="G107" s="1327"/>
      <c r="H107" s="1312"/>
      <c r="I107" s="1341">
        <v>438</v>
      </c>
      <c r="J107" s="1342"/>
      <c r="K107" s="653">
        <f>SUM(I107:J107)</f>
        <v>438</v>
      </c>
      <c r="L107" s="646"/>
    </row>
    <row r="108" spans="1:12" s="159" customFormat="1" ht="19.5" customHeight="1">
      <c r="A108" s="1318">
        <v>102</v>
      </c>
      <c r="B108" s="217"/>
      <c r="C108" s="218"/>
      <c r="D108" s="161" t="s">
        <v>663</v>
      </c>
      <c r="E108" s="156"/>
      <c r="F108" s="409"/>
      <c r="G108" s="1319"/>
      <c r="H108" s="1307"/>
      <c r="I108" s="145"/>
      <c r="J108" s="1232"/>
      <c r="K108" s="653"/>
      <c r="L108" s="644"/>
    </row>
    <row r="109" spans="1:12" ht="15">
      <c r="A109" s="1318">
        <v>103</v>
      </c>
      <c r="B109" s="217"/>
      <c r="C109" s="218">
        <v>69</v>
      </c>
      <c r="D109" s="147" t="s">
        <v>664</v>
      </c>
      <c r="E109" s="155" t="s">
        <v>799</v>
      </c>
      <c r="F109" s="409">
        <f t="shared" si="3"/>
        <v>3500</v>
      </c>
      <c r="G109" s="1325"/>
      <c r="H109" s="1311"/>
      <c r="I109" s="410">
        <v>3500</v>
      </c>
      <c r="J109" s="1233"/>
      <c r="K109" s="653">
        <f t="shared" si="4"/>
        <v>3500</v>
      </c>
      <c r="L109" s="646"/>
    </row>
    <row r="110" spans="1:12" ht="15">
      <c r="A110" s="1318">
        <v>104</v>
      </c>
      <c r="B110" s="217"/>
      <c r="C110" s="218">
        <v>70</v>
      </c>
      <c r="D110" s="147" t="s">
        <v>454</v>
      </c>
      <c r="E110" s="155"/>
      <c r="F110" s="409">
        <v>412</v>
      </c>
      <c r="G110" s="1325"/>
      <c r="H110" s="1311"/>
      <c r="I110" s="410">
        <v>412</v>
      </c>
      <c r="J110" s="1233"/>
      <c r="K110" s="653">
        <f>SUM(I110:J110)</f>
        <v>412</v>
      </c>
      <c r="L110" s="646"/>
    </row>
    <row r="111" spans="1:12" s="159" customFormat="1" ht="19.5" customHeight="1">
      <c r="A111" s="1318">
        <v>105</v>
      </c>
      <c r="B111" s="217"/>
      <c r="C111" s="218"/>
      <c r="D111" s="161" t="s">
        <v>665</v>
      </c>
      <c r="E111" s="156"/>
      <c r="F111" s="409"/>
      <c r="G111" s="1319"/>
      <c r="H111" s="1307"/>
      <c r="I111" s="145"/>
      <c r="J111" s="1232"/>
      <c r="K111" s="653"/>
      <c r="L111" s="644"/>
    </row>
    <row r="112" spans="1:12" s="159" customFormat="1" ht="15">
      <c r="A112" s="1318">
        <v>106</v>
      </c>
      <c r="B112" s="217"/>
      <c r="C112" s="218"/>
      <c r="D112" s="161" t="s">
        <v>666</v>
      </c>
      <c r="E112" s="156"/>
      <c r="F112" s="409"/>
      <c r="G112" s="1319"/>
      <c r="H112" s="1307"/>
      <c r="I112" s="145"/>
      <c r="J112" s="1232"/>
      <c r="K112" s="653"/>
      <c r="L112" s="644"/>
    </row>
    <row r="113" spans="1:12" ht="30">
      <c r="A113" s="1318">
        <v>107</v>
      </c>
      <c r="B113" s="217"/>
      <c r="C113" s="218">
        <v>71</v>
      </c>
      <c r="D113" s="147" t="s">
        <v>667</v>
      </c>
      <c r="E113" s="155" t="s">
        <v>799</v>
      </c>
      <c r="F113" s="409">
        <f t="shared" si="3"/>
        <v>9660</v>
      </c>
      <c r="G113" s="1319"/>
      <c r="H113" s="1307"/>
      <c r="I113" s="145">
        <v>9660</v>
      </c>
      <c r="J113" s="1232"/>
      <c r="K113" s="653">
        <f t="shared" si="4"/>
        <v>9660</v>
      </c>
      <c r="L113" s="646"/>
    </row>
    <row r="114" spans="1:12" s="159" customFormat="1" ht="15">
      <c r="A114" s="1318">
        <v>108</v>
      </c>
      <c r="B114" s="217"/>
      <c r="C114" s="218"/>
      <c r="D114" s="161" t="s">
        <v>668</v>
      </c>
      <c r="E114" s="156"/>
      <c r="F114" s="409"/>
      <c r="G114" s="1319"/>
      <c r="H114" s="1307"/>
      <c r="I114" s="145"/>
      <c r="J114" s="1232"/>
      <c r="K114" s="653"/>
      <c r="L114" s="644"/>
    </row>
    <row r="115" spans="1:12" ht="30">
      <c r="A115" s="1318">
        <v>109</v>
      </c>
      <c r="B115" s="217"/>
      <c r="C115" s="218">
        <v>72</v>
      </c>
      <c r="D115" s="147" t="s">
        <v>669</v>
      </c>
      <c r="E115" s="156" t="s">
        <v>799</v>
      </c>
      <c r="F115" s="409">
        <f t="shared" si="3"/>
        <v>3500</v>
      </c>
      <c r="G115" s="1319"/>
      <c r="H115" s="1307"/>
      <c r="I115" s="145">
        <v>3500</v>
      </c>
      <c r="J115" s="1232"/>
      <c r="K115" s="653">
        <f t="shared" si="4"/>
        <v>3500</v>
      </c>
      <c r="L115" s="650"/>
    </row>
    <row r="116" spans="1:12" ht="15.75" thickBot="1">
      <c r="A116" s="1318">
        <v>110</v>
      </c>
      <c r="B116" s="1329"/>
      <c r="C116" s="1330">
        <v>73</v>
      </c>
      <c r="D116" s="1331" t="s">
        <v>1059</v>
      </c>
      <c r="E116" s="1332"/>
      <c r="F116" s="1333">
        <v>306</v>
      </c>
      <c r="G116" s="1334"/>
      <c r="H116" s="1345"/>
      <c r="I116" s="1346">
        <v>306</v>
      </c>
      <c r="J116" s="1347"/>
      <c r="K116" s="1348">
        <f>SUM(H116:J116)</f>
        <v>306</v>
      </c>
      <c r="L116" s="422"/>
    </row>
    <row r="117" spans="1:12" s="158" customFormat="1" ht="21.75" customHeight="1" thickBot="1" thickTop="1">
      <c r="A117" s="1318">
        <v>111</v>
      </c>
      <c r="B117" s="219"/>
      <c r="C117" s="220"/>
      <c r="D117" s="776" t="s">
        <v>670</v>
      </c>
      <c r="E117" s="162"/>
      <c r="F117" s="163">
        <f>SUM(F8:F116)</f>
        <v>879761</v>
      </c>
      <c r="G117" s="163">
        <f>SUM(G8:G115)</f>
        <v>49952</v>
      </c>
      <c r="H117" s="1316">
        <f>SUM(H8:H115)</f>
        <v>204950</v>
      </c>
      <c r="I117" s="163">
        <f>SUM(I8:I115)+I116</f>
        <v>627809</v>
      </c>
      <c r="J117" s="163">
        <f>SUM(J8:J115)+J116</f>
        <v>-3000</v>
      </c>
      <c r="K117" s="654">
        <f>SUM(K8:K115)+K116</f>
        <v>624809</v>
      </c>
      <c r="L117" s="649">
        <f>SUM(L8:L108)</f>
        <v>205000</v>
      </c>
    </row>
    <row r="118" spans="1:12" s="642" customFormat="1" ht="21.75" customHeight="1" thickTop="1">
      <c r="A118" s="1318">
        <v>112</v>
      </c>
      <c r="B118" s="636"/>
      <c r="C118" s="637"/>
      <c r="D118" s="777" t="s">
        <v>880</v>
      </c>
      <c r="E118" s="638"/>
      <c r="F118" s="639"/>
      <c r="G118" s="641"/>
      <c r="H118" s="1315"/>
      <c r="I118" s="427"/>
      <c r="J118" s="640"/>
      <c r="K118" s="655"/>
      <c r="L118" s="648"/>
    </row>
    <row r="119" spans="1:12" s="159" customFormat="1" ht="19.5" customHeight="1">
      <c r="A119" s="1318">
        <v>113</v>
      </c>
      <c r="B119" s="217">
        <v>15</v>
      </c>
      <c r="C119" s="218"/>
      <c r="D119" s="161" t="s">
        <v>364</v>
      </c>
      <c r="E119" s="156"/>
      <c r="F119" s="145"/>
      <c r="G119" s="634"/>
      <c r="H119" s="1307"/>
      <c r="I119" s="145"/>
      <c r="J119" s="1232"/>
      <c r="K119" s="653"/>
      <c r="L119" s="644"/>
    </row>
    <row r="120" spans="1:12" ht="15">
      <c r="A120" s="1318">
        <v>114</v>
      </c>
      <c r="B120" s="217"/>
      <c r="C120" s="218">
        <v>1</v>
      </c>
      <c r="D120" s="147" t="s">
        <v>671</v>
      </c>
      <c r="E120" s="155" t="s">
        <v>799</v>
      </c>
      <c r="F120" s="410">
        <v>14124</v>
      </c>
      <c r="G120" s="635"/>
      <c r="H120" s="1311">
        <v>15240</v>
      </c>
      <c r="I120" s="410">
        <v>12240</v>
      </c>
      <c r="J120" s="1233">
        <v>1884</v>
      </c>
      <c r="K120" s="656">
        <f>SUM(I120:J120)</f>
        <v>14124</v>
      </c>
      <c r="L120" s="646"/>
    </row>
    <row r="121" spans="1:12" ht="15">
      <c r="A121" s="1318">
        <v>115</v>
      </c>
      <c r="B121" s="217"/>
      <c r="C121" s="218">
        <v>2</v>
      </c>
      <c r="D121" s="147" t="s">
        <v>524</v>
      </c>
      <c r="E121" s="155" t="s">
        <v>799</v>
      </c>
      <c r="F121" s="410">
        <v>1788</v>
      </c>
      <c r="G121" s="635"/>
      <c r="H121" s="1311">
        <v>1500</v>
      </c>
      <c r="I121" s="410">
        <v>1500</v>
      </c>
      <c r="J121" s="1233">
        <v>288</v>
      </c>
      <c r="K121" s="656">
        <f>SUM(I121:J121)</f>
        <v>1788</v>
      </c>
      <c r="L121" s="646"/>
    </row>
    <row r="122" spans="1:12" ht="15">
      <c r="A122" s="1318">
        <v>116</v>
      </c>
      <c r="B122" s="217"/>
      <c r="C122" s="218">
        <v>3</v>
      </c>
      <c r="D122" s="147" t="s">
        <v>672</v>
      </c>
      <c r="E122" s="156" t="s">
        <v>799</v>
      </c>
      <c r="F122" s="410">
        <v>1788</v>
      </c>
      <c r="G122" s="635"/>
      <c r="H122" s="1311">
        <v>1500</v>
      </c>
      <c r="I122" s="410">
        <v>384</v>
      </c>
      <c r="J122" s="1233">
        <v>1404</v>
      </c>
      <c r="K122" s="656">
        <f>SUM(I122:J122)</f>
        <v>1788</v>
      </c>
      <c r="L122" s="646"/>
    </row>
    <row r="123" spans="1:12" ht="15">
      <c r="A123" s="1318">
        <v>117</v>
      </c>
      <c r="B123" s="217"/>
      <c r="C123" s="218"/>
      <c r="D123" s="161" t="s">
        <v>853</v>
      </c>
      <c r="E123" s="156" t="s">
        <v>799</v>
      </c>
      <c r="F123" s="410"/>
      <c r="G123" s="635"/>
      <c r="H123" s="1311"/>
      <c r="I123" s="410"/>
      <c r="J123" s="1233"/>
      <c r="K123" s="656"/>
      <c r="L123" s="646"/>
    </row>
    <row r="124" spans="1:13" ht="16.5">
      <c r="A124" s="1318">
        <v>118</v>
      </c>
      <c r="B124" s="217"/>
      <c r="C124" s="218">
        <v>1</v>
      </c>
      <c r="D124" s="147" t="s">
        <v>1021</v>
      </c>
      <c r="E124" s="156" t="s">
        <v>799</v>
      </c>
      <c r="F124" s="410">
        <v>1000</v>
      </c>
      <c r="G124" s="635"/>
      <c r="H124" s="1311"/>
      <c r="I124" s="410">
        <v>1000</v>
      </c>
      <c r="J124" s="1233"/>
      <c r="K124" s="656">
        <f aca="true" t="shared" si="5" ref="K124:K130">SUM(I124:J124)</f>
        <v>1000</v>
      </c>
      <c r="L124" s="646"/>
      <c r="M124" s="1153"/>
    </row>
    <row r="125" spans="1:13" ht="16.5">
      <c r="A125" s="1318">
        <v>119</v>
      </c>
      <c r="B125" s="217"/>
      <c r="C125" s="218">
        <v>2</v>
      </c>
      <c r="D125" s="147" t="s">
        <v>1060</v>
      </c>
      <c r="E125" s="156" t="s">
        <v>799</v>
      </c>
      <c r="F125" s="410">
        <v>1500</v>
      </c>
      <c r="G125" s="635"/>
      <c r="H125" s="1311"/>
      <c r="I125" s="410">
        <v>1500</v>
      </c>
      <c r="J125" s="1233"/>
      <c r="K125" s="656">
        <f t="shared" si="5"/>
        <v>1500</v>
      </c>
      <c r="L125" s="646"/>
      <c r="M125" s="1153"/>
    </row>
    <row r="126" spans="1:13" ht="16.5">
      <c r="A126" s="1318">
        <v>120</v>
      </c>
      <c r="B126" s="217"/>
      <c r="C126" s="218">
        <v>3</v>
      </c>
      <c r="D126" s="147" t="s">
        <v>1024</v>
      </c>
      <c r="E126" s="156" t="s">
        <v>799</v>
      </c>
      <c r="F126" s="410">
        <v>1500</v>
      </c>
      <c r="G126" s="635"/>
      <c r="H126" s="1311"/>
      <c r="I126" s="410">
        <v>1500</v>
      </c>
      <c r="J126" s="1233"/>
      <c r="K126" s="656">
        <f t="shared" si="5"/>
        <v>1500</v>
      </c>
      <c r="L126" s="646"/>
      <c r="M126" s="1153"/>
    </row>
    <row r="127" spans="1:13" ht="16.5">
      <c r="A127" s="1318">
        <v>121</v>
      </c>
      <c r="B127" s="217"/>
      <c r="C127" s="218">
        <v>4</v>
      </c>
      <c r="D127" s="147" t="s">
        <v>1025</v>
      </c>
      <c r="E127" s="156" t="s">
        <v>799</v>
      </c>
      <c r="F127" s="410">
        <v>500</v>
      </c>
      <c r="G127" s="635"/>
      <c r="H127" s="1311"/>
      <c r="I127" s="410">
        <v>500</v>
      </c>
      <c r="J127" s="1233"/>
      <c r="K127" s="656">
        <f t="shared" si="5"/>
        <v>500</v>
      </c>
      <c r="L127" s="646"/>
      <c r="M127" s="1153"/>
    </row>
    <row r="128" spans="1:13" ht="16.5">
      <c r="A128" s="1318">
        <v>122</v>
      </c>
      <c r="B128" s="217"/>
      <c r="C128" s="218">
        <v>5</v>
      </c>
      <c r="D128" s="147" t="s">
        <v>1022</v>
      </c>
      <c r="E128" s="156" t="s">
        <v>799</v>
      </c>
      <c r="F128" s="410">
        <v>1000</v>
      </c>
      <c r="G128" s="635"/>
      <c r="H128" s="1311"/>
      <c r="I128" s="410">
        <v>1000</v>
      </c>
      <c r="J128" s="1233"/>
      <c r="K128" s="656">
        <f t="shared" si="5"/>
        <v>1000</v>
      </c>
      <c r="L128" s="646"/>
      <c r="M128" s="1153"/>
    </row>
    <row r="129" spans="1:12" s="159" customFormat="1" ht="19.5" customHeight="1">
      <c r="A129" s="1318">
        <v>123</v>
      </c>
      <c r="B129" s="217">
        <v>17</v>
      </c>
      <c r="C129" s="218"/>
      <c r="D129" s="161" t="s">
        <v>365</v>
      </c>
      <c r="E129" s="156"/>
      <c r="F129" s="145"/>
      <c r="G129" s="634"/>
      <c r="H129" s="1307"/>
      <c r="I129" s="145"/>
      <c r="J129" s="1232"/>
      <c r="K129" s="656"/>
      <c r="L129" s="644"/>
    </row>
    <row r="130" spans="1:12" s="160" customFormat="1" ht="19.5" customHeight="1">
      <c r="A130" s="1318">
        <v>124</v>
      </c>
      <c r="B130" s="1376"/>
      <c r="C130" s="1377">
        <v>1</v>
      </c>
      <c r="D130" s="1378" t="s">
        <v>1038</v>
      </c>
      <c r="E130" s="1379" t="s">
        <v>799</v>
      </c>
      <c r="F130" s="1380">
        <v>6024</v>
      </c>
      <c r="G130" s="1381"/>
      <c r="H130" s="1382"/>
      <c r="I130" s="1380">
        <v>6024</v>
      </c>
      <c r="J130" s="1383"/>
      <c r="K130" s="1384">
        <f t="shared" si="5"/>
        <v>6024</v>
      </c>
      <c r="L130" s="1385"/>
    </row>
    <row r="131" spans="1:12" s="160" customFormat="1" ht="30.75" customHeight="1" thickBot="1">
      <c r="A131" s="1318">
        <v>125</v>
      </c>
      <c r="B131" s="1376"/>
      <c r="C131" s="1377">
        <v>2</v>
      </c>
      <c r="D131" s="1378" t="s">
        <v>673</v>
      </c>
      <c r="E131" s="1379" t="s">
        <v>799</v>
      </c>
      <c r="F131" s="1380">
        <v>425</v>
      </c>
      <c r="G131" s="1381"/>
      <c r="H131" s="1382">
        <v>425</v>
      </c>
      <c r="I131" s="1380">
        <v>425</v>
      </c>
      <c r="J131" s="1383"/>
      <c r="K131" s="1384">
        <f>SUM(I131:J131)</f>
        <v>425</v>
      </c>
      <c r="L131" s="1385"/>
    </row>
    <row r="132" spans="1:12" s="158" customFormat="1" ht="21.75" customHeight="1" thickBot="1" thickTop="1">
      <c r="A132" s="1318">
        <v>126</v>
      </c>
      <c r="B132" s="219"/>
      <c r="C132" s="220"/>
      <c r="D132" s="776" t="s">
        <v>763</v>
      </c>
      <c r="E132" s="162"/>
      <c r="F132" s="163">
        <f>SUM(F119:F131)</f>
        <v>29649</v>
      </c>
      <c r="G132" s="629">
        <f>SUM(G119:G131)</f>
        <v>0</v>
      </c>
      <c r="H132" s="1316">
        <f>SUM(H119:H131)</f>
        <v>18665</v>
      </c>
      <c r="I132" s="163">
        <f>SUM(I120:I131)</f>
        <v>26073</v>
      </c>
      <c r="J132" s="630">
        <f>SUM(J119:J131)</f>
        <v>3576</v>
      </c>
      <c r="K132" s="654">
        <f>SUM(K119:K131)</f>
        <v>29649</v>
      </c>
      <c r="L132" s="649">
        <f>SUM(L119:L131)</f>
        <v>0</v>
      </c>
    </row>
    <row r="133" spans="1:12" s="160" customFormat="1" ht="21.75" customHeight="1" thickBot="1" thickTop="1">
      <c r="A133" s="1318">
        <v>127</v>
      </c>
      <c r="B133" s="1216"/>
      <c r="C133" s="1217"/>
      <c r="D133" s="1224" t="s">
        <v>881</v>
      </c>
      <c r="E133" s="1218"/>
      <c r="F133" s="1219"/>
      <c r="G133" s="1220"/>
      <c r="H133" s="1317">
        <v>216675</v>
      </c>
      <c r="I133" s="1221"/>
      <c r="J133" s="1221"/>
      <c r="K133" s="1222"/>
      <c r="L133" s="1223"/>
    </row>
    <row r="134" spans="1:12" s="158" customFormat="1" ht="21.75" customHeight="1" thickBot="1">
      <c r="A134" s="1318">
        <v>128</v>
      </c>
      <c r="B134" s="1225"/>
      <c r="C134" s="1226"/>
      <c r="D134" s="1227" t="s">
        <v>883</v>
      </c>
      <c r="E134" s="1228"/>
      <c r="F134" s="1229">
        <f aca="true" t="shared" si="6" ref="F134:L134">SUM(F117,F132)+F133</f>
        <v>909410</v>
      </c>
      <c r="G134" s="1230">
        <f t="shared" si="6"/>
        <v>49952</v>
      </c>
      <c r="H134" s="1234">
        <f t="shared" si="6"/>
        <v>440290</v>
      </c>
      <c r="I134" s="1229">
        <f t="shared" si="6"/>
        <v>653882</v>
      </c>
      <c r="J134" s="1229">
        <f t="shared" si="6"/>
        <v>576</v>
      </c>
      <c r="K134" s="1235">
        <f t="shared" si="6"/>
        <v>654458</v>
      </c>
      <c r="L134" s="1231">
        <f t="shared" si="6"/>
        <v>205000</v>
      </c>
    </row>
    <row r="135" spans="1:12" s="159" customFormat="1" ht="15">
      <c r="A135" s="1318"/>
      <c r="B135" s="411" t="s">
        <v>801</v>
      </c>
      <c r="C135" s="426"/>
      <c r="D135" s="222"/>
      <c r="E135" s="151"/>
      <c r="F135" s="427"/>
      <c r="G135" s="427"/>
      <c r="H135" s="427"/>
      <c r="I135" s="427"/>
      <c r="J135" s="633"/>
      <c r="K135" s="428"/>
      <c r="L135" s="427"/>
    </row>
    <row r="136" spans="2:4" ht="15">
      <c r="B136" s="1360" t="s">
        <v>885</v>
      </c>
      <c r="C136" s="392"/>
      <c r="D136" s="399"/>
    </row>
    <row r="137" spans="2:4" ht="15">
      <c r="B137" s="1360" t="s">
        <v>886</v>
      </c>
      <c r="C137" s="392"/>
      <c r="D137" s="399"/>
    </row>
  </sheetData>
  <sheetProtection/>
  <mergeCells count="4">
    <mergeCell ref="B1:D1"/>
    <mergeCell ref="B2:L2"/>
    <mergeCell ref="B3:L3"/>
    <mergeCell ref="H4:L4"/>
  </mergeCells>
  <printOptions horizontalCentered="1"/>
  <pageMargins left="0" right="0" top="0.3937007874015748" bottom="0.1968503937007874" header="0.5118110236220472" footer="0.5118110236220472"/>
  <pageSetup fitToHeight="3" fitToWidth="1" horizontalDpi="600" verticalDpi="600" orientation="portrait" paperSize="9" scale="59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Szabó Balázs</cp:lastModifiedBy>
  <cp:lastPrinted>2014-12-05T06:58:46Z</cp:lastPrinted>
  <dcterms:created xsi:type="dcterms:W3CDTF">2011-11-09T10:58:30Z</dcterms:created>
  <dcterms:modified xsi:type="dcterms:W3CDTF">2014-12-22T09:58:06Z</dcterms:modified>
  <cp:category/>
  <cp:version/>
  <cp:contentType/>
  <cp:contentStatus/>
</cp:coreProperties>
</file>