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7370" windowHeight="9090" tabRatio="729" activeTab="0"/>
  </bookViews>
  <sheets>
    <sheet name="Összefoglaló" sheetId="1" r:id="rId1"/>
    <sheet name="1.Onbe" sheetId="2" r:id="rId2"/>
    <sheet name="2.Onki" sheetId="3" r:id="rId3"/>
    <sheet name="3.Inbe" sheetId="4" r:id="rId4"/>
    <sheet name="4.Inki" sheetId="5" r:id="rId5"/>
    <sheet name="5.Önk.műk." sheetId="6" r:id="rId6"/>
    <sheet name="6.Beruh." sheetId="7" r:id="rId7"/>
    <sheet name="7.Felúj." sheetId="8" r:id="rId8"/>
    <sheet name="8.Mérleg" sheetId="9" r:id="rId9"/>
    <sheet name="9.Létszám" sheetId="10" r:id="rId10"/>
    <sheet name="10.képv" sheetId="11" r:id="rId11"/>
  </sheets>
  <definedNames>
    <definedName name="_4._sz._sor_részletezése" localSheetId="10">#REF!</definedName>
    <definedName name="_4._sz._sor_részletezése" localSheetId="6">#REF!</definedName>
    <definedName name="_4._sz._sor_részletezése" localSheetId="7">#REF!</definedName>
    <definedName name="_4._sz._sor_részletezése" localSheetId="0">#REF!</definedName>
    <definedName name="_4._sz._sor_részletezése">#REF!</definedName>
    <definedName name="_xlnm.Print_Titles" localSheetId="1">'1.Onbe'!$5:$7</definedName>
    <definedName name="_xlnm.Print_Titles" localSheetId="10">'10.képv'!$4:$7</definedName>
    <definedName name="_xlnm.Print_Titles" localSheetId="2">'2.Onki'!$5:$7</definedName>
    <definedName name="_xlnm.Print_Titles" localSheetId="3">'3.Inbe'!$4:$7</definedName>
    <definedName name="_xlnm.Print_Titles" localSheetId="4">'4.Inki'!$5:$8</definedName>
    <definedName name="_xlnm.Print_Titles" localSheetId="5">'5.Önk.műk.'!$4:$7</definedName>
    <definedName name="_xlnm.Print_Titles" localSheetId="6">'6.Beruh.'!$4:$6</definedName>
    <definedName name="_xlnm.Print_Titles" localSheetId="7">'7.Felúj.'!$4:$6</definedName>
    <definedName name="_xlnm.Print_Titles" localSheetId="9">'9.Létszám'!$5:$5</definedName>
    <definedName name="_xlnm.Print_Titles" localSheetId="0">'Összefoglaló'!$4:$6</definedName>
    <definedName name="_xlnm.Print_Area" localSheetId="1">'1.Onbe'!$A$1:$L$69</definedName>
    <definedName name="_xlnm.Print_Area" localSheetId="10">'10.képv'!$A$1:$Q$46</definedName>
    <definedName name="_xlnm.Print_Area" localSheetId="2">'2.Onki'!$A$1:$L$42</definedName>
    <definedName name="_xlnm.Print_Area" localSheetId="3">'3.Inbe'!$A$1:$N$252</definedName>
    <definedName name="_xlnm.Print_Area" localSheetId="4">'4.Inki'!$A$1:$Q$387</definedName>
    <definedName name="_xlnm.Print_Area" localSheetId="5">'5.Önk.műk.'!$A$1:$N$649</definedName>
    <definedName name="_xlnm.Print_Area" localSheetId="6">'6.Beruh.'!$A$1:$L$193</definedName>
    <definedName name="_xlnm.Print_Area" localSheetId="7">'7.Felúj.'!$A$1:$K$148</definedName>
    <definedName name="_xlnm.Print_Area" localSheetId="8">'8.Mérleg'!$A$1:$H$36</definedName>
    <definedName name="_xlnm.Print_Area" localSheetId="9">'9.Létszám'!$A$1:$G$40</definedName>
    <definedName name="_xlnm.Print_Area" localSheetId="0">'Összefoglaló'!$A$1:$E$570</definedName>
  </definedNames>
  <calcPr fullCalcOnLoad="1"/>
</workbook>
</file>

<file path=xl/sharedStrings.xml><?xml version="1.0" encoding="utf-8"?>
<sst xmlns="http://schemas.openxmlformats.org/spreadsheetml/2006/main" count="3147" uniqueCount="1213">
  <si>
    <t>adatok eFt-ban</t>
  </si>
  <si>
    <t>A</t>
  </si>
  <si>
    <t>C</t>
  </si>
  <si>
    <t>B</t>
  </si>
  <si>
    <t>D</t>
  </si>
  <si>
    <t>E</t>
  </si>
  <si>
    <t>Megnevezés</t>
  </si>
  <si>
    <t>2015. évi előirányzat</t>
  </si>
  <si>
    <t xml:space="preserve">Veszprém integrált településfejlesztés, belváros funkcióbővítő rehabilitációja I/B ütem </t>
  </si>
  <si>
    <t>Veszprémi multifunkcionális közösségi központ kialakítása - AGÓRA Veszprém TIOP-1.2.1.A-12/1-2013-0001</t>
  </si>
  <si>
    <t>Temetők üzemeltetésével kapcsolatos feladatok</t>
  </si>
  <si>
    <t>Parkfenntartás</t>
  </si>
  <si>
    <t>Köztisztasági feladatok</t>
  </si>
  <si>
    <t xml:space="preserve">Kéményseprési tevékenység támogatása </t>
  </si>
  <si>
    <t>VKTT Egyesített Szociális Intézmény</t>
  </si>
  <si>
    <t>Kertek és Kolostorok működtetése</t>
  </si>
  <si>
    <t>Városi kiemelt fesztiválok</t>
  </si>
  <si>
    <t>Városi lap kiadásai</t>
  </si>
  <si>
    <t>Kitüntetések</t>
  </si>
  <si>
    <t>MINDÖSSZESEN:</t>
  </si>
  <si>
    <t>Veszprém Megyei Jogú Város Önkormányzata</t>
  </si>
  <si>
    <t>F</t>
  </si>
  <si>
    <t>G</t>
  </si>
  <si>
    <t>H</t>
  </si>
  <si>
    <t>Cím</t>
  </si>
  <si>
    <t>Alcím</t>
  </si>
  <si>
    <t>Feladatellátás jellege*</t>
  </si>
  <si>
    <t>Teljes költség</t>
  </si>
  <si>
    <t>2015. utáni javaslat</t>
  </si>
  <si>
    <t>Önkormányzati felújítási kiadások</t>
  </si>
  <si>
    <t>Csapadékvíz elvezetési problémák megoldása</t>
  </si>
  <si>
    <t>K</t>
  </si>
  <si>
    <t>Aradi V. úti garázstelepi utak felújítása</t>
  </si>
  <si>
    <t>NK</t>
  </si>
  <si>
    <t xml:space="preserve">Kertészeti felújítások    </t>
  </si>
  <si>
    <t>Védett sírok megőrzése</t>
  </si>
  <si>
    <t xml:space="preserve"> Árkok felújítása (Látóhegyi árok)</t>
  </si>
  <si>
    <t>Elhasználódott labdapályák felújítása és balesetveszély elhárítás</t>
  </si>
  <si>
    <t>Alsóvárosi temető Őrház felújítása</t>
  </si>
  <si>
    <t>Köztéri padok felújítása</t>
  </si>
  <si>
    <t>Tüzér utcai telephely kerítés felújítása</t>
  </si>
  <si>
    <t>Földutak felújítása</t>
  </si>
  <si>
    <t>Köztéri műalkotások rekonstrukciója</t>
  </si>
  <si>
    <t>Vár u. kockakő burkolat felújítása</t>
  </si>
  <si>
    <t>Önkormányzati bérlakások felújítása</t>
  </si>
  <si>
    <t>Intézményekben kétutas tűzjelző rendszer beüzemelése</t>
  </si>
  <si>
    <t>VMJV Egyesített Bölcsődéje (Módszertani Bölcsőde)</t>
  </si>
  <si>
    <t>VMJV Egyesített Bölcsődéje (Vackor Bölcsőde)</t>
  </si>
  <si>
    <t>VMJV Egyesített Bölcsődéje (Hóvirági Bölcsőde)</t>
  </si>
  <si>
    <t>VMJV Egyesített Bölcsődéje (Aprófalvi Bölcsőde)</t>
  </si>
  <si>
    <t xml:space="preserve">  IV. Pavilon visszaalakítása </t>
  </si>
  <si>
    <t>Bóbita Körzeti Óvoda</t>
  </si>
  <si>
    <t>Bóbita Körzeti Óvoda (Hársfa Tagóvoda)</t>
  </si>
  <si>
    <t>Egry úti Körzeti Óvoda</t>
  </si>
  <si>
    <t>Egry úti Körzeti Óvoda (Nárcisz Tagóvoda)</t>
  </si>
  <si>
    <t>Csillag úti Körzeti Óvoda</t>
  </si>
  <si>
    <t>Vizesblokk felújítás I. ütem</t>
  </si>
  <si>
    <t>Csillag úti Körzeti Óvoda (Cholnoky ltp-i Tagóvoda)</t>
  </si>
  <si>
    <t>Kastélykert Körzeti Óvoda</t>
  </si>
  <si>
    <t xml:space="preserve">Terasz és a  tartópillér, belső járda felújítása statikai szakvélemény alapján </t>
  </si>
  <si>
    <t xml:space="preserve">Csiga csoport mosdójának felújítása (folyamatos dugulás, csöpögés, repedezett csempe </t>
  </si>
  <si>
    <t>Vadvirág Körzeti Óvoda (Csillagvár Waldorf Tagóvoda)</t>
  </si>
  <si>
    <t>Iroda és logopédiai helyiség parketta cseréje, festés, mázolás</t>
  </si>
  <si>
    <t>Báthory István Általános Iskola</t>
  </si>
  <si>
    <t>Balesetveszélyes támfal megerősítése</t>
  </si>
  <si>
    <t>Bejárati ajtók cseréje</t>
  </si>
  <si>
    <t>Cholnoky Jenő Általános Iskola</t>
  </si>
  <si>
    <t>Főépület vizesblokkjainak felújítása 1 fiú-1 lány 1 strangon 2. emeleten</t>
  </si>
  <si>
    <t>Deák Ferenc Általános Iskola</t>
  </si>
  <si>
    <t>Földszinti leány (és AM mosdó) és I. emeleti fiú mosdó felújítása</t>
  </si>
  <si>
    <t>Dózsa György Általános Iskola</t>
  </si>
  <si>
    <t>Sportpálya megsüllyedt burkolatának rekonstrukciója, öntött gumiburkolattal</t>
  </si>
  <si>
    <t>Koncepció a teljes felújításra</t>
  </si>
  <si>
    <t>Gyulaffy László Általános Iskola</t>
  </si>
  <si>
    <t>Lépcsőburkolat javítása a bejáratoknál</t>
  </si>
  <si>
    <t>Nyílászáró cseréje 2 helyiségben (konyha: ajtó, ablakok; technikaterem: ablakok)</t>
  </si>
  <si>
    <t>Tetők javítása, újra fóliázása  az emeleti ablakok felett (beázások miatt)</t>
  </si>
  <si>
    <t>H. Botev Általános Iskola</t>
  </si>
  <si>
    <t>"B"  épület nyílászáró csere</t>
  </si>
  <si>
    <t>Kossuth Lajos Általános Iskola</t>
  </si>
  <si>
    <t>Pincében vakolat cseréje, az északi oldal drénezésével együtt (penészedés miatt)</t>
  </si>
  <si>
    <t>Rózsa úti Általános Iskola</t>
  </si>
  <si>
    <t>Nyílászáró csere 3 tanteremben</t>
  </si>
  <si>
    <t>Vizesblokk felújítás</t>
  </si>
  <si>
    <t>Simonyi Zsigmond Általános Iskola</t>
  </si>
  <si>
    <t xml:space="preserve">Alagsori helyiségek külső szigetelése beázás ellen: 1./ technika terem 2./ kis tornaterem 3./ könyvtár 4./ egyéb alagsori helyiségek </t>
  </si>
  <si>
    <t>Lovassy László Gimnázium</t>
  </si>
  <si>
    <t>Biztonsági fólia ablakra</t>
  </si>
  <si>
    <t>Rajzterem aljzatának vizesedés megszüntetése külső vízelvezetéssel</t>
  </si>
  <si>
    <t>Vetési Albert Gimnázium</t>
  </si>
  <si>
    <t>Teljes járólapcsere: aula+fórum</t>
  </si>
  <si>
    <t>Középiskolai Kollégium</t>
  </si>
  <si>
    <t>Vizesblokk felújítás II. ütem</t>
  </si>
  <si>
    <t>Március 15. utcai uszoda és sportcsarnok</t>
  </si>
  <si>
    <t>Városi Művelődési Központ</t>
  </si>
  <si>
    <t>Művészetek Háza</t>
  </si>
  <si>
    <t xml:space="preserve">Csikász Galéria : ablakok felújítása vagy cseréje </t>
  </si>
  <si>
    <t>Eötvös Károly Megyei Könyvtár</t>
  </si>
  <si>
    <t>Beázások megszüntetése Fogadótér, lépcsőház, ruhatár (új épület)</t>
  </si>
  <si>
    <t>Petőfi Színház</t>
  </si>
  <si>
    <t>Színház lapostető vízszigetelésének javítása, cseréje beázások miatt</t>
  </si>
  <si>
    <t>Játékszín tetőjavítása</t>
  </si>
  <si>
    <t>Színészház tetőjavítása</t>
  </si>
  <si>
    <t>Számítástechnikai rendszerfejlesztés</t>
  </si>
  <si>
    <t>Büfé melletti vakolat szigetelése</t>
  </si>
  <si>
    <t>EÜ Alapellátási Intézmény</t>
  </si>
  <si>
    <t>Cserhát ltp. 1. védőnői tanácsadó és gyermekorvosi rendelő felújítása, kialakítása</t>
  </si>
  <si>
    <t>Cserhát ltp.1.  átalakítása házi orvosi rendelőkké</t>
  </si>
  <si>
    <t>Cholnoky u. 19. gyerek rendelő váró járólapozása, vizesblokk felújítása</t>
  </si>
  <si>
    <t>Március 15. u. 4/B. felnőtt rendelő járólapozása</t>
  </si>
  <si>
    <t>Ördögárok u. 5. gyerek rendelő tető javítása a folyamatos beázás miatt</t>
  </si>
  <si>
    <t>Halle u. 5/F. felnőtt rendelő felújítás befejező ütem</t>
  </si>
  <si>
    <t>Jutasi 59. rendelő felülvilágító ablakcsere befejezés</t>
  </si>
  <si>
    <t>Felázott főfalak vizesedése miatt szakvélemény készítés</t>
  </si>
  <si>
    <t>Nagy László u. 4. sz. alatti lelki segélyszolgálat</t>
  </si>
  <si>
    <t>Lelki segélyszolgálat belső felújítása</t>
  </si>
  <si>
    <t xml:space="preserve">    Török Ignác utca 10.</t>
  </si>
  <si>
    <t>A főzőkonyhához zsírfogó kiépítése</t>
  </si>
  <si>
    <t xml:space="preserve">    Március 15. u. 1/A</t>
  </si>
  <si>
    <t>Akadálymentesítés</t>
  </si>
  <si>
    <t>VMJV Polgármesteri Hivatal</t>
  </si>
  <si>
    <t>Főépület északi oldalán ereszt burkoló lambéria cseréje, utólagos hőszigeteléssel</t>
  </si>
  <si>
    <t>Iktatási irodánál elmozdult fal helyreállítás</t>
  </si>
  <si>
    <t>Főépület, fűtési rendszer alagsori felszálló ágak kiváltása</t>
  </si>
  <si>
    <t xml:space="preserve">B épület alagsor belső felújítás szellőzés </t>
  </si>
  <si>
    <t>Önkormányzati felújítási kiadások összesen</t>
  </si>
  <si>
    <t>* Feladatellátás jellege:</t>
  </si>
  <si>
    <t>K= Magyarország helyi önkormányzatairól szóló 2011. évi CLXXXIX. törvény 13. § (1) bekezdése szerinti kötelező feladatok</t>
  </si>
  <si>
    <t>NK= Önkormányzat által önként vállalt feladatok</t>
  </si>
  <si>
    <t>J</t>
  </si>
  <si>
    <t>Teljesítés 2013.12.31-ig</t>
  </si>
  <si>
    <t>Önkormányzati beruházási kiadások</t>
  </si>
  <si>
    <t>Szociális városrehabilitáció Veszprémben KDOP-3.1.1/D2-13-k2-2013-0002.</t>
  </si>
  <si>
    <t>Fenntartható városfejlesztési programok előkészítése KDOP-3.1.1/E-13.</t>
  </si>
  <si>
    <t>Természettudományos közoktatási laboratórium kialakítása a veszprémi Ipari Szakközépiskola és Gimnáziumban TÁMOP-3.1.3-11/2-2012-0061</t>
  </si>
  <si>
    <t>Egységben az erő! - Óvodafejlesztés Veszprémben TÁMOP-3.1.11-12/2-2012-0026.</t>
  </si>
  <si>
    <t xml:space="preserve">KEOP-2014-4.10.0/N Fotovoltaikus rendszerek kialakítása </t>
  </si>
  <si>
    <t>KEOP-2014-4.10.0/F Önkormányzatok és intézményeik épületenergetikai fejlesztése megújuló energiaforrás hasznosításával kombinálva a konvergencia régiókban</t>
  </si>
  <si>
    <t>Stratégiai előkészítés</t>
  </si>
  <si>
    <t>ÁROP-1.A.3.Az esélyegyenlőség erősítését szolgáló együttműködés segítése a veszprémi járásban</t>
  </si>
  <si>
    <t>"Pannon-Tudás-Park" TÁMOP 4.2.1C-14/1/Konv.</t>
  </si>
  <si>
    <t>Smart City</t>
  </si>
  <si>
    <t>Tüzér u. - Házgyári u. forgalomba helyezés meghosszabbítása</t>
  </si>
  <si>
    <t>Remete utcai híd átépítésének tervezése engedélyezése és kivitelezése</t>
  </si>
  <si>
    <t>Fenyves u.-Erdész u. közötti gyalogos átkötés kialakítása</t>
  </si>
  <si>
    <t>Veszprém külterület 0231-8. hrsz-ú reptér melletti ingatlan törlesztő részlet</t>
  </si>
  <si>
    <t>Műhelyház céljára ingatlan vásárlása</t>
  </si>
  <si>
    <t>Közvilágítás bővítések</t>
  </si>
  <si>
    <t xml:space="preserve">Erdőtervezés és telepítés </t>
  </si>
  <si>
    <t xml:space="preserve">Utcanévtáblák </t>
  </si>
  <si>
    <t>Korlátok építése</t>
  </si>
  <si>
    <t>Közműalagút vészjelző berendezés cseréje</t>
  </si>
  <si>
    <t>Műfüves pályák fejlesztése önrész</t>
  </si>
  <si>
    <t>Uszodaépítés előkészítés</t>
  </si>
  <si>
    <t>Cholnoky szobor</t>
  </si>
  <si>
    <t>Stromfeld utcai parkoló építése, tervezése</t>
  </si>
  <si>
    <t>Végleges forgalomba helyezésekhez szükséges ingatlanrendezés</t>
  </si>
  <si>
    <t>Veszprém Kazán - Sorompó u. járda kivitelezés</t>
  </si>
  <si>
    <t>Karacs T. u. parkolóépítés, zöldterület rendezés, járdaépítés II. ütem járdaépítés</t>
  </si>
  <si>
    <t>Járda, közvilágítás Magyar Nagyasszonyok Templom mögött</t>
  </si>
  <si>
    <t>Henger u. I. ütem</t>
  </si>
  <si>
    <t>Bakonyi Ház Alpha pályázat önrész</t>
  </si>
  <si>
    <t>Játszótérépítések</t>
  </si>
  <si>
    <t>Kertváros csapadékvíz-elvezetése, kivitelezés</t>
  </si>
  <si>
    <t>Viola köz rekonstrukció II. ütem</t>
  </si>
  <si>
    <t xml:space="preserve">Csererdő lakótelep úthálózat rekonstrukció engedélyezési költségei és kiviteli terve </t>
  </si>
  <si>
    <t>Tobak utcai támfal és út helyreállítás</t>
  </si>
  <si>
    <t>Hulladéklerakó rekultiváció</t>
  </si>
  <si>
    <t>Kádártai Közösségi Ház átépítése</t>
  </si>
  <si>
    <t>Önkormányzati beruházási kiadások összesen</t>
  </si>
  <si>
    <t>Önkormányzati egyéb felhalmozási célú kiadások</t>
  </si>
  <si>
    <t>Veszprémi Programiroda Kft. törzstőke-emelés, tőketartalékba helyezés</t>
  </si>
  <si>
    <t>Swing-Swing Kft. Törzstőke-emelés, tőketartalékba helyezés</t>
  </si>
  <si>
    <t>Tourinform Veszprém törzstőke-emelés (törvényi változás miatt)</t>
  </si>
  <si>
    <t>Csarnok Kft. Törzstőke-emelés, tőketartalékba helyezés</t>
  </si>
  <si>
    <t>Kittenberger Kálmán Növény és Vadaskert Kft fejlesztési hozzájárulás, tőketartalékba helyezés</t>
  </si>
  <si>
    <t>Intézményi beruházási kiadások</t>
  </si>
  <si>
    <t>Vadvirág Körzeti Óvoda</t>
  </si>
  <si>
    <t>Bóbita Körzeti Óvoda (Bóbita Óvoda)</t>
  </si>
  <si>
    <t>Tornaeszköz - mozgáskotta - testnevelés fejlesztő eszköz 2 db</t>
  </si>
  <si>
    <t>Ringató Körzeti Óvoda</t>
  </si>
  <si>
    <t>Ringató Körzeti Óvoda (Kuckó Tagóvoda)</t>
  </si>
  <si>
    <t xml:space="preserve">Csillag úti Körzeti Óvoda </t>
  </si>
  <si>
    <t>Csillag úti Körzeti Óvoda (Cholnoky Jenő Tagóvoda)</t>
  </si>
  <si>
    <t>Kastélykert Körzeti Óvoda (Ficánka Tagóvoda)</t>
  </si>
  <si>
    <t>3 db szűrőaudiométer</t>
  </si>
  <si>
    <t>1 db Ambu baba</t>
  </si>
  <si>
    <t>Veszprém MJV Egyesített Bölcsődéje</t>
  </si>
  <si>
    <t>Hóvirág Bölcsőde</t>
  </si>
  <si>
    <t>Vackor Bölcsőde</t>
  </si>
  <si>
    <t>Módszertani Bölcsőde</t>
  </si>
  <si>
    <t>Göllesz Viktor Nappali Intézmény</t>
  </si>
  <si>
    <t>Laczkó Dezső Múzeum</t>
  </si>
  <si>
    <t>Kabóca Bábszínház és GYKI</t>
  </si>
  <si>
    <t>Intézményi Szolgáltató Szervezet</t>
  </si>
  <si>
    <t>Gépkocsi</t>
  </si>
  <si>
    <t>Informatikai kiadások</t>
  </si>
  <si>
    <t>Intézményi beruházási kiadások összesen</t>
  </si>
  <si>
    <t>Beruházási kiadások mindösszesen</t>
  </si>
  <si>
    <t>Tornaterem villanyhálózatának felújítása, lámpatestek cseréje</t>
  </si>
  <si>
    <t>Konyha és első mosdó felújítása közművezeték cserével</t>
  </si>
  <si>
    <t>I</t>
  </si>
  <si>
    <t>L</t>
  </si>
  <si>
    <t>M</t>
  </si>
  <si>
    <t>2013. évi tény</t>
  </si>
  <si>
    <t>2014. évi eredeti előirányzat</t>
  </si>
  <si>
    <t>Működési költségvetési kiadások</t>
  </si>
  <si>
    <t>Személyi juttatások</t>
  </si>
  <si>
    <t>Munk.a. terh. jár. és szoc.hj.adó</t>
  </si>
  <si>
    <t>Dologi kiadások</t>
  </si>
  <si>
    <t>Ellátottak pénzbeli. juttatásai</t>
  </si>
  <si>
    <t>Egyéb működési kiadások</t>
  </si>
  <si>
    <t>Nemzeti ünnepek kiadásaira</t>
  </si>
  <si>
    <t>Közművelődési szolgált.</t>
  </si>
  <si>
    <t>Kulturális kínálat bővítése</t>
  </si>
  <si>
    <t>Nemzetközi kapcsolatok</t>
  </si>
  <si>
    <t>Marketing tevékenység, marketing stratégia</t>
  </si>
  <si>
    <t>Mihály-napi Búcsú</t>
  </si>
  <si>
    <t>ebből: - Veszprémi Ünnepi Játékok</t>
  </si>
  <si>
    <t xml:space="preserve">          - Gizella Napok</t>
  </si>
  <si>
    <t xml:space="preserve">          - Tánc Fesztivál </t>
  </si>
  <si>
    <t xml:space="preserve">          - Veszprémi Utcazene Fesztivál</t>
  </si>
  <si>
    <t xml:space="preserve">          - Vivace</t>
  </si>
  <si>
    <t xml:space="preserve">          - Auer Hegedűfesztivál</t>
  </si>
  <si>
    <t>Eseti rendezvények</t>
  </si>
  <si>
    <t>Köztéri szobrok, emléktáblák, lektorátus</t>
  </si>
  <si>
    <t>I. Világháborús Centenáriumi Emlékezés költségei</t>
  </si>
  <si>
    <t>Kiadványok, folyóiratok támogatása</t>
  </si>
  <si>
    <t>Képzőművészeti alkotások vásárlása</t>
  </si>
  <si>
    <t>Méz Rádió támogatása</t>
  </si>
  <si>
    <t>Veszprém Város Vegyeskar utánpótlás</t>
  </si>
  <si>
    <t>Turisztikai feladatok Gizella Múzeum</t>
  </si>
  <si>
    <t>ebből: - Mendelssohn Kamarazenekar</t>
  </si>
  <si>
    <t xml:space="preserve"> - Veszprém Város Vegyeskara</t>
  </si>
  <si>
    <t xml:space="preserve"> - Veszprémi Táncegyüttesért Alapítvány</t>
  </si>
  <si>
    <t xml:space="preserve"> - Liszt F. Kórus</t>
  </si>
  <si>
    <t xml:space="preserve"> - Gizella Kórus/Downland Alapítvány</t>
  </si>
  <si>
    <t>Szaléziánum támogatása</t>
  </si>
  <si>
    <t>Sziveri János Intézet működtetése</t>
  </si>
  <si>
    <t>Filharmónia koncertek támogatás</t>
  </si>
  <si>
    <t>Veszprémi műemléki topográfia költségei</t>
  </si>
  <si>
    <t>Tanórán kívüli tevékenység támogatása</t>
  </si>
  <si>
    <t>Verseny és élsport</t>
  </si>
  <si>
    <t>Sportpálya fenntartás, ill. fenntartói tám.</t>
  </si>
  <si>
    <t>Sportcélok és feladatok (sportigazgatás)</t>
  </si>
  <si>
    <t>Szabadidő- és diáksport</t>
  </si>
  <si>
    <t>Polgármesteri keret</t>
  </si>
  <si>
    <t>Városi civil keret</t>
  </si>
  <si>
    <t>Á</t>
  </si>
  <si>
    <t>Óvodáztatási támogatás</t>
  </si>
  <si>
    <t>Foglalkoztatást helyettesítő támogatás</t>
  </si>
  <si>
    <t>Köztemetés</t>
  </si>
  <si>
    <t xml:space="preserve">Közcélú és közhasznú foglalkoztatás </t>
  </si>
  <si>
    <t>Szociális nyári gyermekétkeztetés</t>
  </si>
  <si>
    <t>Települési szilárdhulladék szállítás ártámogatás</t>
  </si>
  <si>
    <t>Kisgyermekes bérlet</t>
  </si>
  <si>
    <t>Szenvedélybetegek működési kiadása</t>
  </si>
  <si>
    <t>Máltai Szeretetszolgálatnak pénzeszköz átadás (ellátási szerződés)</t>
  </si>
  <si>
    <t>Veszprémi Kistérségi Társulásnak pénzeszköz átadás (Egyesített Szoc.)</t>
  </si>
  <si>
    <t>Családsegítő és Gyermekjóléti Alapszolgáltatási Intézményfenntartó Társulás</t>
  </si>
  <si>
    <t>Központi orvosi ügyelet (önkormányzatok hozzájárulása)</t>
  </si>
  <si>
    <t>Lelkisegély szolgálat</t>
  </si>
  <si>
    <t>Oktatási szolgáltatás</t>
  </si>
  <si>
    <t>Hittudományi Főiskola támogatása</t>
  </si>
  <si>
    <t>Foglalkoztatás eü. szolg.</t>
  </si>
  <si>
    <t>Munkavédelmi feladatok</t>
  </si>
  <si>
    <t>Közbeszerzési eljárások költségei</t>
  </si>
  <si>
    <t xml:space="preserve">Önkormányzat igazgatási tevékenysége </t>
  </si>
  <si>
    <t>Igazgatás - Állam felé befizetési kötelezettség</t>
  </si>
  <si>
    <t>ÁFA befizetés</t>
  </si>
  <si>
    <t>Kamatkiadások</t>
  </si>
  <si>
    <t>Családi ünnepek szervezése</t>
  </si>
  <si>
    <t>Városi Közbiztonság Keret</t>
  </si>
  <si>
    <t>VKSZ Zrt. Intézményüzemeltetés járulékos költségei</t>
  </si>
  <si>
    <t>Intézményüzemeltetési szolgáltatások díja (karbantartók, portások bére)</t>
  </si>
  <si>
    <t>Intézményüzemeltetéssel kapcsolatos kiadások</t>
  </si>
  <si>
    <t>Nem lakáscélú helyiségek üzemeltetési költségei</t>
  </si>
  <si>
    <t>Közüzemi Zrt. jutaléka</t>
  </si>
  <si>
    <t xml:space="preserve">Balaton Volán Zrt. helyi közösségi közlekedés közszolgáltatás és veszteségkiegyenlítés </t>
  </si>
  <si>
    <t>Pannon TISZK működtetése</t>
  </si>
  <si>
    <t>Városi TV közszolgálati műsorok támogatása</t>
  </si>
  <si>
    <t>Veszprém TV Kft. Pályázathoz fejlesztési önrész</t>
  </si>
  <si>
    <t>Kittenberger K. Növény- és Vadaspark KHT működéséhez hozzájárulás</t>
  </si>
  <si>
    <t>Peres ügyek, Kártérítési díjak kifizetése ingatlantulajdonosok részére</t>
  </si>
  <si>
    <t>Jutasi úti műfüves pálya fenntartása (LUC)</t>
  </si>
  <si>
    <t>Többfunkciós csarnok szolgált. vásárlás</t>
  </si>
  <si>
    <t>TDM Irodától szolgáltatás vásárlása</t>
  </si>
  <si>
    <t>Panaszkezelő online rendszer éves  jogdíja IBM</t>
  </si>
  <si>
    <t>Programiroda szolgáltatás vásárlás</t>
  </si>
  <si>
    <t>Ingatlanhasznosítással összefüggő hatósági és igazgatási díjak (Földhivatali eljárások)</t>
  </si>
  <si>
    <t>Befektetés ösztönzési kiadványok (részvétel a Renexpo ingatlanfejlesztési vásáron, marketingakciók)</t>
  </si>
  <si>
    <t>Társadalmi tudatformálási kampányok (mobilitási hét, "Te Szedd", kerékpárral munkába)</t>
  </si>
  <si>
    <t>Városépítészeti feladatok</t>
  </si>
  <si>
    <t>Településfejlesztési feladatok</t>
  </si>
  <si>
    <t>Közutak, hidak fenntart.</t>
  </si>
  <si>
    <t>Közüzemi Zrt. által ellátott feladatok</t>
  </si>
  <si>
    <t>Rekultivációt megelőző telephely fenntartási költség</t>
  </si>
  <si>
    <t>Aluljárók csapadékvíz átemelőinek üzemeltetése</t>
  </si>
  <si>
    <t>Szökőkutak, ivókutak szolgáltatási díjai</t>
  </si>
  <si>
    <t>Városgazdálkodási szolg.</t>
  </si>
  <si>
    <t>Közvilágítás</t>
  </si>
  <si>
    <t>Díszkivilágítás törlesztés</t>
  </si>
  <si>
    <t>Közműalagút működtetése</t>
  </si>
  <si>
    <t>Környezetvédelmi feladat (Városüzemeltetés feladatai)</t>
  </si>
  <si>
    <t>Környezetvédelmi feladat (Közigazgatási Iroda feladatai)</t>
  </si>
  <si>
    <t>Bérlakások üzemeltetési költségeihez hozzájárulás</t>
  </si>
  <si>
    <t>Közterület Felügyelet, gyepmesteri telep</t>
  </si>
  <si>
    <t>Veszprém Város Közlekedésfejlesztéséért Közalapítvány támogatása (nyugdíjas bérletek)</t>
  </si>
  <si>
    <t>Nemzetiségi önkormányzatok kiadásai:</t>
  </si>
  <si>
    <t xml:space="preserve"> ebből: - Roma Nemzetiségi Önkormányzat</t>
  </si>
  <si>
    <t>- Német Nemzetiségi Önkormányzat</t>
  </si>
  <si>
    <t>- Örmény Nemzetiségi Önkormányzat</t>
  </si>
  <si>
    <t>- Lengyel Nemzetiségi Önkormányzat</t>
  </si>
  <si>
    <t>- Ukrán Nemzetiségi Önkormányzat</t>
  </si>
  <si>
    <t>Kulturális szakemberek továbbképzése a szolgálatfejlesztés érdekében TÁMOP-3.2.12-12/1-2012-0021</t>
  </si>
  <si>
    <t>Vertikális Közösségi Integrációs Program TÁMOP-5.3.6-11/1-2012-0004</t>
  </si>
  <si>
    <t>Szociális városrehabilitáció Veszprémben KDOP-3.1.1/D2-13-k2-2013-0002</t>
  </si>
  <si>
    <t>Veszprém Város Intermodális pályaudvar kialakítása és kapcsolódó közösségi közlekedési fejlesztések KÖZOP-5.5.0-09-11</t>
  </si>
  <si>
    <t xml:space="preserve">Önkormányzatok és intézményeik épületenergetikai fejlesztése KEOP-2014-4.10.0/F </t>
  </si>
  <si>
    <t>"Pannon-Tudás-Park" TÁMOP 4.2.1C-14/1/Konv</t>
  </si>
  <si>
    <t>Az esélyegyenlőség erősítését szolgáló együttműködés segítése a veszprémi járásban ÁROP-1.A.3.</t>
  </si>
  <si>
    <t>Óvodafejlesztés, az óvodapedagógia strukturális feltételrendszerének továbbfejlesztése TIOP-3.1.11-12/2-2012-0026</t>
  </si>
  <si>
    <t xml:space="preserve">Szervezetfejlesztés a Veszprémi Önkormányzatnál ÁROP-1.A.5-2013-2013-0070. </t>
  </si>
  <si>
    <t>Veszprém Megyei Jogú Város Egészségre nevelő és szemléletformáló programjai TÁMOP-6.1.2-11/1-2012-1626 pályázat előlege</t>
  </si>
  <si>
    <t xml:space="preserve">Bízzunk az új nemzedékben ÁROP-1.A.6-2013-2013-005 </t>
  </si>
  <si>
    <t>A gyermekvédelmi szolgáltatások fejlesztése Veszprémben 
TIOP-3.4.1.B-11/1-2012-0005</t>
  </si>
  <si>
    <t>TÁMOP 3.1.3.10/2-2010-0002 (Vetési G. Természettud.Labor)</t>
  </si>
  <si>
    <t>Választókerületi keretből díjak, kitüntetések</t>
  </si>
  <si>
    <t>Választókerületi keretből civil szervezetek támogatása</t>
  </si>
  <si>
    <t>Informatikai szolgáltatások</t>
  </si>
  <si>
    <t>Veszprém Virágváros verseny</t>
  </si>
  <si>
    <t>Veszprémi Szemle Közhasznú Alapítvány</t>
  </si>
  <si>
    <t>Veszprém Megyei Levéltár</t>
  </si>
  <si>
    <t>Veszprémi Tiszti Kaszinó Hagyományőrző Egyesület</t>
  </si>
  <si>
    <t>Cholnoky Jenő Iskolai Alapítvány</t>
  </si>
  <si>
    <t>Családbarát pályázat CSP-CSBM-14-18811</t>
  </si>
  <si>
    <t>Forrás SQL fejlesztése</t>
  </si>
  <si>
    <t>Bursa Hungarica</t>
  </si>
  <si>
    <t>Civil szervezetek támogatása</t>
  </si>
  <si>
    <t>Időskorúak járadéka (rendszeres szoc. segély)</t>
  </si>
  <si>
    <t>Ápolási díj</t>
  </si>
  <si>
    <t>Gyermektartásdíj megelőlegezése</t>
  </si>
  <si>
    <t>Tótvázsony körjegyzőség - 2012. december havi bérkompenzációja</t>
  </si>
  <si>
    <t>Herendi Általános Iskola - 2012. december havi bérkompenzációja</t>
  </si>
  <si>
    <t>Szennyvíz elvezető és tisztító viziközmű rendszer vagyonértékelése</t>
  </si>
  <si>
    <t>Időarányos normatíva átadása Kozmutza Flóra Óvoda, Ált. Iskola és Spec. Szakiskola és Kollégium és Medgyaszay István Szakképző Isk. részére</t>
  </si>
  <si>
    <t>Ebből: Önkormányzat által ellátott kötelező feladatok összesen:</t>
  </si>
  <si>
    <t>Ebből: Önkormányzat által ellátott önként vállalt feladatok összesen:</t>
  </si>
  <si>
    <t>Ebből: Önkormányzat által ellátott államigazgatási feladatok összesen:</t>
  </si>
  <si>
    <t>Á= Államigazgatási feladatok</t>
  </si>
  <si>
    <t>KIMUTATÁS</t>
  </si>
  <si>
    <t>a 2015. évi engedélyezett létszámról</t>
  </si>
  <si>
    <t>Módosítás</t>
  </si>
  <si>
    <t>2015. évi engedélyezett létszám</t>
  </si>
  <si>
    <t>Megjegyzés</t>
  </si>
  <si>
    <t>VMJV Eü. Alapellátási Intézmény</t>
  </si>
  <si>
    <t>VMJV Egyesített Bölcsődéje</t>
  </si>
  <si>
    <t>Göllesz Viktor Fogyatékos Személyek Nappali Intézménye</t>
  </si>
  <si>
    <t>Városi Művelődési Központ és Könyvtár</t>
  </si>
  <si>
    <t>Kabóca Bábszínház és Gyermek Közművelődési Intézmény</t>
  </si>
  <si>
    <t>Intézmények összesen:</t>
  </si>
  <si>
    <t>VMJV Önkormányzata</t>
  </si>
  <si>
    <t>ebből:</t>
  </si>
  <si>
    <t>Összesen</t>
  </si>
  <si>
    <t>1.</t>
  </si>
  <si>
    <t>Iparűzési adó</t>
  </si>
  <si>
    <t>Építményadó</t>
  </si>
  <si>
    <t>Telekadó</t>
  </si>
  <si>
    <t>Kommunális adó</t>
  </si>
  <si>
    <t>Idegenforgalmi adó</t>
  </si>
  <si>
    <t>Gépjárműadó</t>
  </si>
  <si>
    <t>2.</t>
  </si>
  <si>
    <t>3.</t>
  </si>
  <si>
    <t>4.</t>
  </si>
  <si>
    <t>5.</t>
  </si>
  <si>
    <t>Összesen:</t>
  </si>
  <si>
    <t>Veszprém Megyei Jogú Város Önkormányzata Intézményei</t>
  </si>
  <si>
    <t>Működési költségvetési bevételek</t>
  </si>
  <si>
    <t>Felhalmozási költségvetési bevételek</t>
  </si>
  <si>
    <t>Irányító szervtől kapott támogatás</t>
  </si>
  <si>
    <t>Bevételek összesen</t>
  </si>
  <si>
    <t>Működési bevételek</t>
  </si>
  <si>
    <t>Működési célú támogatás Áht-on belülről</t>
  </si>
  <si>
    <t>Működési célú átvett pénzeszköz</t>
  </si>
  <si>
    <t>Felhalmozási bevétel</t>
  </si>
  <si>
    <t>Felhalmozási célú átvett pénzeszköz</t>
  </si>
  <si>
    <r>
      <t>Ebből</t>
    </r>
    <r>
      <rPr>
        <i/>
        <sz val="10"/>
        <rFont val="Palatino Linotype"/>
        <family val="1"/>
      </rPr>
      <t>: normatív állami támogatás</t>
    </r>
  </si>
  <si>
    <t>(Csillagvár Waldorf Tagóvoda, Vadvirág Óvoda)</t>
  </si>
  <si>
    <t>Közcélú és közhasznú foglalkoztatás</t>
  </si>
  <si>
    <t>(Hársfa Tagóvoda, Bóbita Óvoda)</t>
  </si>
  <si>
    <t>(Ringató Óvoda, Erdei Tagóvoda, Kuckó Tagóvoda)</t>
  </si>
  <si>
    <t>(Egry ltp. Óvoda, Nárcisz Tagóvoda)</t>
  </si>
  <si>
    <t>(Csillag úti Óvoda, Cholnoky ltp. Óvoda)</t>
  </si>
  <si>
    <t>(Kastélykert Óvoda, Ficánka Óvoda)</t>
  </si>
  <si>
    <t>Óvodák összesen:</t>
  </si>
  <si>
    <t>Egészségügyi és szoc. int. összesen:</t>
  </si>
  <si>
    <t xml:space="preserve">KDOP-3.1.1/D2-13-k2-2013-0002. Szociális Városrehabilitáció Veszprémben </t>
  </si>
  <si>
    <t>TÁMOP-3.2.1.12-12/1-2012-0037. Kulturális szakemberek továbbképzése</t>
  </si>
  <si>
    <t>TÁMOP-3.2.12-12/1-2012-0002. Virtualitás és többnyelvűség a megújuló múzeumpedagógiában</t>
  </si>
  <si>
    <t>Veszprémi Petőfi Színház</t>
  </si>
  <si>
    <t>Kulturális és közművelődési int. Összesen</t>
  </si>
  <si>
    <t>INTÉZMÉNYEK ÖSSZESEN:</t>
  </si>
  <si>
    <t>Polgármesteri Hivatal összesen:</t>
  </si>
  <si>
    <t>2013. évi           tény</t>
  </si>
  <si>
    <t>TÁMOP-3.2.4.A-11/1-2012-0035. Okt. kapcs. szövegért. fejl. pr. digitális írástudás jegyében</t>
  </si>
  <si>
    <t>VMJV Polgármesteri Hivatal által ellátott kötelező és önként vállalt feladatok</t>
  </si>
  <si>
    <t>Veszprém Megyei Jogú Város Önkormányzata Intézményeinek</t>
  </si>
  <si>
    <t>N</t>
  </si>
  <si>
    <t>O</t>
  </si>
  <si>
    <t>P</t>
  </si>
  <si>
    <t>Felhalmozási költségvetési kiadások</t>
  </si>
  <si>
    <t>Beruházások</t>
  </si>
  <si>
    <t>Felújítások</t>
  </si>
  <si>
    <t>Egyéb felhalmozási célú kiadások</t>
  </si>
  <si>
    <t xml:space="preserve">Egységben az erő! - Óvodafejlesztés Veszprémben TÁMOP-3.1.11.12/2-2012-0026 </t>
  </si>
  <si>
    <t>VMJV Egészségügyi Alapellátási Intézmény</t>
  </si>
  <si>
    <t>Göllesz Viktor Fogyatékos Személyek Nappali Intézmények</t>
  </si>
  <si>
    <t>Kulturális szakemberek továbbképzése a szolgálat-fejlesztés érdekében TÁMOP-3.2.12-12/1-2012-0021</t>
  </si>
  <si>
    <t xml:space="preserve">Veszprém integrált településfejlesztés, belváros funkcióbővítő rehabilitációja 1/B. ütem </t>
  </si>
  <si>
    <t>TÁMOP-3.2.13.12/1-2012-0121. Tanórán kívüli nevelés, szakkörök és témahét megvalósítása</t>
  </si>
  <si>
    <t>TÁMOP-3.2.13-12/1-2012-0130. Történelmi, irodalmi, néprajzi értékeink nyomában</t>
  </si>
  <si>
    <t>Kulturális és közművelődési int. összesen</t>
  </si>
  <si>
    <t>INTÉZMÉNYEK ÖSSZESEN</t>
  </si>
  <si>
    <t>Igazgatási tevékenység</t>
  </si>
  <si>
    <t>2014. évi országgyűlési képviselő  választások</t>
  </si>
  <si>
    <t>2014. évi önkormányzati és  nemzetiségi önkormányzati képviselők választása</t>
  </si>
  <si>
    <t>2014. Európa parlamenti képviselő választások</t>
  </si>
  <si>
    <t>Gondnokság</t>
  </si>
  <si>
    <t>ISO 9001 minőségbiztosítás karbantartás</t>
  </si>
  <si>
    <t>TÁMOP 3.1.3.10/2-2010-0002 (Vetési A. Gimnázium Természettud. Labor)</t>
  </si>
  <si>
    <t>Vertikális közösségi Integrációs Program TÁMOP-5.3.6-11/1-2012-0004</t>
  </si>
  <si>
    <t>Egységben az erő! - Óvodafejlesztés Veszprémben          TÁMOP-3.1.11-12/2-2012-0026</t>
  </si>
  <si>
    <t xml:space="preserve">Természettudományos közoktatási laboratórium kialakítása a veszprémi Ipari Szakközépiskola és Gimnáziumban TÁMOP-3.1.3-11/2-2012-0061      </t>
  </si>
  <si>
    <t>Fenntartható városfejlesztés Veszprémben KDOP-3.1.1/E-13-002</t>
  </si>
  <si>
    <t>A gyermekvédelmi szolgáltatások fejlesztése Veszprémben TIOP-3.4.1.B-11/1-2012-0005</t>
  </si>
  <si>
    <t>TÁMOP-2.4.5-12/7-2012-0474 Rugalmas foglalkoztatási lehetőségek megvalósítása Veszprém Megyei Jogú Város Polgármesteri Hivatalában</t>
  </si>
  <si>
    <t>VMJV Polgármesteri Hivatal összesen</t>
  </si>
  <si>
    <t>Ebből:</t>
  </si>
  <si>
    <t>Önkormányzati kötelező feladatokat ellátó intézmények összesen</t>
  </si>
  <si>
    <t>Önkormányzat által önként vállalt feladatokat ellátó intézmények összesen</t>
  </si>
  <si>
    <t>VMJV Polgármesteri Hivatal által ellátott kötelező és államigazgatási feladatok összesen</t>
  </si>
  <si>
    <t>Veszprém Megyei Jogú Város Önkormányzatának</t>
  </si>
  <si>
    <t>Előir. csop. szám</t>
  </si>
  <si>
    <t>Kie-melt előir. szám</t>
  </si>
  <si>
    <t>2013. évi         tény</t>
  </si>
  <si>
    <t>Működési célú támogatások Áht-on belülről</t>
  </si>
  <si>
    <t>Önkormányzatok működési támogatásai</t>
  </si>
  <si>
    <t>Helyi önkormányzatok általános működéséhez és ágazati feladataihoz kapcsolódó támogatás</t>
  </si>
  <si>
    <t>Működési célú költségvetési támogatások és kiegészítő támogatások</t>
  </si>
  <si>
    <t>Egyéb működési célú támogatások bevételei</t>
  </si>
  <si>
    <t>ebből: Társadalombizt. Alapból származó támogatás</t>
  </si>
  <si>
    <t>1-17</t>
  </si>
  <si>
    <t>Önkormányzati Intézmények  működési célú támogatások Áht-on belülről</t>
  </si>
  <si>
    <t>Közhatalmi bevételek</t>
  </si>
  <si>
    <t>Adók</t>
  </si>
  <si>
    <t>Egyéb pótlékok, bírságok</t>
  </si>
  <si>
    <t>Egyéb közhatalmi bevételek (bírságok, igazgatási szolgáltatási díjak)</t>
  </si>
  <si>
    <t>ebből: Szolgáltatások ellenértéke</t>
  </si>
  <si>
    <t>ebből: Tulajdonosi bevételek</t>
  </si>
  <si>
    <t>ebből: ÁFA bevételek és visszatérülések</t>
  </si>
  <si>
    <t>Önkormányzati Intézmények működési bevételek</t>
  </si>
  <si>
    <t>Működési célú átvett pénzeszközök</t>
  </si>
  <si>
    <t>Önkormányzati Intézmények működési célú átvett pénzeszközök</t>
  </si>
  <si>
    <t>Felhalmozási célú támogatások Áht-on belülről</t>
  </si>
  <si>
    <t>Felhalmozási célú önkormányzati támogatások</t>
  </si>
  <si>
    <t>Vis maior, Egyéb felhalmozási célú támogatás</t>
  </si>
  <si>
    <t>Önkormányzatok felhalmozási célú támogatása - adósságkonszolidáció</t>
  </si>
  <si>
    <t>Egyéb felhalmozási célú támogatások bevételei</t>
  </si>
  <si>
    <t>Önkormányzati Intézmények felhalmozási célú támogatások Áht-on belülről</t>
  </si>
  <si>
    <t>Felhalmozási bevételek</t>
  </si>
  <si>
    <t>Ingatlanok értékesítése</t>
  </si>
  <si>
    <t>Önkormányzati Intézmények felhalmozási bevételei</t>
  </si>
  <si>
    <t>Felhalmozási célú átvett pénzeszközök</t>
  </si>
  <si>
    <t>Önkormányzati Intézmények felhalmozási célú átvett pénzeszközök</t>
  </si>
  <si>
    <t>Lakásalap</t>
  </si>
  <si>
    <t>Költségvetési bevételek összesen</t>
  </si>
  <si>
    <t>Költségvetési egyenleg összege</t>
  </si>
  <si>
    <t>Finanszírozási bevételek</t>
  </si>
  <si>
    <t>Hiány belső finanszírozására szolgáló bevételek</t>
  </si>
  <si>
    <t>Intézmények</t>
  </si>
  <si>
    <t>VMJV Polgármesteri Hivatala</t>
  </si>
  <si>
    <t xml:space="preserve">Önkormányzat </t>
  </si>
  <si>
    <t>Önkormányzat</t>
  </si>
  <si>
    <t>Hiány külső finanszírozására szolgáló bevételek</t>
  </si>
  <si>
    <t>Beruházási hitelfelvétel</t>
  </si>
  <si>
    <t>Előző évi hitelszerződéseken alapuló felvétel</t>
  </si>
  <si>
    <t>Kiegyenlítő, függő, átfutó</t>
  </si>
  <si>
    <t xml:space="preserve"> - Intézményi</t>
  </si>
  <si>
    <t xml:space="preserve"> - Önkormányzat</t>
  </si>
  <si>
    <t>Bevételi főösszeg</t>
  </si>
  <si>
    <t xml:space="preserve">Cím  </t>
  </si>
  <si>
    <t>Intézményi költségvetési kiadások</t>
  </si>
  <si>
    <t>18</t>
  </si>
  <si>
    <t>Céltartalékok</t>
  </si>
  <si>
    <t>Működési céltartalékok</t>
  </si>
  <si>
    <t xml:space="preserve"> - Normatíva elszámolás</t>
  </si>
  <si>
    <t xml:space="preserve"> - Felmentési idő, jub.jut., végkielégítés</t>
  </si>
  <si>
    <t xml:space="preserve"> - Választókerületi keret</t>
  </si>
  <si>
    <t>Felhalmozási céltartalékok</t>
  </si>
  <si>
    <t xml:space="preserve"> - Előző évi hitelszerződéshez kapcs. feladat</t>
  </si>
  <si>
    <t xml:space="preserve"> - Beruházási kiadásokra képzett céltartalék</t>
  </si>
  <si>
    <t xml:space="preserve"> - Felújítási kiadásokra képzett céltartalék</t>
  </si>
  <si>
    <t>Általános tartalék</t>
  </si>
  <si>
    <t>Lakásalap kiadása</t>
  </si>
  <si>
    <t>Költségvetési kiadások összesen</t>
  </si>
  <si>
    <t>Finanszírozási kiadások</t>
  </si>
  <si>
    <t>Működési finanszírozási kiadások</t>
  </si>
  <si>
    <t>Felhalmozási finanszírozási kiadások</t>
  </si>
  <si>
    <t xml:space="preserve"> - Hiteltörlesztés</t>
  </si>
  <si>
    <t xml:space="preserve"> - Lakásalap hiteltörlesztése</t>
  </si>
  <si>
    <t>Kiadási főösszeg</t>
  </si>
  <si>
    <t>VESZPRÉM MEGYEI JOGÚ VÁROS ÖNKORMÁNYZATÁNAK MŰKÖDÉSI ÉS FELHALMOZÁSI</t>
  </si>
  <si>
    <t>KÖLTSÉGVETÉSI BEVÉTELEI ÉS KIADÁSAI 2015. ÉVBEN</t>
  </si>
  <si>
    <t>MŰKÖDÉSI KÖLTSÉGVETÉSI BEVÉTELEK</t>
  </si>
  <si>
    <t>MŰKÖDÉSI KÖLTSÉGVETÉSI KIADÁSOK</t>
  </si>
  <si>
    <t>Működési célú támogatások államháztartáson belülről</t>
  </si>
  <si>
    <t>Munkaadókat terhelő járulékok és szociális hozzájárulási adó</t>
  </si>
  <si>
    <t>Ellátottak pénzbeli juttatásai</t>
  </si>
  <si>
    <t>Egyéb működési célú kiadások (tartalékok nélkül)</t>
  </si>
  <si>
    <t>6.</t>
  </si>
  <si>
    <t>Működési célú tartalék</t>
  </si>
  <si>
    <t>Működési költségvetési bevételek összesen</t>
  </si>
  <si>
    <t>Működési költségvetési kiadások összesen</t>
  </si>
  <si>
    <t>FELHALMOZÁSI KÖLTSÉGVETÉSI BEVÉTELEK</t>
  </si>
  <si>
    <t>FELHALMOZÁSI KÖLTSÉGVETÉSI KIADÁSOK</t>
  </si>
  <si>
    <t>Felhalmozási célú támogatások államháztartáson belülről</t>
  </si>
  <si>
    <t>Beruházási kiadások</t>
  </si>
  <si>
    <t>Felújítási kiadások</t>
  </si>
  <si>
    <t>Felhalmozási célú tartalék</t>
  </si>
  <si>
    <t>Felhalmozási költségvetési bevételek összesen</t>
  </si>
  <si>
    <t>Felhalmozási költségvetési kiadások összesen</t>
  </si>
  <si>
    <t>MŰKÖDÉSI FINANSZÍROZÁSI BEVÉTELEK</t>
  </si>
  <si>
    <t>MŰKÖDÉSI FINANSZÍROZÁSI KIADÁSOK</t>
  </si>
  <si>
    <t>Rövid lejáratú hitel felvétele</t>
  </si>
  <si>
    <t>Rövid lejáratú hitel tőkeösszegének törlesztése</t>
  </si>
  <si>
    <t>Költségvetési maradvány, vállalkozási maradvány</t>
  </si>
  <si>
    <t>FELHALMOZÁSI FINANSZÍROZÁSI BEVÉTELEK</t>
  </si>
  <si>
    <t>FELHALMOZÁSI FINANSZÍROZÁSI KIADÁSOK</t>
  </si>
  <si>
    <t>Hosszú lejáratú hitel felvétele</t>
  </si>
  <si>
    <t>Hosszú lejáratú hitel tőkeösszegének törlesztése</t>
  </si>
  <si>
    <t>Finanszírozási bevételek összesen</t>
  </si>
  <si>
    <t>Finanszírozási kiadások összesen</t>
  </si>
  <si>
    <t>ÖSSZES BEVÉTEL</t>
  </si>
  <si>
    <t>ÖSSZES KIADÁS</t>
  </si>
  <si>
    <t>ebből működési:</t>
  </si>
  <si>
    <t>ebből felhalmozási:</t>
  </si>
  <si>
    <t>Finanszírozási kiadásokkal korrigált hiány összege</t>
  </si>
  <si>
    <t>Működési bevételek aránya %-ban</t>
  </si>
  <si>
    <t>Működési kiadások aránya %-ban</t>
  </si>
  <si>
    <t>Felhalmozási bevételek aránya %-ban</t>
  </si>
  <si>
    <t>Felhalmozási kiadások aránya %-ban</t>
  </si>
  <si>
    <t xml:space="preserve"> </t>
  </si>
  <si>
    <t>Belső finanszírozásra szolgáló költségvetési maradvány összegével korrigált hiány</t>
  </si>
  <si>
    <t>Közfoglalkoztatottak létszáma</t>
  </si>
  <si>
    <t>I.</t>
  </si>
  <si>
    <t>Kiemelt művészeti együttesek támogatása</t>
  </si>
  <si>
    <t>Rendőrségi körzeti megbízotti iroda kialakítására a Stromfeld u. 9. sz. alatti önkormányzati helyiségekben vk.</t>
  </si>
  <si>
    <t>Gyilokjáró tervezése</t>
  </si>
  <si>
    <t>Belső udvar vízvezeték rekonstrukció</t>
  </si>
  <si>
    <t>Intézményi felújítási kiadások</t>
  </si>
  <si>
    <t>Intézményi felújítási kiadások összesen</t>
  </si>
  <si>
    <t>Felújítási kiadások mindösszesen</t>
  </si>
  <si>
    <t>Rendszeres gyermekvédelmi támogatás (Kiegészítő családi pótlék)</t>
  </si>
  <si>
    <t>Rendkívüli gyermekvédelmi támogatás</t>
  </si>
  <si>
    <t>Swing-Swing Kft. Szolgáltatás vásárlás</t>
  </si>
  <si>
    <t>Bérleményekkel, haszonbérletekkel kapcsolatos feladatok</t>
  </si>
  <si>
    <t>Alapítvány a Magyar Műemléki Topográfia Támogatására</t>
  </si>
  <si>
    <t>"A" épület belső udvar, sportudvar felületeinek javítása, valamint a csapadékvíz elvezetés megoldása</t>
  </si>
  <si>
    <t>Családsegítő és Gyermekjóléti Központ</t>
  </si>
  <si>
    <t>Közgyógyellátási igazolvány, gyógyszertámogatás</t>
  </si>
  <si>
    <t>Lakásfenntartási támogatás, lakbértámogatás, albérleti támogatás</t>
  </si>
  <si>
    <t>Rendszeres szociális segély</t>
  </si>
  <si>
    <t>Adósságkezelés, adósságcsökkentési támogatás</t>
  </si>
  <si>
    <t>Átmeneti szociális segély</t>
  </si>
  <si>
    <t>Önkormányzati rendeletben meghatározott egyéb szociális támogatások</t>
  </si>
  <si>
    <t>Megyei Könyvtár kistelepülési könyvtári és közművelődési célú kiegészítő állami támogatásából</t>
  </si>
  <si>
    <t>Deák Ferenc Általános Iskola - méregszekrény</t>
  </si>
  <si>
    <t>Lovassy László Gimnázium - 3 db mikroport</t>
  </si>
  <si>
    <r>
      <t>Vetési Albert Gimnázium - 2 db CO</t>
    </r>
    <r>
      <rPr>
        <vertAlign val="subscript"/>
        <sz val="11"/>
        <rFont val="Palatino Linotype"/>
        <family val="1"/>
      </rPr>
      <t>2</t>
    </r>
    <r>
      <rPr>
        <sz val="11"/>
        <rFont val="Palatino Linotype"/>
        <family val="1"/>
      </rPr>
      <t>-os poroltó az informatikai termekbe</t>
    </r>
  </si>
  <si>
    <t>Kisértékű tárgyi eszközök (telefonos fax készülék, mosógép 1 db LG, tálaló kocsi 10 db, csoportszőnyeg 10 db, napernyő homokozó fölé 5 db legalább 3 m-es)</t>
  </si>
  <si>
    <t>Kisértékű tárgyi eszközök (2 db porszívó, vasaló deszka)</t>
  </si>
  <si>
    <t>Kisértékű tárgyi eszközök (Mosógép - Whirpool 80.000Ft)</t>
  </si>
  <si>
    <t>Kisértékű tárgyi eszközök (porszívó, udvari asztal padokkal 2 db)</t>
  </si>
  <si>
    <t>Kisértékű tárgyi eszközök (porszívó, vasaló 2 db, merülő mixer)</t>
  </si>
  <si>
    <t>Kisértékű tárgyi eszközök (porszívó, turmix gép, szőnyeg 8 db)</t>
  </si>
  <si>
    <t>Kisértékű tárgyi eszközök (székek 20 db, kávéfőző)</t>
  </si>
  <si>
    <t>Kisértékű tárgyi eszközök (függöny, karnis, 6 db. zárható szekrény, sínrendszer a kiállításokhoz, színpadgépészeti berendezések költségkülönbözete, videó ügyelői rendszer, színpadi ügyelői szekrény, új bútorzat előcsarnokba, emeleti előcsarnokba, színházterem padló csiszolása, festése, új bútorzat előcsarnokba, emeleti előcsarnokba)</t>
  </si>
  <si>
    <t>Padok beszerzése és kihelyezése</t>
  </si>
  <si>
    <t>Árkok műszaki tervei</t>
  </si>
  <si>
    <t>Játszóeszközök kopásból, elhasználódásból adódó felújítás</t>
  </si>
  <si>
    <t xml:space="preserve">Vass-Gyűjtemény  (Vár u. 3-5-7.) tetőcserép komplett cseréje </t>
  </si>
  <si>
    <t>Szellőzés felújítása</t>
  </si>
  <si>
    <t xml:space="preserve">Táborállás park 1. kiegészítő pótmunka </t>
  </si>
  <si>
    <t>Csapadékcsatornák üzemeltetési szolgáltatásai</t>
  </si>
  <si>
    <t>DAT térképfrissítés, földkönyv, közműnyilvántartás</t>
  </si>
  <si>
    <t>Fotovoltaikus rendszerek kialakítása KEOP-2014-4.10.0/N</t>
  </si>
  <si>
    <t>Felhalmozási célú átvett pénzeszközök (kölcsönök visszatérülése)</t>
  </si>
  <si>
    <t>Felhalmozási célú költségvetési maradvány igénybevétele</t>
  </si>
  <si>
    <t>Működési célú  költségvetési maradvány igénybevétele</t>
  </si>
  <si>
    <t>Előző évi  költségvetési maradvány</t>
  </si>
  <si>
    <t>2015. évi eredeti előirányzat</t>
  </si>
  <si>
    <t>2015. évi módosított 1.</t>
  </si>
  <si>
    <t>2015. évi bevételeinek módosítása</t>
  </si>
  <si>
    <t>2015. április hó</t>
  </si>
  <si>
    <t>ÖSSZEFOGLALÓ TÁBLA</t>
  </si>
  <si>
    <t>a bevételi és kiadási előirányzatok módosításáról</t>
  </si>
  <si>
    <t xml:space="preserve">                </t>
  </si>
  <si>
    <t>BEVÉTELEK</t>
  </si>
  <si>
    <t>9.</t>
  </si>
  <si>
    <t>BEVÉTELEK ÖSSZESEN:</t>
  </si>
  <si>
    <t>II.</t>
  </si>
  <si>
    <t>KIADÁSOK</t>
  </si>
  <si>
    <t>Bevételi többlet és feladatok közötti átcsoportosítás összesen</t>
  </si>
  <si>
    <t>Választókerületi keret felosztása - Parkfenntartás</t>
  </si>
  <si>
    <t>Választókerületi keret felosztása - Parkfenntartás összesen</t>
  </si>
  <si>
    <t>Városgazdálkodási szolgáltatás</t>
  </si>
  <si>
    <t>Városgazdálkodási szolgáltatás összesen</t>
  </si>
  <si>
    <t xml:space="preserve">Civil szervezetek </t>
  </si>
  <si>
    <t>Választókerületi keret felosztás összesen</t>
  </si>
  <si>
    <t>VMJV Önkormányzata működési kiadás összesen</t>
  </si>
  <si>
    <t xml:space="preserve">Felhalmozási kiadások </t>
  </si>
  <si>
    <t>Felhalmozási kiadások összesen:</t>
  </si>
  <si>
    <t>Felújítás összesen:</t>
  </si>
  <si>
    <t>8.</t>
  </si>
  <si>
    <t>INTÉZMÉNYI KIADÁSOK</t>
  </si>
  <si>
    <t xml:space="preserve">VMJV Polgármesteri Hivatal </t>
  </si>
  <si>
    <t>Polgármesteri Hivatal működési költségvetés összesen:</t>
  </si>
  <si>
    <t xml:space="preserve">Intézményi felhalmozási költségvetés </t>
  </si>
  <si>
    <t>Választókerületi keret felosztása</t>
  </si>
  <si>
    <t>Választókerületi keret összesen</t>
  </si>
  <si>
    <t>Céltartalék összesen</t>
  </si>
  <si>
    <t>Kiadások összesen</t>
  </si>
  <si>
    <t>eltérés 32406 e ft. pénzmaradvány</t>
  </si>
  <si>
    <t>2015. évi kiadásainak módosítása</t>
  </si>
  <si>
    <r>
      <t>2015. évi bevételeinek módosítása</t>
    </r>
    <r>
      <rPr>
        <sz val="10"/>
        <rFont val="Palatino Linotype"/>
        <family val="1"/>
      </rPr>
      <t xml:space="preserve"> - 2015. április hó</t>
    </r>
  </si>
  <si>
    <t>eredeti előirányzat</t>
  </si>
  <si>
    <t xml:space="preserve">módosítás - </t>
  </si>
  <si>
    <t>módosított előirányzat</t>
  </si>
  <si>
    <r>
      <t>Önkormányzati feladatok és egyéb kötelezettségek 2015. évi működési költségvetési kiadásainak módosítása</t>
    </r>
    <r>
      <rPr>
        <sz val="11"/>
        <rFont val="Palatino Linotype"/>
        <family val="1"/>
      </rPr>
      <t xml:space="preserve"> - 2015. április hó</t>
    </r>
  </si>
  <si>
    <t xml:space="preserve"> - Pályázati keret</t>
  </si>
  <si>
    <t xml:space="preserve"> - Civil -iroda működési költsége</t>
  </si>
  <si>
    <t xml:space="preserve"> - Civil-díj, Civil nap költségei</t>
  </si>
  <si>
    <t xml:space="preserve"> - Ifjúsági információs feladatok</t>
  </si>
  <si>
    <t>ebből : - Nyugdíjas szervezetek számára pályázati keret</t>
  </si>
  <si>
    <r>
      <t>2015. évi beruházások és egyéb felhalmozási kiadások módosítása</t>
    </r>
    <r>
      <rPr>
        <sz val="11"/>
        <rFont val="Palatino Linotype"/>
        <family val="1"/>
      </rPr>
      <t xml:space="preserve"> - 2015. április hó</t>
    </r>
  </si>
  <si>
    <r>
      <t>2015. évi felújítási kiadások módosítása</t>
    </r>
    <r>
      <rPr>
        <sz val="11"/>
        <rFont val="Palatino Linotype"/>
        <family val="1"/>
      </rPr>
      <t xml:space="preserve"> - 2015. április hó</t>
    </r>
  </si>
  <si>
    <t>V á l a s z t ó k e r ü l e t</t>
  </si>
  <si>
    <t>Beruh.</t>
  </si>
  <si>
    <t>Felúj. és karbantartás</t>
  </si>
  <si>
    <t>Utak-</t>
  </si>
  <si>
    <t>Parkfennt.</t>
  </si>
  <si>
    <t>Város</t>
  </si>
  <si>
    <t>Környezet-</t>
  </si>
  <si>
    <t>Igaz-</t>
  </si>
  <si>
    <t>Sport</t>
  </si>
  <si>
    <t>Civil Szerv.</t>
  </si>
  <si>
    <t>Intézményi</t>
  </si>
  <si>
    <t>Tartalék</t>
  </si>
  <si>
    <t>hidak</t>
  </si>
  <si>
    <t>Gazdálk.</t>
  </si>
  <si>
    <t>védelmi fel.</t>
  </si>
  <si>
    <t>gatás</t>
  </si>
  <si>
    <t>támogatása</t>
  </si>
  <si>
    <t>támogatás</t>
  </si>
  <si>
    <t>Költségv.</t>
  </si>
  <si>
    <t xml:space="preserve">1. </t>
  </si>
  <si>
    <t>módosítás</t>
  </si>
  <si>
    <t xml:space="preserve">3. </t>
  </si>
  <si>
    <t xml:space="preserve">4. </t>
  </si>
  <si>
    <t xml:space="preserve">5. </t>
  </si>
  <si>
    <t xml:space="preserve">6. </t>
  </si>
  <si>
    <t xml:space="preserve">7. </t>
  </si>
  <si>
    <t xml:space="preserve">8. </t>
  </si>
  <si>
    <t xml:space="preserve">9. </t>
  </si>
  <si>
    <t xml:space="preserve">10. </t>
  </si>
  <si>
    <t>11.</t>
  </si>
  <si>
    <t>12.</t>
  </si>
  <si>
    <t>módosított előirányzat össz.</t>
  </si>
  <si>
    <t>A 2015. évi választókerületi alap megoszlása feladatonként</t>
  </si>
  <si>
    <t>2015. évi módosított I.</t>
  </si>
  <si>
    <t>Ágazati pótlék 2015. I. negyedév</t>
  </si>
  <si>
    <t>VMJV Egyesített bölcsőde</t>
  </si>
  <si>
    <t>Bérkompenzáció (2014. december - 2015. február hó)</t>
  </si>
  <si>
    <t>VMJV Eü. Alapellátás</t>
  </si>
  <si>
    <t>Kabóca Bábszínház</t>
  </si>
  <si>
    <t>módosítás - bérkompenzáció 2014.dec-2015.febr.hó</t>
  </si>
  <si>
    <t>módosítás - bérkompenzáció 2014.dec. - 2015. febr.hó</t>
  </si>
  <si>
    <t>ágazati pótlék</t>
  </si>
  <si>
    <t>módosítás - átcsoportosítás egyéb felhalmozási célú kiadásokra</t>
  </si>
  <si>
    <t>Költségvetési maradvány - Polgármesteri Hivatal</t>
  </si>
  <si>
    <t>Költségvetési maradvány - Intézmények</t>
  </si>
  <si>
    <t>Költségvetési maradvány - Önkormányzat</t>
  </si>
  <si>
    <t xml:space="preserve">Kabóca Bábszínház </t>
  </si>
  <si>
    <t>Munkaügyi Központ - közfoglalkoztatás</t>
  </si>
  <si>
    <t>Göllesz Viktor Fogyatékos Személyeik Nappali Intézménye</t>
  </si>
  <si>
    <t>VMJV Egyesített Bölcsőde</t>
  </si>
  <si>
    <t>EMMI - gyakorlati képzés támogatása</t>
  </si>
  <si>
    <t>Intézményi felújítási költségvetés</t>
  </si>
  <si>
    <t>Kazán felújítás, lift felújítás</t>
  </si>
  <si>
    <t>Petőfi Színház - személygépkocsi, tehergépkocsi eladás</t>
  </si>
  <si>
    <t>Önkormányzati Intézmények felhalmozási célú átvett bevételei</t>
  </si>
  <si>
    <t>Petőfi Színház - NKA pályázat</t>
  </si>
  <si>
    <t>TÁMOP-3.2.1.12-12/1-2012-0037. Kulturális szakemberek továbbképzése  - pályázat elszámolása</t>
  </si>
  <si>
    <t>Erzsébet sétány illemhely felújítás</t>
  </si>
  <si>
    <t>költségvetési maradvány</t>
  </si>
  <si>
    <t>gyakorlati képzés támogatása</t>
  </si>
  <si>
    <t>gyakorlati képzés támogatása, költségvetési maradvány</t>
  </si>
  <si>
    <t>módosítás - költségvetési maradvány</t>
  </si>
  <si>
    <t>gépkocsi, tehergépkocsi értékesítés, NKA támogatás</t>
  </si>
  <si>
    <t>pályázat elszámolás</t>
  </si>
  <si>
    <t>módosítás - átcsoportosítás Laczkó Dezső Múzeumnak</t>
  </si>
  <si>
    <t>átcsoportosítás Eötvös Károly Megyei Könyvtárnak</t>
  </si>
  <si>
    <t>átcsoportosítás Városi Művelődési Központnak</t>
  </si>
  <si>
    <t>"Veszprém a Nagy Háborúban " c. vetélkedőre</t>
  </si>
  <si>
    <t>Olvasó pályázat iskolásoknak</t>
  </si>
  <si>
    <t>Nyugdíjas szervezetek számára pályázati keret</t>
  </si>
  <si>
    <t>módosítás - átcsoportosítás Városi Művelődési Központnak</t>
  </si>
  <si>
    <t>módosítás - átcsoportosítás Petőfi Színháznak</t>
  </si>
  <si>
    <t>Marketing tevékenység</t>
  </si>
  <si>
    <t>"A Nagy Háború" irodalmi előadás program megvalósítása</t>
  </si>
  <si>
    <t>Irodalmi műsorok, színház, koncert, könyvbemutató költségeire</t>
  </si>
  <si>
    <t>"A szolgálat nehéz, az idő legtöbbnyire rossz" c. kiadványra</t>
  </si>
  <si>
    <t>"Veszprém a Nagy Háborúban "c. vetélkedőre</t>
  </si>
  <si>
    <t>"I. Világháborús történelmi nyári tábor" költségeire</t>
  </si>
  <si>
    <t>"Rejtvényfüzet I. Világháborús emlékek" c. kiadványra</t>
  </si>
  <si>
    <t>A szolgálat nehéz, az idő legtöbbnyire rossz c. kiadványra</t>
  </si>
  <si>
    <t>I. világháborús történelmi nyári tábor költségeire</t>
  </si>
  <si>
    <t>Rejtvényfüzet I. világháborús emlékek c. kiadványra</t>
  </si>
  <si>
    <t xml:space="preserve">irodalmi műsorok, színház, koncert, könyvbemutató </t>
  </si>
  <si>
    <t>Gyulafirátót Művelődési Ház- Rozmaring nyugdíjasklub tám.</t>
  </si>
  <si>
    <t>Szoboszlay Sándor kiadványra</t>
  </si>
  <si>
    <t>Április 1. nyugdíjas klubvezetők fóruma műsorszolgáltatás</t>
  </si>
  <si>
    <t>Április 1. nyugdíjas klubvezetők fóruma műsorszolgáltatásra</t>
  </si>
  <si>
    <t>cafeteria kiegészítés</t>
  </si>
  <si>
    <t>cafeteria emelés</t>
  </si>
  <si>
    <t>EMMI - foglalkoztatás támogatása</t>
  </si>
  <si>
    <t>EMMI - foglalkoztatás támogatás</t>
  </si>
  <si>
    <t>EMMI foglalkoztatás támogatás</t>
  </si>
  <si>
    <t>módosítás-</t>
  </si>
  <si>
    <t>Polgármesteri jóváhagyás alapján</t>
  </si>
  <si>
    <t>11.sz.vk. Utca névtáblák beszerzésére és kihelyezésére</t>
  </si>
  <si>
    <t>Pénzügyi és Költségvetési Bizottság döntése alapján</t>
  </si>
  <si>
    <t xml:space="preserve">módosítás - választókerületi keret </t>
  </si>
  <si>
    <t>módosítás - képviselői keret</t>
  </si>
  <si>
    <t>átcsoportosítás Alapítványi támogatásra</t>
  </si>
  <si>
    <t>Veszprémi szemle Várostörténeti Közhasznú Alapítvány -temetői sírok karbantartása</t>
  </si>
  <si>
    <t>módosítás - átnevezés</t>
  </si>
  <si>
    <t>Alapítvány a Magyar Műemléki Topográfia támogatására - topográfiai kötet támogatása</t>
  </si>
  <si>
    <t>Főegyházmegyei intézmények kulturális feladatellátásának támogatása</t>
  </si>
  <si>
    <t>Veszprémi Műemléki Topográfia költségei - átnevezés</t>
  </si>
  <si>
    <t>6.sz.vk. Sport, fitnesz eszközök beszerzésére: (Rózsa u. 48. melletti játszótér környezetében)</t>
  </si>
  <si>
    <t>Aradi V. úti garázstelepi utak felújítása - átcsoportosítás</t>
  </si>
  <si>
    <t>Rendszámfelismerő alapszoftver beszerzése (Városi Rendőrkapitányság r. tört. Haszn. adásra) 2., 3., 4., 5., 9. vk.</t>
  </si>
  <si>
    <t>Pergola építése és kerti bútor telepítése a pergola alá (Haszkovó u. 16. elé) 4. vk.</t>
  </si>
  <si>
    <t>feladatok</t>
  </si>
  <si>
    <t>Köztiszt.</t>
  </si>
  <si>
    <t>Prémium évek</t>
  </si>
  <si>
    <t>Állam felé befizetési kötelezettség</t>
  </si>
  <si>
    <t>2014. évi normatíva elszámolás</t>
  </si>
  <si>
    <t>Sátor</t>
  </si>
  <si>
    <t>Kisértékű tárgyi eszközök (biztonsági kapuzár nagykapuhoz, szekrény, irodai székek, mini konyha)</t>
  </si>
  <si>
    <t>Fészek hinta telepítés</t>
  </si>
  <si>
    <t>Udvari tároló és telepítése</t>
  </si>
  <si>
    <t>Kisértékű tárgyi eszközök (6 db tálalókocsi, folyósóra 1 db komolyabb ipari porszívó, vasaló deszka 1 db, vasaló 2 db, óvodai kisbútorok: játékasztal, polcok, óvodai szekrények, polcok csoportszobába, irodai bútorok)</t>
  </si>
  <si>
    <t>ISPOST étkezési nyilvántartó szoftverek</t>
  </si>
  <si>
    <t>Számítástechnikai és informatikai eszközök, számítógépek, monitorok, élelmezés elszámolási és tiszta szoftverek</t>
  </si>
  <si>
    <t>Védőnők asztali számítógépei</t>
  </si>
  <si>
    <t>Mozgásfejlődést elősegítő udvari játék</t>
  </si>
  <si>
    <t>ISPOST étkezési nyilvántartó szoftverek, Microsoft office program csomag, multifunkciós Laserjet nyomtató, színes nyomtató, notebook, fénymásoló</t>
  </si>
  <si>
    <t>Babaház udvari játék</t>
  </si>
  <si>
    <t>MAXI mozgáskotta készlet</t>
  </si>
  <si>
    <t>Mászókás csúszda - udvari játék</t>
  </si>
  <si>
    <t>Babaház udvari játék 2 db.</t>
  </si>
  <si>
    <t>Udvari homokozó, takaróval</t>
  </si>
  <si>
    <t>9 személyes gépjármű</t>
  </si>
  <si>
    <t>Hang és videorendszer kiépítése</t>
  </si>
  <si>
    <t>Kisértékű tárgyi eszközök (mosógép, 3 db porszívó, 2 db vasaló, robotgép, szeletelő, szőnyeg 5 csoportba, tornapad 2 db, tornaszivacs csere 2 db, diavetítő 2 db, nevelői szék 24 db., nevelői bútor 6db., íróasztal 8db., polc 1 db.,dohányzóasztal 1db.)</t>
  </si>
  <si>
    <t>Kisértékű tárgyi eszközök (2 db porszívó, hűtő, dohányzóasztal 1 db., irodai bútor 4 db., feli napellenző 2 db., homokozó fölé árnyékoló 1 db., szőnyeg 9 db.)</t>
  </si>
  <si>
    <t>Kisértékű tárgyi eszközök (gyerek WC ülőke 9 db,  felnőtt WC ülőke 2 db, óvodai asztal 6 db, óvodai szék 30 db,rugós játék, páramentesítő)</t>
  </si>
  <si>
    <t>FM Lynk</t>
  </si>
  <si>
    <t>Dagasztógép</t>
  </si>
  <si>
    <t>Udvari játék</t>
  </si>
  <si>
    <t xml:space="preserve"> ISPOST étkezési nyilvántartó szoftverek, multifunkcionális nyomtató, projektor</t>
  </si>
  <si>
    <t>Számítógép, laptop</t>
  </si>
  <si>
    <t>IPOST élelmezési nyilvántartó szoftver, számítógép</t>
  </si>
  <si>
    <t>Napsugár Bölcsőde</t>
  </si>
  <si>
    <t>Aprófalvi Bölcsőde</t>
  </si>
  <si>
    <t>Kazán felújítás befejezése</t>
  </si>
  <si>
    <t>Lift felújítás</t>
  </si>
  <si>
    <t>Citroen Berlingo személygépkocsi</t>
  </si>
  <si>
    <t>Tehergépkocsi</t>
  </si>
  <si>
    <t>Szoftverek</t>
  </si>
  <si>
    <t>Számítógép konfiguráció, monitor, office 2013.Win7 programok</t>
  </si>
  <si>
    <t>Szilvásy Nándor plakátok-képzőművészeti alkotás (NKA)</t>
  </si>
  <si>
    <t>2014. december hónap utáni bérkompenzáció</t>
  </si>
  <si>
    <t>Bérkompenzáció (2015. január - 2015. február hó)</t>
  </si>
  <si>
    <t>módosítás -</t>
  </si>
  <si>
    <t>módosítás - bevétel, költségvetési maradvány</t>
  </si>
  <si>
    <t>Használt irodakonténer</t>
  </si>
  <si>
    <t>Műtárgyvásárlás Gáspár Gy. White Hole II.</t>
  </si>
  <si>
    <t>Acélszerkezetű garázs</t>
  </si>
  <si>
    <t>2014. évi tény</t>
  </si>
  <si>
    <t>Államháztartáson belüli megelőlegezések</t>
  </si>
  <si>
    <t>12. vk. Rendezvény támogatása, eszközbeszerzésre</t>
  </si>
  <si>
    <t>9. vk. Nárcisz Tagóvoda támogatása - 60. évfordulós jubileumi rendezvény költségeire</t>
  </si>
  <si>
    <t>6. vk. Programokra, rendezvényekre, eszközbeszerzésre</t>
  </si>
  <si>
    <t>7. vk. Cholnoky Jenő tagóvoda támogatása</t>
  </si>
  <si>
    <t>1. vk. Ficánka tagóvoda támogatása</t>
  </si>
  <si>
    <t>7. vk. Aprófalvi Bölcsőde támogatása</t>
  </si>
  <si>
    <t>8. vk. Hóvirág Bölcsőde támogatása</t>
  </si>
  <si>
    <t>12. vk. Napsugár Bölcsőde támogatása (rendezvények támogatása, eszközbeszerzésre</t>
  </si>
  <si>
    <t>1. vk. Rátót találkozó rendezvény költségeire</t>
  </si>
  <si>
    <t>1. vk. Tiszteletdíj</t>
  </si>
  <si>
    <t>1. vk. Idősek Világnapja rendezvény költségeire</t>
  </si>
  <si>
    <t>1. vk. Kádártai Vigasságok falunap rendezvény költségeire</t>
  </si>
  <si>
    <t>1. vk. Bedevölgyi mini falunap rendezvény költségeire</t>
  </si>
  <si>
    <t>1. vk. Nyugdíjas rendezvények költségeire</t>
  </si>
  <si>
    <t>1. vk. Hadnagy László halálának 20 éves évfordulója alkalmából rendezvény költségeire</t>
  </si>
  <si>
    <t>5. vk. Nyugdíjas rendezvények költségeire</t>
  </si>
  <si>
    <t>6. vk. Nyugdíjas rendezvények költségeire</t>
  </si>
  <si>
    <t>7. vk. Nyugdíjas rendezvény költségeire</t>
  </si>
  <si>
    <t>9. vk. Versbusz állomás rendezvényének költségeire</t>
  </si>
  <si>
    <t>12. vk. Nyárbúcsúztató rendezvényre</t>
  </si>
  <si>
    <t>12. vk. Nyugdíjas rendezvények költségeire</t>
  </si>
  <si>
    <t>12. vk. Dózsavárosi Könyvtár támogatása</t>
  </si>
  <si>
    <t>módosítás - bérkompenzáció 2014. dec. - 2015. febr. hó</t>
  </si>
  <si>
    <t>16. Magyar ingatlanfejlesztési nívódíj pályázat részvételi díj</t>
  </si>
  <si>
    <t>Fenntartható városfejlesztés Veszprémben KDOP-63.1.1/E-13-2013-0002.</t>
  </si>
  <si>
    <t>Nemzeti ünnepek - dologi kiadásokra</t>
  </si>
  <si>
    <t>Közművelődési szolgáltatás</t>
  </si>
  <si>
    <t>Kulturális Kínálat bővítése - egyéb működési kiadásokra</t>
  </si>
  <si>
    <t>Kitüntetések - dologi kiadásokra</t>
  </si>
  <si>
    <t>Gizella napok - dologi kiadásokra</t>
  </si>
  <si>
    <t>Eseti rendezvények - dologi kiadásokra</t>
  </si>
  <si>
    <t>Köztéri szobrok, emléktáblák, lektorátus dologi kiadásokra</t>
  </si>
  <si>
    <t>Verseny és élsport - egyéb működési kiadásokra</t>
  </si>
  <si>
    <t>Sportpálya fenntartás - dologi kiadásokra</t>
  </si>
  <si>
    <t>Sportcélok és feladatok - dologi kiadásokra</t>
  </si>
  <si>
    <t>Szabadidő és diáksport - dologi kiadásokra</t>
  </si>
  <si>
    <t>Városi lap kiadásai - dologi kiadásokra</t>
  </si>
  <si>
    <t>Közcélú és Közhasznú foglalkoztatás - személyi kiadásokra</t>
  </si>
  <si>
    <t>Oktatási Szolgáltatás - egyéb működési kiadásokra</t>
  </si>
  <si>
    <t>Közbeszerzési eljárások költségei - dologi kiadásokra</t>
  </si>
  <si>
    <t>VKSZ Zrt. Intézményüzemeltetés járulékos költségei - dologi kiadásokra</t>
  </si>
  <si>
    <t>Nem lakáscélú helyiségek üzemeltetési költségei - dologi kiadásokra</t>
  </si>
  <si>
    <t>Balaton Volán Zrt. Helyi közösségi közlekedés közszolgáltatás és veszteségkiegyenlítés - egyéb működési kiadásokra</t>
  </si>
  <si>
    <t>Panaszkezelő online rendszer éves jogdíja IBM</t>
  </si>
  <si>
    <t>Befektetésösztönzési kiadványok (részvétel a Renexpo ingatlanfejlesztési vásáron, marketingakciók) - dologi kiadásokra</t>
  </si>
  <si>
    <t>Társadalmi tudatformálási kampányok (mobilitási hét, "Te Szedd", kerékpárral munkába) - dologi kiadásokra</t>
  </si>
  <si>
    <t>Településfejlesztési feladatok - dologi kiadásokra</t>
  </si>
  <si>
    <t>Városépítészeti feladatok - dologi kiadásokra</t>
  </si>
  <si>
    <t>Közutak, hidak fenntartása - dologi kiadásokra</t>
  </si>
  <si>
    <t>Parkfenntartás - dologi kiadásokra</t>
  </si>
  <si>
    <t>Közüzemi Zrt. Által ellátott feladatok - dologi kiadásokra</t>
  </si>
  <si>
    <t>Települési hulladék - dologi kiadásokra</t>
  </si>
  <si>
    <t>Rekultivációt megelőző telephely fenntartási költségek - dologi kiadásokra</t>
  </si>
  <si>
    <t>Szökőkutak, ivókutak szolgáltatási díjai - dologi kiadásokra</t>
  </si>
  <si>
    <t>Városgazdálkodási szolgáltatási díjai - dologi kiadásokra</t>
  </si>
  <si>
    <t>Közvilágítás - dologi kiadásokra</t>
  </si>
  <si>
    <t>Diszkivilágítás törlesztése - dologi kiadásokra</t>
  </si>
  <si>
    <t>Környezetvédelmi feladat (városüzemeltetés feladatai) - dologi kiadásokra</t>
  </si>
  <si>
    <t>Környezetvédelmi feladat (Közigazgatási Iroda feladatai) - dologi kiadásokra</t>
  </si>
  <si>
    <t>Kertek és Kolostorok működtetése - dologi kiadásokra</t>
  </si>
  <si>
    <t>DAT térképfrissítés, közműnyilvántartás - dologi kiadásokra</t>
  </si>
  <si>
    <t>Közterület Felügyelet, gyepmesteri telep - dologi kiadásokra</t>
  </si>
  <si>
    <t>Informatikai szolgáltatások - dologi kiadásokra</t>
  </si>
  <si>
    <t>Közüzemi Zrt. Jutaléka - dologi kiadásokra</t>
  </si>
  <si>
    <t>Peres ügyek, Kártérítési díjak kifizetése ingatlantulajdonosok részére - dologi kiadásokra</t>
  </si>
  <si>
    <t>Többfunkciós csarnok szolgáltatás vásárlás - dologi kiadásokra</t>
  </si>
  <si>
    <t>Csapadékcsatornák üzemeltetési szolgáltatásai - dologi kiadásokra</t>
  </si>
  <si>
    <t>módosítás - oktatási int. Technika órára előkészítés költsége</t>
  </si>
  <si>
    <t>módosítás -költségvetési maradvány</t>
  </si>
  <si>
    <t xml:space="preserve">átcsoportosítás </t>
  </si>
  <si>
    <t>Uszodaépítés előkészítés - átcsoportosítás Marketing feladatokra</t>
  </si>
  <si>
    <t xml:space="preserve">ISO 9001 minőségbiztosítás, karbantartás </t>
  </si>
  <si>
    <t>Felhalmozási céltartalék</t>
  </si>
  <si>
    <t>Előző évi hitelszerződéshez kapcsolódó feladat</t>
  </si>
  <si>
    <t>Aradi V. úti garázstelepi utak felújítása - átcsoportosítás beruházási célú pénzeszközátadásra</t>
  </si>
  <si>
    <t>Észak-déli közlekedési főtengely kialakítása - Új gyűjtő út kiépítése Veszprémben KDOP-4.2.1/B-11-2012-0032.</t>
  </si>
  <si>
    <t>„Hivatásforgalmi kerékpárút hálózat fejlesztése a térségi elérhetőség javításához a 8. sz. főközlekedési út tehermentesítése érdekében” KÖZOP-3.2.0/C-08-11-2012-0022</t>
  </si>
  <si>
    <t>nem elszámolható költség</t>
  </si>
  <si>
    <t>Belváros komplett gazdasági, szociális, épített örökségvédelmi rehabilitációja és városfejlesztési stratégia elkészítése KDOP-3.1.1/D-2010-0001</t>
  </si>
  <si>
    <t>Budapest út-Bajcsy Zs. u.-Mártírok útja-Brusznyai u. jelzőlámpás közl. csomópont körforgalmú csomóponttá történő átalakítása kiviteli- és közbeszerzési terveinek elkészítése</t>
  </si>
  <si>
    <t>Veszprém MJV településrendezési eszközeinek átfogó felülvizsgálata a 48/2012.(II.24.) VMJVÖK határozatban foglaltak alapján</t>
  </si>
  <si>
    <t>Padok beszerzése, régi betonvázas padok lecserélése</t>
  </si>
  <si>
    <t>Közterületen kivágott fák pótlása</t>
  </si>
  <si>
    <t>Mobil WC csatlakozások kiépítése</t>
  </si>
  <si>
    <t>Lóczy u. 40. garázs elöntésének megszüntetése</t>
  </si>
  <si>
    <t>Óváros tér rendezvény csatlakozó teljesítménybővítés</t>
  </si>
  <si>
    <t>Pápai u.-Jutasi u. belső krt mellékkötelezettségek</t>
  </si>
  <si>
    <t>Holokauszt emlékmű</t>
  </si>
  <si>
    <t>Kopácsi utca irányában megcsúszott rézsű szakértői vizsgálat anyagának elkészítése</t>
  </si>
  <si>
    <t>Veszprém Kazán - Sorompó u. járdatervezés, engedélyezés</t>
  </si>
  <si>
    <t>Karacs T. u. járdaépítés</t>
  </si>
  <si>
    <t>Városépítészeti feladatok - tablet, fényképezőgép</t>
  </si>
  <si>
    <t>Térfigyelő rendszer bővítése  II. ütem</t>
  </si>
  <si>
    <t>Közbiztonság növelését szolgáló önkormányzati fejlesztések</t>
  </si>
  <si>
    <t>Vámosi úti temető bővítése II. ütem</t>
  </si>
  <si>
    <t>Viola köz rekonstrukció I. ütem</t>
  </si>
  <si>
    <t>Haszkovó u. - Fecske u. csapadékvíz átkötés</t>
  </si>
  <si>
    <t>Játszóeszközök beszerzése 10. vk.</t>
  </si>
  <si>
    <t>Számítógép beszerzése a  Stromfeld A. u. 9. alatti KMB irodába - 2. vk.</t>
  </si>
  <si>
    <t xml:space="preserve">Veszprém-Csopak kerékpárút I. ütemének előkészítése (tervezés) 201/2013. (VI.27.) Kh. alapján 28.000 eFt </t>
  </si>
  <si>
    <t>Hulladéklerakó rekultivációja</t>
  </si>
  <si>
    <t>Közműalagútban lévő közművezeték tartószerkezeteinek cseréje</t>
  </si>
  <si>
    <r>
      <t>Ringató Körzeti Óvoda (Erdei Kuckó Tagóvodák)</t>
    </r>
    <r>
      <rPr>
        <sz val="11"/>
        <rFont val="Palatino Linotype"/>
        <family val="1"/>
      </rPr>
      <t xml:space="preserve"> - Öltözőszekrények cseréjének folytatása</t>
    </r>
  </si>
  <si>
    <r>
      <rPr>
        <b/>
        <sz val="11"/>
        <rFont val="Palatino Linotype"/>
        <family val="1"/>
      </rPr>
      <t>Városi Művelődési Központ</t>
    </r>
    <r>
      <rPr>
        <sz val="10"/>
        <rFont val="Palatino Linotype"/>
        <family val="1"/>
      </rPr>
      <t xml:space="preserve"> - Kádártai Közösségi Ház átépítése</t>
    </r>
  </si>
  <si>
    <t>Eötvös Károly Megyei Könyvtárban keletkezett vis maior károk helyreállítása</t>
  </si>
  <si>
    <t>Szennyvíztisztító telep felújítása</t>
  </si>
  <si>
    <t>Nagyfelületű útfelújítások</t>
  </si>
  <si>
    <t>Toborzó u. 2. felújítás  lakásalap</t>
  </si>
  <si>
    <t>Kádárta orvosi rendelő járda felújítás, külső akadálymentesítés, babakocsi tároló</t>
  </si>
  <si>
    <t>Március 15. utcai int. Komplexum vízhálózat rekonstrukció</t>
  </si>
  <si>
    <r>
      <t>Cserhát ltp-i központi orvosi ügyelet</t>
    </r>
    <r>
      <rPr>
        <sz val="10"/>
        <rFont val="Palatino Linotype"/>
        <family val="1"/>
      </rPr>
      <t xml:space="preserve"> - felújítása, átalakítása házi orvosi rendelőkké</t>
    </r>
  </si>
  <si>
    <t>Polgármesteri Hivatal</t>
  </si>
  <si>
    <t>FM Lynk, dagasztógép, páramentesítő, rugós játék, udvari játék, számítógép, laptop</t>
  </si>
  <si>
    <t>Számítógépek, laptop, mosógép, mosogatógép, varrógép, villanyzsámoly,tálaló kocsi, tepsitartó regál</t>
  </si>
  <si>
    <t xml:space="preserve"> 9 személyes új gépjármű vásárlás</t>
  </si>
  <si>
    <t>Office 2013. Win7 programok, online pénztárgépek, csavarbehajtó, fúrógép, fémtároló szekrény, számítógép konfiguráció, monitor, képzőművészeti alkotások</t>
  </si>
  <si>
    <t xml:space="preserve">Informatika </t>
  </si>
  <si>
    <t xml:space="preserve">Veszprém város intermodális pályaudvar kialakítása és kapcsolódó közösségi közlekedési fejlesztések (KÖZOP -5.5.0-09-11.) </t>
  </si>
  <si>
    <t>Városépítészeti feladatok - tablet</t>
  </si>
  <si>
    <t>Térfigyelő rendszer bővítése II. ütem</t>
  </si>
  <si>
    <t>Ringató Körzeti Óvoda (Erdei Kuckó Tagóvodák) öltözőszekrények cseréjének folytatása</t>
  </si>
  <si>
    <t>Elektromos Hálózat felújítása</t>
  </si>
  <si>
    <t>Szivattyú automatika pótlása</t>
  </si>
  <si>
    <t>Nemenkénti zuhanyzó kialakítása tornatermi öltözőben</t>
  </si>
  <si>
    <t>Nyílászáró csere (Gasztroker)</t>
  </si>
  <si>
    <t>Toborzó u. 2. felújítás lakásalap</t>
  </si>
  <si>
    <t>Ipari Szakközépiskola és Gimnázium</t>
  </si>
  <si>
    <t>Szakértői vélemény tornaterm épületszárny süllyedésére és helyreállítás</t>
  </si>
  <si>
    <t>Nyílászáró csere</t>
  </si>
  <si>
    <t>Nyílászárók cseréje 1 pavilonban</t>
  </si>
  <si>
    <t>Szennyvízvezeték cseréje 1 pavilonban</t>
  </si>
  <si>
    <t>Táborálláspark 1. felújítási munkák</t>
  </si>
  <si>
    <t>Táborállás park 1. felújítási munkák</t>
  </si>
  <si>
    <t>Nyílászárók cseréje 2 pavilonban</t>
  </si>
  <si>
    <t>Gondnokság - Gépkocsi</t>
  </si>
  <si>
    <t>Gondnokság - Gépkocsi vásárlás 2db.</t>
  </si>
  <si>
    <t>Jutasi úti volt Hadkiegészítő parancsnokság épület - engedélyezési tervdokumentáció készítés óvoda és bölcsőde kialakítása érdekében</t>
  </si>
  <si>
    <t>Völgyikút utca orvosi rendelő és demens foglalkoztató - tervezési feladatok</t>
  </si>
  <si>
    <t>Egry úti Óvoda újjáépítése - tervdokumentáció készítés (kiviteli terv szintig)</t>
  </si>
  <si>
    <t>Gyulafirátót új óvoda és bölcsőde létesítése - tervdokumentáció késztés (kiviteli terv szintig)</t>
  </si>
  <si>
    <t>Észak - déli út II. szakasz - tervezési feladatok, kisajátítás, engedélyezés</t>
  </si>
  <si>
    <t xml:space="preserve">Ringató Körzeti óvoda </t>
  </si>
  <si>
    <t>vizesblokk felújítás</t>
  </si>
  <si>
    <t>TÁMOP-2.4.5-12/7-2012-0474 Rugalmas foglalkoztatási lehetőségek megvalósítása Veszprém Megyei Jogú Város Polgármesteri Hivatalában - dologi kiadásokra</t>
  </si>
  <si>
    <t>Szociális városrehabilitáció Veszprémben KDOP-3.1.1/D2-13-k2-2013-0002 egyéb működési kiadásokra</t>
  </si>
  <si>
    <t>Természettudományos közoktatási laboratórium kialakítása a veszprémi Ipari Szakközépiskola és Gimnáziumban TÁMOP-3.1.3-11/2-2012-0061 - dologi kiadásokra</t>
  </si>
  <si>
    <t>Nemesvámos-Veszprém közötti kerékpárforgalmi út kiépítése KDOP 4.2.2-11-2011-0010 - dologi kiadásokra</t>
  </si>
  <si>
    <t>Egységben az erő! - Óvodafejlesztés Veszprémben TÁMOP-3.1.11-12/2-2012-0026. - dologi kiadásokra</t>
  </si>
  <si>
    <t>Veszprém Megyei Jogú Város Egészségre nevelő és szemléletformáló programjai TÁMOP-6.1.2-11/1-2012-1626 pályázat előlege - dologi kiadásokra</t>
  </si>
  <si>
    <t>módosítás- költségvetési maradvány</t>
  </si>
  <si>
    <t>Ádám Iván utcai orvosi rendelő pótlása</t>
  </si>
  <si>
    <t>Vis maior támogatás - Bakonyi Ház</t>
  </si>
  <si>
    <t>Fenntartható városfejlesztés Veszprémben KDOP-3.1.1/E-13-2013-0002</t>
  </si>
  <si>
    <t>Áfa befizetések</t>
  </si>
  <si>
    <t>2014. évi adótöbblet miatt keletkezett visszafizetési kötelezettség</t>
  </si>
  <si>
    <t>módosítás - normatíva elszámolás, megelőlegezés, MÁK ellenőrzés</t>
  </si>
  <si>
    <t>módosítás - átcsoportosítás</t>
  </si>
  <si>
    <t>Auer Hegedűfesztivál dologi kiadásokról átcsoportosítás</t>
  </si>
  <si>
    <t>módosítás - költségvetési maradvány, átcsoportosítás</t>
  </si>
  <si>
    <t>Vivace - átcsoportosítás dologi kiadásokról</t>
  </si>
  <si>
    <t>Vivace - egyéb működési kiadásokra</t>
  </si>
  <si>
    <t>átcsoportosítás önkormányzati feladatokról</t>
  </si>
  <si>
    <t xml:space="preserve">Vertikális közösségi Integrációs Program TÁMOP-5.3.6-11/1-2012-0004  </t>
  </si>
  <si>
    <t>2014. évi adótöbbletből visszafizetési kötelezettség</t>
  </si>
  <si>
    <t>Egyéb működési célú támogatások</t>
  </si>
  <si>
    <t>átcsoportosítás önkormányzati feladatokra költségvetési maradványból</t>
  </si>
  <si>
    <r>
      <rPr>
        <u val="single"/>
        <sz val="11"/>
        <rFont val="Palatino Linotype"/>
        <family val="1"/>
      </rPr>
      <t>Gondnokság</t>
    </r>
    <r>
      <rPr>
        <sz val="11"/>
        <rFont val="Palatino Linotype"/>
        <family val="1"/>
      </rPr>
      <t xml:space="preserve"> - költségvetési maradvány dologi kiadásokra</t>
    </r>
  </si>
  <si>
    <t>2015. március 10-től 2015. július 31-ig 1 fő</t>
  </si>
  <si>
    <t>2015. április 01-től 2015. július 31-ig 1 fő</t>
  </si>
  <si>
    <t>2015. március 10-től 2015. júlnius 15-ig 2 fő</t>
  </si>
  <si>
    <t>2015. március 10-től 2015. június 30-ig 7 fő</t>
  </si>
  <si>
    <t xml:space="preserve">Természettudományos közoktatási laboratórium kialakítása a veszprémi Ipari Szakközépiskola és Gimnáziumban TÁMOP-3.1.3-11/2-2012-0061 </t>
  </si>
  <si>
    <t xml:space="preserve">Egységben az erő! - Óvodafejlesztés Veszprémben TÁMOP-3.1.11-12/2-2012-0026. </t>
  </si>
  <si>
    <t xml:space="preserve">TÁMOP-2.4.5-12/7-2012-0474 Rugalmas foglalkoztatási lehetőségek megvalósítása Veszprém Megyei Jogú Város Polgármesteri Hivatalában </t>
  </si>
  <si>
    <t>Költségvetési maradványból, működési célú támogatások bevételeiből</t>
  </si>
  <si>
    <t>Beruházási kiadások - feladatok közötti átcsoportosításból</t>
  </si>
  <si>
    <t>Beruházási kiadások költségvetési maradványból, támogatásértékű felhalmozási bevételből összesen:</t>
  </si>
  <si>
    <t>Felújítási kiadások - feladatok közötti átcsoportosításból</t>
  </si>
  <si>
    <t>Költségvetési maradványból, támogatásértékű felhalmozási bevételből</t>
  </si>
  <si>
    <t>Felújítási kiadások költségvetési maradványból, támogatásértékű felhalmozási bevételből összesen:</t>
  </si>
  <si>
    <t>Egyes szociális feladatok támogatása</t>
  </si>
  <si>
    <t>7.</t>
  </si>
  <si>
    <t>Cafeteria kiegészítés</t>
  </si>
  <si>
    <t>Veszprémi Kistérségi Társulásnak pénzeszköz átadás (Egyesített Szociális Intézmény)</t>
  </si>
  <si>
    <t>Átcsoportosítás felhalmozási kiadásokra</t>
  </si>
  <si>
    <t>Átcsoportosítás Eötvös Károly Megyei Könyvtárnak - "Rejtvényfüzet I. Világháborús emlékek" c. kiadványra</t>
  </si>
  <si>
    <t>Átcsoportosítás Városi Művelődési Központnak "A Nagy Háború" irodalmi előadás program megvalósítására</t>
  </si>
  <si>
    <t>Irodalmi műsorokra, színház, koncert, könyvbemutató költségeire</t>
  </si>
  <si>
    <t>Átcsoportosítás alapítványi támogatásra</t>
  </si>
  <si>
    <r>
      <t>Veszprémi Szemle Várostörténeti Közhasznú Alapítvány</t>
    </r>
    <r>
      <rPr>
        <sz val="11"/>
        <rFont val="Palatino Linotype"/>
        <family val="1"/>
      </rPr>
      <t xml:space="preserve"> - temetői sírok karbantartása</t>
    </r>
  </si>
  <si>
    <t>Átcsoportosítás Városi Művelődési Központnak - nyugdíjas klubok költségeire</t>
  </si>
  <si>
    <t>Átcsoportosítás - Gyulafirátót Művelési Háznak - Rozmaring Nyugdíjas Klub programjára</t>
  </si>
  <si>
    <t xml:space="preserve">Átcsoportosítás - Petőfi Színháznak - Szoboszlay Sándor kiadványra </t>
  </si>
  <si>
    <t>Átcsoportosítás Városi Művelődési Központnak - április 1. nyugdíjas klubvezetők fóruma műsorszolgáltatás</t>
  </si>
  <si>
    <t>Átcsoportosítás Uszoda előkészítés beruházási feladatokról</t>
  </si>
  <si>
    <r>
      <t>Alapítvány a Magyar Műemléki Topográfia támogatására</t>
    </r>
    <r>
      <rPr>
        <sz val="11"/>
        <rFont val="Palatino Linotype"/>
        <family val="1"/>
      </rPr>
      <t xml:space="preserve"> - topográfiai kötet támogatása</t>
    </r>
  </si>
  <si>
    <r>
      <t>Szaléziánum támogatása</t>
    </r>
    <r>
      <rPr>
        <sz val="11"/>
        <rFont val="Palatino Linotype"/>
        <family val="1"/>
      </rPr>
      <t xml:space="preserve"> - átnevezés</t>
    </r>
  </si>
  <si>
    <t>Egyéb működési kiadásokra</t>
  </si>
  <si>
    <r>
      <t xml:space="preserve">Vertikális közösségi Integrációs Program TÁMOP-5.3.6-11/1-2012-0004 </t>
    </r>
    <r>
      <rPr>
        <sz val="11"/>
        <rFont val="Palatino Linotype"/>
        <family val="1"/>
      </rPr>
      <t xml:space="preserve"> - (személyi kiadásokra 2.081 eFt, járulékokról 1.155 eFt, járulékokról 427 eFt)</t>
    </r>
  </si>
  <si>
    <t>Feladatok közötti átcsoportosításból</t>
  </si>
  <si>
    <t>Nemzetközi kapcsolatok - dologi kiadásokra</t>
  </si>
  <si>
    <t>I. Világháborús Centenáriumi Emlékezés költségei - dologi kiadásokra 347 eFt, egyéb működési kiadásokra 1.000 eFt</t>
  </si>
  <si>
    <t>Önkormányzat igazgatási tevékenysége (megbízási díjak, tagdíjak) személyi kiadásokra 2.261 eFt, járulékokra 586 eFt, dologi kiadásokra 2.921 eFt</t>
  </si>
  <si>
    <t>Családi ünnepek szervezése - személyi kiadásokra 10 eFt, járulékok kiadásaira 149 eFt</t>
  </si>
  <si>
    <t>Intézményüzemeltetéssel kapcsolatos kiadások - oktatási intézmények technika órára előkészítések költsége - dologi kiadásokra</t>
  </si>
  <si>
    <t>Kéményseprési tevékenység támogatása - egyéb működési kiadásokra</t>
  </si>
  <si>
    <t>Aluljárók csapadékvíz átemelőinek üzemeltetése - dologi kiadásokra</t>
  </si>
  <si>
    <t>Bérleményekkel, haszonbérletekkel kapcsolatos feladatok - dologi kiadásokra</t>
  </si>
  <si>
    <t>A gyermekvédelmi szolgáltatások fejlesztése Veszprémben 
TIOP-3.4.1.B-11/1-2012-0005 (személyi kiadásokra 3.993 eFt, járulékokra 1.078 eFt)</t>
  </si>
  <si>
    <t>Veszprém Város Intermodális pályaudvar kialakítása és kapcsolódó közösségi közlekedési fejlesztések KÖZOP-5.5.0-09-11 (személyi kiadásokra 2.861 eFt, járulékokra 773 eFt)</t>
  </si>
  <si>
    <t>3. vk. Növények és virágföld beszerzésére</t>
  </si>
  <si>
    <t>4. vk. Egynyári virágok beszerzésére</t>
  </si>
  <si>
    <t>4. vk. Növénybeszerzésre - költségvetési maradványból</t>
  </si>
  <si>
    <t>5. vk. Növénybeszerzésre - költségvetési maradványból</t>
  </si>
  <si>
    <t>6. vk. Dézsás növények telepítése</t>
  </si>
  <si>
    <t>7. vk. Egynyári virágok beszerzése</t>
  </si>
  <si>
    <t>8. vk. Növények beszerzésére</t>
  </si>
  <si>
    <t>9. vk. Növények és virágföld beszerzésére</t>
  </si>
  <si>
    <t>10. vk. Növények beszerzésére</t>
  </si>
  <si>
    <t>11. vk. Egynyári virágok és virágföld beszerzésére</t>
  </si>
  <si>
    <t>12. vk. Egynyári virágok és virágföld beszerzésére</t>
  </si>
  <si>
    <t>10. vk. Pipacs utcai közösségi ház rezsi költségeire</t>
  </si>
  <si>
    <t>12. vk. Dózsa György Általános Iskola - könyv támogatás</t>
  </si>
  <si>
    <t>5. vk. Emblémás zsák beszerzésére - költségvetési maradványból</t>
  </si>
  <si>
    <t>10. vk. Hulladékgyűjtő zsákok beszerzésére</t>
  </si>
  <si>
    <t>11. vk. Hulladékgyűjtés költségeire a Csatárhegyen</t>
  </si>
  <si>
    <t>1. vk. Emléktáblák, emléktárgyak költségeire</t>
  </si>
  <si>
    <t>1. vk. Gyulafirátót és Kádárta honlapok fejlesztésének költségeire</t>
  </si>
  <si>
    <t>1. vk. Anyatej Világnap rendezvény költségeire</t>
  </si>
  <si>
    <t>1. vk. Gyulaffy László Általános Iskola 8. osztályosai kirándulás támogatása</t>
  </si>
  <si>
    <t>3. vk. Alkalmi rendezvény költségeire (IV. Zöld Diákparlament)</t>
  </si>
  <si>
    <t>4. vk. Alkalmi rendezvény költségeire (IV. Zöld Diákparlament)</t>
  </si>
  <si>
    <t>11. vk Alkalmi rendezvény költségeire (IV. Zöld Diákparlament)</t>
  </si>
  <si>
    <t>1. vk. Hadnagy László Díj költségeire</t>
  </si>
  <si>
    <t>1. vk. Dévai Bíró Mátyás Díj költségeire</t>
  </si>
  <si>
    <t>1. vk. Kövirózsa Alapítvány - református egyház támogatása</t>
  </si>
  <si>
    <t>1. vk. Kövirózsa Alapítvány - katolikus egyház támogatása (nyári tábor)</t>
  </si>
  <si>
    <t>1. vk. Gyulafirátótért Közhasznú Egyesület támogatása</t>
  </si>
  <si>
    <t>1. vk. Kövirózsa Alapítvány támogatása</t>
  </si>
  <si>
    <t>1. vk. Közösség Kádártáért Egyesület támogatása</t>
  </si>
  <si>
    <t>1. vk. Közösség Kádártáért Egyesület - cserkészcsapat támogatása</t>
  </si>
  <si>
    <t>11. vk. Társasházak Veszprémi Egyesülete - működési és rendezvények költségeire</t>
  </si>
  <si>
    <t>11. vk. Veszprémi Lengyel Nemzetiségi Önkormányzat - működésének támogatása</t>
  </si>
  <si>
    <t>11. vk. Ifjú Közgazdászokért Alapítvány - Iskola fennállásának 120. jubileumi rendezvényeinek költségeire</t>
  </si>
  <si>
    <t>1. vk.</t>
  </si>
  <si>
    <t>11. vk.</t>
  </si>
  <si>
    <t>1. vk. Költségvetési maradvány</t>
  </si>
  <si>
    <t>11. vk. Költségvetési maradvány</t>
  </si>
  <si>
    <t>1. vk. Kövirózsa Alapítvány - Karitasz támogatása</t>
  </si>
  <si>
    <t>4. vk. Ifjú Közgazdászokért Alapítvány - Iskola fennállásának 120. jubileumi rendezvényeinek költségeire</t>
  </si>
  <si>
    <t>4. vk. Veszprémi Hangversenyteremért Közhasznú Alapítvány - Hangvilla zongorája</t>
  </si>
  <si>
    <t>4. vk. Thai Boksz Egyesület -rendezvényekre, működési költségre</t>
  </si>
  <si>
    <t>5. vk. Strenner Zoltán - Ifjú Közgazdászokért Alapítvány - Iskola fennállásának 120. jubileumi kiadványának költségeire</t>
  </si>
  <si>
    <t>6. vk. Brányi Mária - Kossuth L. Ált. Isk. - kulturális programjainak és versenyeinek támogatása</t>
  </si>
  <si>
    <t>6. vk. Kertvárosi Városvédő Egyesület - működésének és programjainak támogatása</t>
  </si>
  <si>
    <t>7. vk. Cholnoky J. Iskolai Alapítvány - padok, jutalomkönyvek</t>
  </si>
  <si>
    <t>7. vk. AutiSpektrum Egyesület támogatása</t>
  </si>
  <si>
    <t>12. vk. Veszprémi Waldorf Pedagógiai Alapítvány támogatása</t>
  </si>
  <si>
    <t>12. vk. Jutaspusztai Baráti Kör - rendezvényekre, működési költségre</t>
  </si>
  <si>
    <t>12. vk. Csererdei Baráti Kör - rendezvényekre, működési költségre</t>
  </si>
  <si>
    <t>12. vk. Dózsavárosi Baráti kör - rendezvényekre, működési költségre</t>
  </si>
  <si>
    <t>6. vk. 4 db kézi hulladékgyűjtő telepítése</t>
  </si>
  <si>
    <t>6. vk. Sport, fitnesz eszközök beszerzésére (Rózsa u. 48. melletti játszótér környezetében)</t>
  </si>
  <si>
    <t>11. vk. Utcanévtáblák beszerzésére és kihelyezésére</t>
  </si>
  <si>
    <t>Gyulafirátót új óvoda és bölcsőde létesítése - tervdokumentáció készítés (kiviteli terv szintig)</t>
  </si>
  <si>
    <t>Észak-déli út II. szakasz - tervezési feladatok, kisajátítás, engedélyezés</t>
  </si>
  <si>
    <t xml:space="preserve">  Szennyvízcsatorna - hálózat felújítás</t>
  </si>
  <si>
    <t>Csiga csoport mosdójának felújítása (folyamatos dugulás, csöpögés, repedezett csempe)</t>
  </si>
  <si>
    <t>Kerítés felújítás</t>
  </si>
  <si>
    <t xml:space="preserve">Vizesblokk felújítás </t>
  </si>
  <si>
    <t>Március 15. utcai intézmény Komplexum vízhálózat rekonstrukció</t>
  </si>
  <si>
    <r>
      <rPr>
        <u val="single"/>
        <sz val="11"/>
        <rFont val="Palatino Linotype"/>
        <family val="1"/>
      </rPr>
      <t>Polgármesteri Hivatal</t>
    </r>
    <r>
      <rPr>
        <sz val="11"/>
        <rFont val="Palatino Linotype"/>
        <family val="1"/>
      </rPr>
      <t xml:space="preserve"> - Főépület, fűtési rendszer alagsori felszálló ágak kiváltása</t>
    </r>
  </si>
  <si>
    <r>
      <rPr>
        <u val="single"/>
        <sz val="11"/>
        <rFont val="Palatino Linotype"/>
        <family val="1"/>
      </rPr>
      <t>Ipari Szakközépiskola és Gimnázium</t>
    </r>
    <r>
      <rPr>
        <sz val="10"/>
        <rFont val="Palatino Linotype"/>
        <family val="1"/>
      </rPr>
      <t xml:space="preserve"> - Szakértői vélemény tornaterem épületszárny süllyedésére és helyreállítására</t>
    </r>
  </si>
  <si>
    <r>
      <rPr>
        <u val="single"/>
        <sz val="11"/>
        <rFont val="Palatino Linotype"/>
        <family val="1"/>
      </rPr>
      <t>Egry úti Körzeti Óvoda - Nárcisz Tagóvoda</t>
    </r>
    <r>
      <rPr>
        <sz val="10"/>
        <rFont val="Palatino Linotype"/>
        <family val="1"/>
      </rPr>
      <t xml:space="preserve"> - Elektromos hálózat felújítása</t>
    </r>
  </si>
  <si>
    <r>
      <rPr>
        <u val="single"/>
        <sz val="11"/>
        <rFont val="Palatino Linotype"/>
        <family val="1"/>
      </rPr>
      <t>VMJV Egyesített Bölcsődéje</t>
    </r>
    <r>
      <rPr>
        <sz val="11"/>
        <rFont val="Palatino Linotype"/>
        <family val="1"/>
      </rPr>
      <t xml:space="preserve"> - Aprófalvi Bölcsőde -</t>
    </r>
    <r>
      <rPr>
        <sz val="10"/>
        <rFont val="Palatino Linotype"/>
        <family val="1"/>
      </rPr>
      <t xml:space="preserve"> Pavilon bölcsődei célra történő átalakítása</t>
    </r>
  </si>
  <si>
    <r>
      <rPr>
        <u val="single"/>
        <sz val="11"/>
        <rFont val="Palatino Linotype"/>
        <family val="1"/>
      </rPr>
      <t>Eötvös Károly Megyei Könyvtár</t>
    </r>
    <r>
      <rPr>
        <sz val="10"/>
        <rFont val="Palatino Linotype"/>
        <family val="1"/>
      </rPr>
      <t xml:space="preserve"> - Szivattyú automatika pótlása</t>
    </r>
  </si>
  <si>
    <r>
      <t>Deák Ferenc Általános Iskola</t>
    </r>
    <r>
      <rPr>
        <u val="single"/>
        <sz val="10"/>
        <rFont val="Palatino Linotype"/>
        <family val="1"/>
      </rPr>
      <t xml:space="preserve"> </t>
    </r>
  </si>
  <si>
    <r>
      <rPr>
        <u val="single"/>
        <sz val="11"/>
        <rFont val="Palatino Linotype"/>
        <family val="1"/>
      </rPr>
      <t>Gyulaffy László Ált. Iskola</t>
    </r>
    <r>
      <rPr>
        <u val="single"/>
        <sz val="10"/>
        <rFont val="Palatino Linotype"/>
        <family val="1"/>
      </rPr>
      <t xml:space="preserve"> </t>
    </r>
    <r>
      <rPr>
        <sz val="10"/>
        <rFont val="Palatino Linotype"/>
        <family val="1"/>
      </rPr>
      <t>- Nemenkénti zuhanyozó kialakítása tornatermi öltözőben</t>
    </r>
  </si>
  <si>
    <r>
      <rPr>
        <u val="single"/>
        <sz val="11"/>
        <rFont val="Palatino Linotype"/>
        <family val="1"/>
      </rPr>
      <t>Cholnoky Jenő Általános Iskola</t>
    </r>
    <r>
      <rPr>
        <sz val="10"/>
        <rFont val="Palatino Linotype"/>
        <family val="1"/>
      </rPr>
      <t xml:space="preserve"> - Nyílászáró csere (Gasztroker)</t>
    </r>
  </si>
  <si>
    <r>
      <rPr>
        <u val="single"/>
        <sz val="11"/>
        <rFont val="Palatino Linotype"/>
        <family val="1"/>
      </rPr>
      <t>Vetési Albert Gimnázium</t>
    </r>
    <r>
      <rPr>
        <u val="single"/>
        <sz val="10"/>
        <rFont val="Palatino Linotype"/>
        <family val="1"/>
      </rPr>
      <t xml:space="preserve"> </t>
    </r>
    <r>
      <rPr>
        <sz val="10"/>
        <rFont val="Palatino Linotype"/>
        <family val="1"/>
      </rPr>
      <t>- Teljes járólap csere aula+fórum</t>
    </r>
  </si>
  <si>
    <t>Költségvetési maradvány - személyi kiadásokra 7.168 eFt, járulékokra 1.935 eFt, dologi kiadásokra 6.000 eFt)</t>
  </si>
  <si>
    <t>Közfoglalkoztatás (személyi kiadásokra 317 eFt,járulékokra 43 eFt)</t>
  </si>
  <si>
    <t>Gyakorlati képzés támogatása (személyi kiadásokra 6.992 eFt, járulékokra 1.888 eFt, dologi kiadásokra 2.000 eFt)</t>
  </si>
  <si>
    <t>12. vk. Napsugár Bölcsőde támogatása (rendezvények támogatása, eszközbeszerzésre)</t>
  </si>
  <si>
    <t>Költségvetési  maradvány (személyi kiadásokra 16.700 eFt, járulékokra 4.848 eFt)</t>
  </si>
  <si>
    <t>Költségvetési  maradvány (személyi kiadásokra 2.180 eFt, járulékokra 580 eFt, dologi kiadásokra 1.524 eFt)</t>
  </si>
  <si>
    <t>EMMI támogatás (személyi kiadásokra 4.588 eFt, járulékokra 1.239 eFt)</t>
  </si>
  <si>
    <t>Költségvetési maradvány (személyi kiadásokra 1.000 eFt, járulékokra 1.034 eFt, dologi kiadásokra 1.052 eFt)</t>
  </si>
  <si>
    <t>Költségvetési maradvány (személyi kiadásokra 6.100 eFt, járulékokra 3.793 eFt, dologi kiadásokra 3.613 eFt)</t>
  </si>
  <si>
    <t>Költségvetési maradvány (személyi kiadásokra 1.000 eFt, járulékokra 1.000 eFt, dologi kiadásokra 1.715 eFt, egyéb működési kiadásra 500 eFt)</t>
  </si>
  <si>
    <t>Költségvetési maradvány (személyi kiadásokra 902 eFt, járulékokra 265 eFt, dologi kiadásokra 1.143 eFt)</t>
  </si>
  <si>
    <t>Költségvetési maradvány (személyi kiadásokra 3.200 eFt, járulékokra 828 eFt, dologi kiadásokra 2.229 eFt)</t>
  </si>
  <si>
    <t>Költségvetési maradvány (személyi kiadásokra 2.000 eFt, járulékokra 1.020 eFt, dologi kiadásokra 2.047 eFt)</t>
  </si>
  <si>
    <t>Költségvetési maradvány (személyi kiadásokra 12.904 eFt, járulékokra 2.192 eFt, dologi kiadásokra 17.752 eFt)</t>
  </si>
  <si>
    <t>Átcsoportosítás Gyulafirátóti Művelődési Ház Rozmaring Nyugdíjas Klub programjára</t>
  </si>
  <si>
    <t>Nyugdíjas klubok költségeire</t>
  </si>
  <si>
    <t>Prémium évek (személyi kiadásokra 1.049 eFt, járulékok kiadásaira 283 eFt)</t>
  </si>
  <si>
    <t>Költségvetési maradvány (személyi kiadásokra 900 eFt, járulékokra 235 eFt, dologi kiadásokra 1.018 eFt)</t>
  </si>
  <si>
    <t>Költségvetési maradvány dologi kiadásokra</t>
  </si>
  <si>
    <t>Közfoglalkoztatás (személyi kiadásokra 706 eFt, járulékok kiadásaira 95 eFt)</t>
  </si>
  <si>
    <t>Költségvetési maradvány (személyi kiadásokra 3.483 eFt, járulékokra 11 eFt, dologi kiadásokra 4.020 eFt)</t>
  </si>
  <si>
    <t>Költségvetési maradvány (személyi kiadásokra 1.270 eFt, járulékokra 379 eFt, dologi kiadásokra 2.550 eFt)</t>
  </si>
  <si>
    <t>Átcsoportosítás Szoboszlay Sándor kiadványra</t>
  </si>
  <si>
    <t>Költségvetési maradvány - személyi kiadásokra 45.183 eFt, járulékokra 12.200 eFt</t>
  </si>
  <si>
    <t>Vertikális közösségi Integrációs Program TÁMOP-5.3.6-11/1-2012-0004  - személyi kiadásokra 2.081 eFt, járulékokra 691 eFt</t>
  </si>
  <si>
    <t>Kulturális szakemberek továbbképzése a szolgálatfejlesztés érdekében TÁMOP-3.2.12-12/1-2012-0021 (személyi kiadásokra 27 eFt,  járulékokra 7 eFt)</t>
  </si>
  <si>
    <t xml:space="preserve">Természettudományos közoktatási laboratórium kialakítása a veszprémi Ipari Szakközépiskola és Gimnáziumban TÁMOP-3.1.3-11/2-2012-0061  (személyi kiadásokra 654 eFt, járulékokra 177 eFt)    </t>
  </si>
  <si>
    <t>Veszprém Város Intermodális pályaudvar kialakítása és kapcsolódó közösségi közlekedési fejlesztések KÖZOP-5.5.0-09-11 (személyi kiadásokra 599 eFt, járulékokra 162 eFt)</t>
  </si>
  <si>
    <t>Költségvetési maradvány</t>
  </si>
  <si>
    <t>Fészekhinta telepítés, udvari tároló, irodabútor, szék, szekrény, mini konyha, étkezési nyilvántartó program</t>
  </si>
  <si>
    <t>Udvari és beltéri játszóeszközök 2.800 eFt, konyhai edények és felszerelések 500 eFt, számítástechnikai és informatikai eszközök 3.500 eFt, élelmezési nyilvántartó program</t>
  </si>
  <si>
    <t>Élelmezési program, informatikai eszközök, udvari játékok, porszívók, sporteszközök, irodabútorok, szekrények, asztalok, létrák</t>
  </si>
  <si>
    <t>Nevelői székek, bútorok, irodabútor, fali napellenző, árnyékoló, szőnyegek, polc</t>
  </si>
  <si>
    <t>Élelmezési nyilvántartó program, számítógép 5 db</t>
  </si>
  <si>
    <t>Balettszőnyeg, sátor, fényképezőgép és videókamera, laminálógép, monitor, mikrofonok, fényvezérlőpult, keverőpult, mikroport kapszula, csiptetős mikrofon, nanokontroll</t>
  </si>
  <si>
    <t>Költségvetési maradvány, NKA pályázat - eszközbeszerzés, színpadtechnika, világítás, hangosítás, Citroen Berlingo szgk. vásárlás, tehergépkocsi vásárlás</t>
  </si>
  <si>
    <t>Költségvetési maradványból</t>
  </si>
  <si>
    <t>4. vk.</t>
  </si>
  <si>
    <t>5. vk.</t>
  </si>
  <si>
    <t>6. vk.</t>
  </si>
  <si>
    <t>7. vk.</t>
  </si>
  <si>
    <t>12. vk.</t>
  </si>
  <si>
    <t>2. vk. Költségvetési maradvány</t>
  </si>
  <si>
    <t>3. vk.</t>
  </si>
  <si>
    <t>3. vk. Költségvetési maradvány</t>
  </si>
  <si>
    <t>4. vk. Költségvetési maradvány</t>
  </si>
  <si>
    <t>5. vk. Költségvetési maradvány</t>
  </si>
  <si>
    <t>6. vk. Költségvetési maradvány</t>
  </si>
  <si>
    <t>7. vk. Költségvetési maradvány</t>
  </si>
  <si>
    <t>8. vk.</t>
  </si>
  <si>
    <t>8. vk. Költségvetési maradvány</t>
  </si>
  <si>
    <t>9. vk.</t>
  </si>
  <si>
    <t>9. vk. Költségvetési maradvány</t>
  </si>
  <si>
    <t>10. vk.</t>
  </si>
  <si>
    <t>10. vk. Költségvetési maradvány</t>
  </si>
  <si>
    <t>Vadvirág Körzeti Óvoda (Csillagvár Waldorf Tagóvoda, Vadvirág Óvoda)</t>
  </si>
  <si>
    <t>Bóbita Körzeti Óvoda (Hársfa Tagóvoda, Bóbita Óvoda)</t>
  </si>
  <si>
    <t>Ringató Körzeti Óvoda (Ringató Óvoda, Erdei Tagóvoda, Kuckó Tagóvoda)</t>
  </si>
  <si>
    <t>Egry úti Körzeti Óvoda (Egry ltp. Óvoda, Nárcisz Tagóvoda)</t>
  </si>
  <si>
    <t>Csillag úti Körzeti Óvoda (Csillag úti Óvoda, Cholnoky ltp. Óvoda)</t>
  </si>
  <si>
    <t>Kastélykert Körzeti Óvoda (Kastélykert Óvoda, Ficánka Óvoda)</t>
  </si>
  <si>
    <t>módosítás - bérkompenzáció, kv. Maradvány, cafetéria emelés, vk. támogatás</t>
  </si>
  <si>
    <t>módosítás - bérkompenzáció, ágazati pótlék, kv. maradvány, cafetéria emelés, vk. támogatás</t>
  </si>
  <si>
    <t>módosítás - bérkompenzáció, ágazati pótlék, kv. maradvány, cafetéria emelés, vk. Támogatás, egyéb támogatás</t>
  </si>
  <si>
    <t>módosítás - bérkompenzáció, kv. maradvány, cafetéria emelés, vk. támogatás, kiadványok támogatása</t>
  </si>
  <si>
    <t>módosítás - bérkompenzáció, kv. maradvány, cafetéria emelés, vk. támogatás</t>
  </si>
  <si>
    <t>módosítás - bérkompenzáció, kv. maradvány, cafetéria emelés, pályázati elszámolás, vk. támogatás, kiadványok támogatása</t>
  </si>
  <si>
    <t>módosítás - 1. vk. Dévai, Hadnagy díjak</t>
  </si>
  <si>
    <t>Kulturális szakemberek továbbképzése a szolgálatfejl.érd. TÁMOP-3.2.12-12/1-2012-0021</t>
  </si>
  <si>
    <t>Aradi V. úti garázsszövetkezet útépítés támogatása</t>
  </si>
  <si>
    <r>
      <t xml:space="preserve">Út,-járda, parkoló építések tervezési munkái </t>
    </r>
    <r>
      <rPr>
        <i/>
        <sz val="11"/>
        <rFont val="Palatino Linotype"/>
        <family val="1"/>
      </rPr>
      <t xml:space="preserve">(Kiskőrösi u., Gyulafirátót - Németh u, Prépost u., Kerti u. útrekonstrukció; Petőfi S. u., Jutaspuszta közműépítés;  Jutasi út-Őrház u. csapadékvíz elöntés megszüntetése, Stromfeld u. 9 melletti lépcső, mozgássérült feljáró; Batthyány L. u. (Kádártai-Fecske u. között), Tiszafa és Fűzfa u., Kistó u., Tüzér u. (12. sz. vk.) út-járdaépítés; Autóbuszöböl kialakítás Cserepes u. környéke; Közterületfeljesztések: Vörösmarty tér tömbbelső, Halle u. 5.-9., Gyulafirátót Művelődési Ház parkoló és Batthyány szobor körüli tér(1. sz. vk.)) </t>
    </r>
  </si>
  <si>
    <t xml:space="preserve">Eszközbesz., színpadtechnika, világítás, hangosítás (NKA pályázat) </t>
  </si>
  <si>
    <t>Gyermekmosdó felújítás első épületben</t>
  </si>
  <si>
    <t>Szennyvízcsatorna- hálózat felújítás</t>
  </si>
  <si>
    <t>Nyílászáró csere II. ütem (2 db pavilon)</t>
  </si>
  <si>
    <t>Nyílászáró csere III. ütem ( 1 db pavilon)</t>
  </si>
  <si>
    <t xml:space="preserve"> Nyílászáró csere IV. ütem </t>
  </si>
  <si>
    <t xml:space="preserve">IV. Pavilon visszaalakítása </t>
  </si>
  <si>
    <t>Kerítés felújtás</t>
  </si>
  <si>
    <t>Veszprém TV Kft. Pályázati fejlesztési önrész - átnevezés</t>
  </si>
  <si>
    <t>Veszprém TV Kft. Pályázathoz tőketartalékba helyezés</t>
  </si>
  <si>
    <t>Külső finanszírozásra szolgáló költségvetési bevételek összegével korrigált hiány</t>
  </si>
  <si>
    <t>Nagyfelületű út és járdafelújítások: Cseri utca; Egyetem u (Stadion u. – Hóvirág u. között); Lóczy u (I. ütem); Csikász u.; Pipacs u (Petőfi S. u. – Hold u között); Parkolók (Diósy M., Sólyi, Vilonyai, Lóczy L. u); Borsos u, (II. ütem); Kodály Z. u. járda (Damjanich 2-4, Stromfeld, Halle 7. Cholnoky, Gyrátót)</t>
  </si>
  <si>
    <t>Önkormányzati egyéb felhalmozási célú kiadások összesen</t>
  </si>
  <si>
    <t>2015. évi időközi országgyűlési képviselő választások</t>
  </si>
  <si>
    <t xml:space="preserve">átcsoportosítás Laczkó Dezső Múzeumnak - "A szolgálat nehéz, az idő legtöbbnyire rossz c. kiadványra </t>
  </si>
  <si>
    <t>Bérlakások üzemeltetési költségeihez hozzájárulás - dologi kiadásokra</t>
  </si>
  <si>
    <t>7. vk. Dowland Alapítvány - adventi koncert támogatása</t>
  </si>
  <si>
    <t>7. vk. Polgárőrésg Veszprém Cholnoky Városrész Egyesület támogatása</t>
  </si>
  <si>
    <t>12. vk. Dózsa György Általános Iskola Alapítvány támogatása</t>
  </si>
  <si>
    <t>1. vk. Vágkirályfa találkozó rendezvény költségeire</t>
  </si>
  <si>
    <t>Költségvetési maradvány - (személyi kiadásokra 2.360 eFt, járulékra 1.428 eFt, dologi kiadásokra 1.206 eFt)</t>
  </si>
  <si>
    <r>
      <t>2015. évi időközi országgyűlési képviselő választások</t>
    </r>
    <r>
      <rPr>
        <sz val="11"/>
        <rFont val="Palatino Linotype"/>
        <family val="1"/>
      </rPr>
      <t xml:space="preserve"> (személyi kiadásokra 268 eFt, járulékokra 72 eFt, dologi kiadásokra 260 eFt)</t>
    </r>
  </si>
  <si>
    <t>Védőnők asztali számítógép 6 db, fogászati ügyelet vákuumos eszközcsomagoló</t>
  </si>
  <si>
    <t>Költségvetési maradvány - hang és videorendszer kiépítése</t>
  </si>
  <si>
    <t>Önkormányzati Intézmények működési célú támogatások Áht-on belülről</t>
  </si>
  <si>
    <t>7. vk. Kapcsolat '96 mentálhigiénés Egyesület - működési költségekre</t>
  </si>
  <si>
    <t>Táborállás park 1. kiegészítő pótmunka - átnevezés Táborállás park 1. felújítási munkákra, valamint átcsoportosítás Városi Művelődési Központnak</t>
  </si>
  <si>
    <t>A Nagy Háború irodalmi előadás program megvalósítása</t>
  </si>
  <si>
    <t>nyugdíjas klubok költségeire</t>
  </si>
  <si>
    <t>Veszprém a Nagy Háborúban c. vetélkedő</t>
  </si>
  <si>
    <t>Használt irodakonténer, műtárgy vásárlás, acélszerkezetű garázs, polcrendszer, hordozható HDD, vevőkijelző, villanybojler, kávéfőző, vízforraló, kerti bútor</t>
  </si>
  <si>
    <t>Felhalm. célú tám. Áht.-on belülről</t>
  </si>
  <si>
    <t>Nemesvámos-Veszprém közötti kerékpárforgalmi út kiépítése KDOP 4.2.2-11-2011-0010</t>
  </si>
  <si>
    <t>módosítás - átcsoportosítás polgármesteri hivatali feladatokra</t>
  </si>
  <si>
    <t>Kisértékű tárgyi eszközök (10 db vérnyomásmérő, 10 db vérnyomásmérő mandzsetta sorozat, 4 db pelenkázó asztal, 5 db csecsemőmérleg, fogászati ügyelet vákumos eszköz csomagoló)</t>
  </si>
  <si>
    <t>Kisértékű tárgyi eszközök (2 db gőzölős vasaló; 24 db szőnyeg 8 csoportszobába,szőnyegek, függönyök 4 csoportba, reluxa 16 db., szakmai játékok mini hifi 4 db., tisztázógép, varrógép, porzsívó 4 db., hűtőgép, asztali telefon, szőnyegtisztító gép, sporteszközök, tálalókocsi 4 db., postaláda, asztalok, székek 40 db., több elemes irodabútorok, létra 2 db., konyhaszekrény, beépített szekrénysor)</t>
  </si>
  <si>
    <t>Kisértékű tárgyi eszközök (gázzsámoly; kisgépek: hűtőgép, vasaló, mikrohullámú sütő, porszívó; 1 db saválló tálalókocsi; óvodai fektető mozgássérült gyermek esetén kemény ágybetéttel - decubitus matrac; 4 db gyerekszék mozgássérült gyermek részére - állítható magasságú, lábtartóval, ülőkével; 4 db gyermekasztal mozgássérült gyermek részére - állítható magasságú, dönthető lapú, peremes, egyszemélyes óvodai asztal, konyhai edények és felszerelések, udvari és beltéri játékok, játszóezközök)</t>
  </si>
  <si>
    <t>1 db számítógép tagóvoda-vezetői irodába</t>
  </si>
  <si>
    <t>Kisértékű tárgyi eszközök (3 db online pénztárgép beszerzése, polcrendszer, hordozható HDD, vevőkijelző, villanybojler, kávéfőző, vízforraló, kerti bútor Várkapu projekthez)</t>
  </si>
  <si>
    <t>Kisértékű tárgyi eszközök (székek 50 db, balettszőnyeg, fényképezőgép és videokamera, laminálógép, monitor, mikrofon 2db., fényverzérlőpult, keverőpult, mikroport kapszula 2 db., csiptetős mikrofon 2db., nanokontroll)</t>
  </si>
  <si>
    <t>Kisértékű tárgyi eszközök (csavarbehajtó, fúrógép, fémtároló szekrény, online pénztárgép 3db.</t>
  </si>
  <si>
    <t>Bognár Zoltán Halak III. képzőművészeti alkotás</t>
  </si>
  <si>
    <t>Kisértékű tárgyi eszközök (napernyő homokozó fölé legalább 3 m-es 5 db, mosógép, tálalókocsi 10 db., villanyzsámoly, mosogatógép, tepsitartó regál, varrógép)</t>
  </si>
  <si>
    <t>Államkincstári ellenőrzések, 2014. évi normatíva elszámolás</t>
  </si>
  <si>
    <t>Kv.-i maradv.</t>
  </si>
  <si>
    <t>eredeti ei. + költségvetési maradvány</t>
  </si>
  <si>
    <t>Államháztartáson belüli megelőlegezés visszafizetése</t>
  </si>
  <si>
    <r>
      <t>Finanszírozási kiadások</t>
    </r>
    <r>
      <rPr>
        <sz val="11"/>
        <rFont val="Palatino Linotype"/>
        <family val="1"/>
      </rPr>
      <t xml:space="preserve"> - államháztartáson belüli megelőlegezés visszafizetése</t>
    </r>
  </si>
  <si>
    <t>VMJV Önkormányzata működési kiadások</t>
  </si>
  <si>
    <t>8. melléklet a 18/2015. (IV.30.) önkormányzati rendelethez</t>
  </si>
  <si>
    <t>1. melléklet a 18/2015. (IV.30.) Önkormányzati rendelethez</t>
  </si>
  <si>
    <t>2. melléklet a 18/2015. (IV.30.) Önkormányzati rendelethez</t>
  </si>
  <si>
    <t>3. melléklet a 18/2015. (IV.30.) Önkormányzati rendelethez</t>
  </si>
  <si>
    <t>4. melléklet a 18/2015. (IV.30.) Önkormányzati rendelethez</t>
  </si>
  <si>
    <t>5. melléklet a 18/2015. (IV.30.) Önkormányzati rendelethez</t>
  </si>
  <si>
    <t>6. melléklet a 18/2015. (IV.30.) Önkormányzati rendelethez</t>
  </si>
  <si>
    <t>7. melléklet a 18/2015. (IV.30.) Önkormányzati rendelethez</t>
  </si>
  <si>
    <t>9. melléklet a 18/2015. (IV.30.) Önkormányzati rendelethez</t>
  </si>
  <si>
    <t>10. melléklet a 18/2015. (IV.30.) Önkormányzati rendelethez "16. melléklet a 8/2015. (II.26) Önkormányzati rendelethez."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</si>
</sst>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00"/>
    <numFmt numFmtId="165" formatCode="0.0"/>
    <numFmt numFmtId="166" formatCode="0.0%"/>
  </numFmts>
  <fonts count="71">
    <font>
      <sz val="10"/>
      <name val="Arial CE"/>
      <family val="0"/>
    </font>
    <font>
      <sz val="11"/>
      <color indexed="8"/>
      <name val="Calibri"/>
      <family val="2"/>
    </font>
    <font>
      <sz val="11"/>
      <name val="Palatino Linotype"/>
      <family val="1"/>
    </font>
    <font>
      <sz val="10"/>
      <name val="Arial"/>
      <family val="2"/>
    </font>
    <font>
      <b/>
      <sz val="11"/>
      <name val="Palatino Linotype"/>
      <family val="1"/>
    </font>
    <font>
      <i/>
      <sz val="11"/>
      <name val="Palatino Linotype"/>
      <family val="1"/>
    </font>
    <font>
      <sz val="9"/>
      <name val="Palatino Linotype"/>
      <family val="1"/>
    </font>
    <font>
      <sz val="8"/>
      <name val="Arial CE"/>
      <family val="0"/>
    </font>
    <font>
      <sz val="11"/>
      <color indexed="10"/>
      <name val="Palatino Linotype"/>
      <family val="1"/>
    </font>
    <font>
      <sz val="12"/>
      <name val="Palatino Linotype"/>
      <family val="1"/>
    </font>
    <font>
      <b/>
      <sz val="12"/>
      <name val="Palatino Linotype"/>
      <family val="1"/>
    </font>
    <font>
      <sz val="12"/>
      <name val="Times New Roman"/>
      <family val="1"/>
    </font>
    <font>
      <sz val="8"/>
      <name val="Palatino Linotype"/>
      <family val="1"/>
    </font>
    <font>
      <b/>
      <u val="single"/>
      <sz val="11"/>
      <name val="Palatino Linotype"/>
      <family val="1"/>
    </font>
    <font>
      <b/>
      <u val="single"/>
      <sz val="10"/>
      <name val="Palatino Linotype"/>
      <family val="1"/>
    </font>
    <font>
      <sz val="10"/>
      <name val="Palatino Linotype"/>
      <family val="1"/>
    </font>
    <font>
      <b/>
      <sz val="10.5"/>
      <name val="Palatino Linotype"/>
      <family val="1"/>
    </font>
    <font>
      <vertAlign val="subscript"/>
      <sz val="11"/>
      <name val="Palatino Linotype"/>
      <family val="1"/>
    </font>
    <font>
      <b/>
      <sz val="9"/>
      <name val="Palatino Linotype"/>
      <family val="1"/>
    </font>
    <font>
      <i/>
      <sz val="10"/>
      <name val="Palatino Linotype"/>
      <family val="1"/>
    </font>
    <font>
      <b/>
      <sz val="10"/>
      <name val="Palatino Linotype"/>
      <family val="1"/>
    </font>
    <font>
      <sz val="9"/>
      <name val="Arial CE"/>
      <family val="0"/>
    </font>
    <font>
      <i/>
      <u val="single"/>
      <sz val="10"/>
      <name val="Palatino Linotype"/>
      <family val="1"/>
    </font>
    <font>
      <b/>
      <i/>
      <sz val="10"/>
      <name val="Palatino Linotype"/>
      <family val="1"/>
    </font>
    <font>
      <i/>
      <sz val="9"/>
      <name val="Palatino Linotype"/>
      <family val="1"/>
    </font>
    <font>
      <u val="single"/>
      <sz val="10"/>
      <name val="Palatino Linotype"/>
      <family val="1"/>
    </font>
    <font>
      <b/>
      <sz val="9"/>
      <color indexed="18"/>
      <name val="Palatino Linotype"/>
      <family val="1"/>
    </font>
    <font>
      <sz val="9"/>
      <color indexed="18"/>
      <name val="Palatino Linotype"/>
      <family val="1"/>
    </font>
    <font>
      <i/>
      <sz val="12"/>
      <name val="Palatino Linotype"/>
      <family val="1"/>
    </font>
    <font>
      <i/>
      <u val="single"/>
      <sz val="11"/>
      <name val="Palatino Linotype"/>
      <family val="1"/>
    </font>
    <font>
      <u val="single"/>
      <sz val="11"/>
      <name val="Palatino Linotype"/>
      <family val="1"/>
    </font>
    <font>
      <b/>
      <i/>
      <sz val="11"/>
      <name val="Palatino Linotype"/>
      <family val="1"/>
    </font>
    <font>
      <b/>
      <i/>
      <u val="single"/>
      <sz val="11"/>
      <name val="Palatino Linotype"/>
      <family val="1"/>
    </font>
    <font>
      <i/>
      <sz val="8"/>
      <name val="Palatino Linotype"/>
      <family val="1"/>
    </font>
    <font>
      <b/>
      <sz val="8"/>
      <name val="Palatino Linotype"/>
      <family val="1"/>
    </font>
    <font>
      <i/>
      <sz val="10"/>
      <name val="Arial CE"/>
      <family val="0"/>
    </font>
    <font>
      <b/>
      <i/>
      <sz val="9"/>
      <name val="Palatino Linotyp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Palatino Linotyp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</fills>
  <borders count="1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double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medium"/>
      <right style="hair"/>
      <top/>
      <bottom style="hair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hair"/>
      <top/>
      <bottom style="double"/>
    </border>
    <border>
      <left style="hair"/>
      <right style="medium"/>
      <top/>
      <bottom style="double"/>
    </border>
    <border>
      <left style="medium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/>
    </border>
    <border>
      <left style="hair"/>
      <right style="hair"/>
      <top style="hair"/>
      <bottom/>
    </border>
    <border>
      <left style="hair"/>
      <right/>
      <top style="hair"/>
      <bottom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ouble"/>
    </border>
    <border>
      <left/>
      <right/>
      <top/>
      <bottom style="double"/>
    </border>
    <border>
      <left/>
      <right style="medium"/>
      <top/>
      <bottom style="double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medium"/>
    </border>
    <border>
      <left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double"/>
    </border>
    <border>
      <left/>
      <right/>
      <top style="thin"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 style="double"/>
      <right/>
      <top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double"/>
      <right/>
      <top style="thin"/>
      <bottom style="thin"/>
    </border>
    <border>
      <left style="thin"/>
      <right style="medium"/>
      <top style="thin"/>
      <bottom style="thin"/>
    </border>
    <border>
      <left style="double"/>
      <right/>
      <top style="thin"/>
      <bottom style="double"/>
    </border>
    <border>
      <left style="thin"/>
      <right style="medium"/>
      <top style="thin"/>
      <bottom style="double"/>
    </border>
    <border>
      <left style="medium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 style="double"/>
    </border>
    <border>
      <left style="thin"/>
      <right/>
      <top style="thin"/>
      <bottom style="double"/>
    </border>
    <border>
      <left style="medium"/>
      <right/>
      <top style="double"/>
      <bottom/>
    </border>
    <border>
      <left/>
      <right/>
      <top style="double"/>
      <bottom/>
    </border>
    <border>
      <left style="medium"/>
      <right/>
      <top/>
      <bottom style="thin"/>
    </border>
    <border>
      <left style="double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double"/>
      <right/>
      <top/>
      <bottom style="medium"/>
    </border>
    <border>
      <left/>
      <right style="thin"/>
      <top/>
      <bottom/>
    </border>
    <border>
      <left style="double"/>
      <right/>
      <top style="thin"/>
      <bottom/>
    </border>
    <border>
      <left/>
      <right style="double"/>
      <top/>
      <bottom/>
    </border>
    <border>
      <left style="double"/>
      <right/>
      <top style="medium"/>
      <bottom/>
    </border>
    <border>
      <left/>
      <right style="medium"/>
      <top style="medium"/>
      <bottom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 style="hair"/>
      <top/>
      <bottom style="hair"/>
    </border>
    <border>
      <left/>
      <right style="medium"/>
      <top style="medium"/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double"/>
    </border>
    <border>
      <left style="hair"/>
      <right style="hair"/>
      <top style="hair"/>
      <bottom style="double"/>
    </border>
    <border>
      <left style="hair"/>
      <right style="hair"/>
      <top/>
      <bottom style="medium"/>
    </border>
    <border>
      <left style="double"/>
      <right style="hair"/>
      <top style="hair"/>
      <bottom style="hair"/>
    </border>
    <border>
      <left style="double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medium"/>
      <bottom style="thin"/>
    </border>
    <border>
      <left style="double"/>
      <right/>
      <top style="double"/>
      <bottom style="medium"/>
    </border>
    <border>
      <left style="double"/>
      <right/>
      <top style="thin"/>
      <bottom style="medium"/>
    </border>
    <border>
      <left style="double"/>
      <right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double"/>
    </border>
    <border>
      <left/>
      <right style="medium"/>
      <top style="double"/>
      <bottom style="medium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 style="medium"/>
      <right/>
      <top style="thin"/>
      <bottom/>
    </border>
    <border>
      <left style="double"/>
      <right/>
      <top/>
      <bottom style="double"/>
    </border>
    <border>
      <left style="hair"/>
      <right/>
      <top/>
      <bottom style="hair"/>
    </border>
    <border>
      <left style="hair"/>
      <right/>
      <top style="hair"/>
      <bottom style="medium"/>
    </border>
    <border>
      <left style="double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/>
      <top style="medium"/>
      <bottom style="medium"/>
    </border>
    <border>
      <left style="hair"/>
      <right/>
      <top style="double"/>
      <bottom style="medium"/>
    </border>
    <border>
      <left style="hair"/>
      <right/>
      <top style="medium"/>
      <bottom style="hair"/>
    </border>
    <border>
      <left style="hair"/>
      <right/>
      <top style="thin"/>
      <bottom style="double"/>
    </border>
    <border>
      <left style="hair"/>
      <right/>
      <top/>
      <bottom style="medium"/>
    </border>
    <border>
      <left style="double"/>
      <right style="hair"/>
      <top style="medium"/>
      <bottom style="medium"/>
    </border>
    <border>
      <left style="hair"/>
      <right style="double"/>
      <top style="medium"/>
      <bottom style="medium"/>
    </border>
    <border>
      <left style="hair"/>
      <right/>
      <top style="hair"/>
      <bottom style="double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 style="double"/>
      <right style="hair"/>
      <top style="medium"/>
      <bottom style="hair"/>
    </border>
    <border>
      <left style="hair"/>
      <right style="double"/>
      <top style="medium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double"/>
      <right style="hair"/>
      <top style="double"/>
      <bottom style="medium"/>
    </border>
    <border>
      <left style="hair"/>
      <right style="double"/>
      <top style="double"/>
      <bottom style="medium"/>
    </border>
    <border>
      <left style="double"/>
      <right style="hair"/>
      <top style="thin"/>
      <bottom style="double"/>
    </border>
    <border>
      <left style="double"/>
      <right style="hair"/>
      <top/>
      <bottom style="medium"/>
    </border>
    <border>
      <left style="hair"/>
      <right style="double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double"/>
    </border>
    <border>
      <left style="hair"/>
      <right style="medium"/>
      <top style="medium"/>
      <bottom style="hair"/>
    </border>
    <border>
      <left style="double"/>
      <right style="hair"/>
      <top style="double"/>
      <bottom style="hair"/>
    </border>
    <border>
      <left style="hair"/>
      <right style="medium"/>
      <top style="double"/>
      <bottom style="hair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hair"/>
      <right/>
      <top style="double"/>
      <bottom style="hair"/>
    </border>
    <border>
      <left style="hair"/>
      <right style="double"/>
      <top style="double"/>
      <bottom style="hair"/>
    </border>
    <border>
      <left/>
      <right style="medium"/>
      <top style="double"/>
      <bottom style="hair"/>
    </border>
    <border>
      <left style="hair"/>
      <right style="hair"/>
      <top style="hair"/>
      <bottom style="thin"/>
    </border>
    <border>
      <left style="hair"/>
      <right style="double"/>
      <top style="thin"/>
      <bottom style="double"/>
    </border>
    <border>
      <left style="double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/>
      <top style="hair"/>
      <bottom style="thin"/>
    </border>
    <border>
      <left style="double"/>
      <right style="hair"/>
      <top/>
      <bottom style="hair"/>
    </border>
    <border>
      <left style="hair"/>
      <right style="double"/>
      <top/>
      <bottom style="hair"/>
    </border>
    <border>
      <left/>
      <right style="medium"/>
      <top/>
      <bottom style="hair"/>
    </border>
    <border>
      <left/>
      <right style="medium"/>
      <top style="hair"/>
      <bottom style="thin"/>
    </border>
    <border>
      <left style="medium"/>
      <right style="hair"/>
      <top style="hair"/>
      <bottom style="thin"/>
    </border>
    <border>
      <left style="medium"/>
      <right style="hair"/>
      <top style="thin"/>
      <bottom style="double"/>
    </border>
    <border>
      <left style="medium"/>
      <right style="hair"/>
      <top/>
      <bottom style="medium"/>
    </border>
    <border>
      <left/>
      <right style="medium"/>
      <top style="hair"/>
      <bottom style="double"/>
    </border>
    <border>
      <left style="thin"/>
      <right style="medium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medium"/>
      <right style="hair"/>
      <top style="medium"/>
      <bottom style="dotted"/>
    </border>
    <border>
      <left style="medium"/>
      <right style="hair"/>
      <top style="dotted"/>
      <bottom style="double"/>
    </border>
    <border>
      <left style="hair"/>
      <right style="hair"/>
      <top style="medium"/>
      <bottom style="dotted"/>
    </border>
    <border>
      <left style="hair"/>
      <right style="hair"/>
      <top style="dotted"/>
      <bottom style="double"/>
    </border>
    <border>
      <left style="hair"/>
      <right/>
      <top style="medium"/>
      <bottom style="dotted"/>
    </border>
    <border>
      <left style="hair"/>
      <right/>
      <top style="dotted"/>
      <bottom style="double"/>
    </border>
    <border>
      <left style="double"/>
      <right style="hair"/>
      <top style="medium"/>
      <bottom style="dotted"/>
    </border>
    <border>
      <left style="double"/>
      <right style="hair"/>
      <top style="dotted"/>
      <bottom style="double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1" applyNumberFormat="0" applyAlignment="0" applyProtection="0"/>
    <xf numFmtId="0" fontId="56" fillId="0" borderId="0" applyNumberFormat="0" applyFill="0" applyBorder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0" fillId="22" borderId="7" applyNumberFormat="0" applyFont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63" fillId="29" borderId="0" applyNumberFormat="0" applyBorder="0" applyAlignment="0" applyProtection="0"/>
    <xf numFmtId="0" fontId="64" fillId="30" borderId="8" applyNumberFormat="0" applyAlignment="0" applyProtection="0"/>
    <xf numFmtId="0" fontId="65" fillId="0" borderId="0" applyNumberFormat="0" applyFill="0" applyBorder="0" applyAlignment="0" applyProtection="0"/>
    <xf numFmtId="0" fontId="7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5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7" fillId="31" borderId="0" applyNumberFormat="0" applyBorder="0" applyAlignment="0" applyProtection="0"/>
    <xf numFmtId="0" fontId="68" fillId="32" borderId="0" applyNumberFormat="0" applyBorder="0" applyAlignment="0" applyProtection="0"/>
    <xf numFmtId="0" fontId="69" fillId="30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4">
    <xf numFmtId="0" fontId="0" fillId="0" borderId="0" xfId="0" applyAlignment="1">
      <alignment/>
    </xf>
    <xf numFmtId="0" fontId="2" fillId="0" borderId="0" xfId="0" applyFont="1" applyFill="1" applyBorder="1" applyAlignment="1">
      <alignment vertical="center"/>
    </xf>
    <xf numFmtId="0" fontId="2" fillId="0" borderId="0" xfId="67" applyFont="1" applyFill="1" applyBorder="1" applyAlignment="1">
      <alignment vertical="center"/>
      <protection/>
    </xf>
    <xf numFmtId="0" fontId="2" fillId="0" borderId="10" xfId="67" applyFont="1" applyFill="1" applyBorder="1" applyAlignment="1">
      <alignment horizontal="center" vertical="center"/>
      <protection/>
    </xf>
    <xf numFmtId="0" fontId="2" fillId="0" borderId="0" xfId="67" applyFont="1" applyFill="1" applyBorder="1" applyAlignment="1">
      <alignment/>
      <protection/>
    </xf>
    <xf numFmtId="0" fontId="2" fillId="0" borderId="11" xfId="67" applyFont="1" applyFill="1" applyBorder="1" applyAlignment="1">
      <alignment vertical="center" wrapText="1"/>
      <protection/>
    </xf>
    <xf numFmtId="3" fontId="4" fillId="0" borderId="12" xfId="67" applyNumberFormat="1" applyFont="1" applyFill="1" applyBorder="1" applyAlignment="1">
      <alignment vertical="center"/>
      <protection/>
    </xf>
    <xf numFmtId="0" fontId="4" fillId="0" borderId="0" xfId="67" applyFont="1" applyFill="1" applyBorder="1" applyAlignment="1">
      <alignment vertical="center"/>
      <protection/>
    </xf>
    <xf numFmtId="0" fontId="2" fillId="0" borderId="10" xfId="67" applyFont="1" applyFill="1" applyBorder="1" applyAlignment="1">
      <alignment horizontal="center"/>
      <protection/>
    </xf>
    <xf numFmtId="0" fontId="2" fillId="0" borderId="11" xfId="63" applyFont="1" applyFill="1" applyBorder="1" applyAlignment="1">
      <alignment wrapText="1"/>
      <protection/>
    </xf>
    <xf numFmtId="0" fontId="2" fillId="0" borderId="11" xfId="67" applyFont="1" applyFill="1" applyBorder="1" applyAlignment="1">
      <alignment wrapText="1"/>
      <protection/>
    </xf>
    <xf numFmtId="0" fontId="2" fillId="0" borderId="0" xfId="67" applyFont="1" applyFill="1" applyBorder="1" applyAlignment="1">
      <alignment wrapText="1"/>
      <protection/>
    </xf>
    <xf numFmtId="3" fontId="2" fillId="0" borderId="0" xfId="67" applyNumberFormat="1" applyFont="1" applyFill="1" applyBorder="1" applyAlignment="1">
      <alignment/>
      <protection/>
    </xf>
    <xf numFmtId="0" fontId="5" fillId="0" borderId="0" xfId="0" applyFont="1" applyFill="1" applyAlignment="1">
      <alignment vertical="center"/>
    </xf>
    <xf numFmtId="0" fontId="2" fillId="0" borderId="0" xfId="67" applyFont="1" applyFill="1" applyBorder="1" applyAlignment="1">
      <alignment horizontal="center" vertical="top"/>
      <protection/>
    </xf>
    <xf numFmtId="0" fontId="2" fillId="0" borderId="0" xfId="67" applyFont="1" applyFill="1" applyBorder="1" applyAlignment="1">
      <alignment horizontal="center" vertical="top" wrapText="1"/>
      <protection/>
    </xf>
    <xf numFmtId="0" fontId="2" fillId="0" borderId="0" xfId="67" applyFont="1" applyFill="1" applyBorder="1" applyAlignment="1">
      <alignment vertical="top" wrapText="1"/>
      <protection/>
    </xf>
    <xf numFmtId="3" fontId="2" fillId="0" borderId="0" xfId="67" applyNumberFormat="1" applyFont="1" applyFill="1" applyBorder="1" applyAlignment="1">
      <alignment vertical="top"/>
      <protection/>
    </xf>
    <xf numFmtId="3" fontId="4" fillId="0" borderId="0" xfId="67" applyNumberFormat="1" applyFont="1" applyFill="1" applyBorder="1" applyAlignment="1">
      <alignment vertical="top"/>
      <protection/>
    </xf>
    <xf numFmtId="0" fontId="2" fillId="0" borderId="0" xfId="67" applyFont="1" applyFill="1" applyBorder="1" applyAlignment="1">
      <alignment vertical="top"/>
      <protection/>
    </xf>
    <xf numFmtId="0" fontId="2" fillId="0" borderId="0" xfId="67" applyFont="1" applyFill="1" applyBorder="1">
      <alignment/>
      <protection/>
    </xf>
    <xf numFmtId="0" fontId="2" fillId="0" borderId="0" xfId="67" applyFont="1" applyFill="1" applyBorder="1" applyAlignment="1">
      <alignment horizontal="center" wrapText="1"/>
      <protection/>
    </xf>
    <xf numFmtId="3" fontId="2" fillId="0" borderId="0" xfId="67" applyNumberFormat="1" applyFont="1" applyFill="1" applyBorder="1">
      <alignment/>
      <protection/>
    </xf>
    <xf numFmtId="0" fontId="2" fillId="0" borderId="13" xfId="67" applyFont="1" applyFill="1" applyBorder="1" applyAlignment="1">
      <alignment horizontal="center" vertical="center" textRotation="90"/>
      <protection/>
    </xf>
    <xf numFmtId="0" fontId="2" fillId="0" borderId="14" xfId="67" applyFont="1" applyFill="1" applyBorder="1" applyAlignment="1">
      <alignment horizontal="center" vertical="center" textRotation="90"/>
      <protection/>
    </xf>
    <xf numFmtId="0" fontId="4" fillId="0" borderId="14" xfId="67" applyFont="1" applyFill="1" applyBorder="1" applyAlignment="1">
      <alignment horizontal="center" vertical="center" wrapText="1"/>
      <protection/>
    </xf>
    <xf numFmtId="0" fontId="2" fillId="0" borderId="14" xfId="67" applyFont="1" applyFill="1" applyBorder="1" applyAlignment="1">
      <alignment horizontal="center" vertical="center" textRotation="90" wrapText="1"/>
      <protection/>
    </xf>
    <xf numFmtId="3" fontId="4" fillId="0" borderId="0" xfId="67" applyNumberFormat="1" applyFont="1" applyFill="1" applyBorder="1">
      <alignment/>
      <protection/>
    </xf>
    <xf numFmtId="0" fontId="2" fillId="0" borderId="11" xfId="67" applyFont="1" applyFill="1" applyBorder="1" applyAlignment="1">
      <alignment horizontal="center" vertical="top"/>
      <protection/>
    </xf>
    <xf numFmtId="0" fontId="2" fillId="0" borderId="11" xfId="63" applyFont="1" applyFill="1" applyBorder="1" applyAlignment="1">
      <alignment horizontal="center" wrapText="1"/>
      <protection/>
    </xf>
    <xf numFmtId="3" fontId="2" fillId="0" borderId="11" xfId="63" applyNumberFormat="1" applyFont="1" applyFill="1" applyBorder="1" applyAlignment="1">
      <alignment/>
      <protection/>
    </xf>
    <xf numFmtId="0" fontId="2" fillId="0" borderId="11" xfId="67" applyFont="1" applyFill="1" applyBorder="1" applyAlignment="1">
      <alignment horizontal="center" wrapText="1"/>
      <protection/>
    </xf>
    <xf numFmtId="0" fontId="2" fillId="0" borderId="11" xfId="67" applyNumberFormat="1" applyFont="1" applyFill="1" applyBorder="1" applyAlignment="1">
      <alignment wrapText="1"/>
      <protection/>
    </xf>
    <xf numFmtId="0" fontId="2" fillId="0" borderId="11" xfId="67" applyFont="1" applyFill="1" applyBorder="1" applyAlignment="1">
      <alignment/>
      <protection/>
    </xf>
    <xf numFmtId="3" fontId="2" fillId="0" borderId="11" xfId="63" applyNumberFormat="1" applyFont="1" applyFill="1" applyBorder="1">
      <alignment/>
      <protection/>
    </xf>
    <xf numFmtId="0" fontId="13" fillId="0" borderId="11" xfId="67" applyFont="1" applyFill="1" applyBorder="1" applyAlignment="1">
      <alignment wrapText="1"/>
      <protection/>
    </xf>
    <xf numFmtId="0" fontId="2" fillId="0" borderId="11" xfId="67" applyFont="1" applyFill="1" applyBorder="1" applyAlignment="1">
      <alignment horizontal="left" wrapText="1" indent="1"/>
      <protection/>
    </xf>
    <xf numFmtId="0" fontId="2" fillId="0" borderId="11" xfId="63" applyFont="1" applyFill="1" applyBorder="1" applyAlignment="1">
      <alignment horizontal="left" wrapText="1" indent="1"/>
      <protection/>
    </xf>
    <xf numFmtId="0" fontId="14" fillId="0" borderId="11" xfId="67" applyFont="1" applyFill="1" applyBorder="1" applyAlignment="1">
      <alignment wrapText="1"/>
      <protection/>
    </xf>
    <xf numFmtId="0" fontId="15" fillId="0" borderId="11" xfId="67" applyFont="1" applyFill="1" applyBorder="1" applyAlignment="1">
      <alignment horizontal="center" wrapText="1"/>
      <protection/>
    </xf>
    <xf numFmtId="0" fontId="15" fillId="0" borderId="11" xfId="63" applyFont="1" applyFill="1" applyBorder="1" applyAlignment="1">
      <alignment horizontal="center" wrapText="1"/>
      <protection/>
    </xf>
    <xf numFmtId="3" fontId="2" fillId="0" borderId="0" xfId="0" applyNumberFormat="1" applyFont="1" applyFill="1" applyBorder="1" applyAlignment="1">
      <alignment/>
    </xf>
    <xf numFmtId="3" fontId="2" fillId="0" borderId="14" xfId="62" applyNumberFormat="1" applyFont="1" applyFill="1" applyBorder="1" applyAlignment="1">
      <alignment horizontal="center" vertical="center" textRotation="90"/>
      <protection/>
    </xf>
    <xf numFmtId="0" fontId="4" fillId="0" borderId="14" xfId="69" applyFont="1" applyFill="1" applyBorder="1" applyAlignment="1">
      <alignment horizontal="center" vertical="center" wrapText="1"/>
      <protection/>
    </xf>
    <xf numFmtId="3" fontId="4" fillId="0" borderId="14" xfId="69" applyNumberFormat="1" applyFont="1" applyFill="1" applyBorder="1" applyAlignment="1">
      <alignment horizontal="center" vertical="center" wrapText="1"/>
      <protection/>
    </xf>
    <xf numFmtId="3" fontId="16" fillId="0" borderId="14" xfId="69" applyNumberFormat="1" applyFont="1" applyFill="1" applyBorder="1" applyAlignment="1">
      <alignment horizontal="center" vertical="center" wrapText="1"/>
      <protection/>
    </xf>
    <xf numFmtId="3" fontId="2" fillId="0" borderId="11" xfId="62" applyNumberFormat="1" applyFont="1" applyFill="1" applyBorder="1" applyAlignment="1">
      <alignment horizontal="right"/>
      <protection/>
    </xf>
    <xf numFmtId="3" fontId="2" fillId="0" borderId="11" xfId="63" applyNumberFormat="1" applyFont="1" applyFill="1" applyBorder="1" applyAlignment="1">
      <alignment horizontal="right" vertical="center"/>
      <protection/>
    </xf>
    <xf numFmtId="3" fontId="2" fillId="0" borderId="11" xfId="62" applyNumberFormat="1" applyFont="1" applyFill="1" applyBorder="1" applyAlignment="1">
      <alignment horizontal="right" vertical="center"/>
      <protection/>
    </xf>
    <xf numFmtId="0" fontId="2" fillId="0" borderId="15" xfId="69" applyFont="1" applyFill="1" applyBorder="1" applyAlignment="1">
      <alignment horizontal="center"/>
      <protection/>
    </xf>
    <xf numFmtId="3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4" fillId="0" borderId="16" xfId="67" applyFont="1" applyFill="1" applyBorder="1" applyAlignment="1">
      <alignment horizontal="center" vertical="center"/>
      <protection/>
    </xf>
    <xf numFmtId="0" fontId="4" fillId="0" borderId="17" xfId="67" applyFont="1" applyFill="1" applyBorder="1" applyAlignment="1">
      <alignment horizontal="center" vertical="top"/>
      <protection/>
    </xf>
    <xf numFmtId="0" fontId="4" fillId="0" borderId="17" xfId="67" applyFont="1" applyFill="1" applyBorder="1" applyAlignment="1">
      <alignment horizontal="center" vertical="center" wrapText="1"/>
      <protection/>
    </xf>
    <xf numFmtId="3" fontId="4" fillId="0" borderId="17" xfId="67" applyNumberFormat="1" applyFont="1" applyFill="1" applyBorder="1" applyAlignment="1">
      <alignment vertical="center"/>
      <protection/>
    </xf>
    <xf numFmtId="3" fontId="2" fillId="0" borderId="0" xfId="62" applyNumberFormat="1" applyFont="1" applyFill="1" applyAlignment="1">
      <alignment horizontal="center"/>
      <protection/>
    </xf>
    <xf numFmtId="3" fontId="2" fillId="0" borderId="0" xfId="62" applyNumberFormat="1" applyFont="1" applyFill="1">
      <alignment/>
      <protection/>
    </xf>
    <xf numFmtId="3" fontId="4" fillId="0" borderId="0" xfId="62" applyNumberFormat="1" applyFont="1" applyFill="1">
      <alignment/>
      <protection/>
    </xf>
    <xf numFmtId="3" fontId="2" fillId="0" borderId="0" xfId="62" applyNumberFormat="1" applyFont="1" applyFill="1" applyAlignment="1">
      <alignment vertical="center"/>
      <protection/>
    </xf>
    <xf numFmtId="0" fontId="4" fillId="0" borderId="0" xfId="62" applyFont="1" applyFill="1" applyBorder="1" applyAlignment="1">
      <alignment vertical="top" wrapText="1"/>
      <protection/>
    </xf>
    <xf numFmtId="0" fontId="4" fillId="0" borderId="0" xfId="62" applyFont="1" applyFill="1" applyBorder="1" applyAlignment="1">
      <alignment horizontal="center"/>
      <protection/>
    </xf>
    <xf numFmtId="3" fontId="2" fillId="0" borderId="0" xfId="62" applyNumberFormat="1" applyFont="1" applyFill="1" applyAlignment="1">
      <alignment/>
      <protection/>
    </xf>
    <xf numFmtId="3" fontId="2" fillId="0" borderId="0" xfId="62" applyNumberFormat="1" applyFont="1" applyFill="1" applyAlignment="1">
      <alignment horizontal="center" vertical="center"/>
      <protection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20" xfId="62" applyNumberFormat="1" applyFont="1" applyFill="1" applyBorder="1" applyAlignment="1">
      <alignment horizontal="center"/>
      <protection/>
    </xf>
    <xf numFmtId="3" fontId="2" fillId="0" borderId="21" xfId="62" applyNumberFormat="1" applyFont="1" applyFill="1" applyBorder="1" applyAlignment="1">
      <alignment horizontal="center"/>
      <protection/>
    </xf>
    <xf numFmtId="3" fontId="2" fillId="0" borderId="21" xfId="62" applyNumberFormat="1" applyFont="1" applyFill="1" applyBorder="1" applyAlignment="1">
      <alignment wrapText="1"/>
      <protection/>
    </xf>
    <xf numFmtId="3" fontId="2" fillId="0" borderId="21" xfId="62" applyNumberFormat="1" applyFont="1" applyFill="1" applyBorder="1" applyAlignment="1">
      <alignment horizontal="right"/>
      <protection/>
    </xf>
    <xf numFmtId="3" fontId="2" fillId="0" borderId="10" xfId="62" applyNumberFormat="1" applyFont="1" applyFill="1" applyBorder="1" applyAlignment="1">
      <alignment horizontal="center" vertical="center"/>
      <protection/>
    </xf>
    <xf numFmtId="3" fontId="2" fillId="0" borderId="11" xfId="62" applyNumberFormat="1" applyFont="1" applyFill="1" applyBorder="1" applyAlignment="1">
      <alignment horizontal="center" vertical="center"/>
      <protection/>
    </xf>
    <xf numFmtId="3" fontId="2" fillId="0" borderId="11" xfId="62" applyNumberFormat="1" applyFont="1" applyFill="1" applyBorder="1" applyAlignment="1">
      <alignment vertical="center" wrapText="1"/>
      <protection/>
    </xf>
    <xf numFmtId="3" fontId="2" fillId="0" borderId="22" xfId="62" applyNumberFormat="1" applyFont="1" applyFill="1" applyBorder="1" applyAlignment="1">
      <alignment horizontal="right" vertical="center"/>
      <protection/>
    </xf>
    <xf numFmtId="3" fontId="2" fillId="0" borderId="11" xfId="0" applyNumberFormat="1" applyFont="1" applyFill="1" applyBorder="1" applyAlignment="1">
      <alignment horizontal="right" vertical="center" wrapText="1"/>
    </xf>
    <xf numFmtId="3" fontId="2" fillId="0" borderId="23" xfId="0" applyNumberFormat="1" applyFont="1" applyFill="1" applyBorder="1" applyAlignment="1">
      <alignment horizontal="right" vertical="center" wrapText="1"/>
    </xf>
    <xf numFmtId="3" fontId="5" fillId="0" borderId="11" xfId="62" applyNumberFormat="1" applyFont="1" applyFill="1" applyBorder="1" applyAlignment="1">
      <alignment vertical="top" wrapText="1"/>
      <protection/>
    </xf>
    <xf numFmtId="3" fontId="2" fillId="0" borderId="11" xfId="62" applyNumberFormat="1" applyFont="1" applyFill="1" applyBorder="1" applyAlignment="1">
      <alignment horizontal="center"/>
      <protection/>
    </xf>
    <xf numFmtId="3" fontId="5" fillId="0" borderId="11" xfId="62" applyNumberFormat="1" applyFont="1" applyFill="1" applyBorder="1" applyAlignment="1">
      <alignment horizontal="right"/>
      <protection/>
    </xf>
    <xf numFmtId="3" fontId="5" fillId="0" borderId="22" xfId="62" applyNumberFormat="1" applyFont="1" applyFill="1" applyBorder="1" applyAlignment="1">
      <alignment horizontal="right"/>
      <protection/>
    </xf>
    <xf numFmtId="3" fontId="5" fillId="0" borderId="11" xfId="62" applyNumberFormat="1" applyFont="1" applyFill="1" applyBorder="1" applyAlignment="1">
      <alignment vertical="center" wrapText="1"/>
      <protection/>
    </xf>
    <xf numFmtId="3" fontId="2" fillId="0" borderId="10" xfId="62" applyNumberFormat="1" applyFont="1" applyFill="1" applyBorder="1" applyAlignment="1">
      <alignment horizontal="center"/>
      <protection/>
    </xf>
    <xf numFmtId="3" fontId="2" fillId="0" borderId="11" xfId="62" applyNumberFormat="1" applyFont="1" applyFill="1" applyBorder="1" applyAlignment="1">
      <alignment wrapText="1"/>
      <protection/>
    </xf>
    <xf numFmtId="3" fontId="2" fillId="0" borderId="22" xfId="62" applyNumberFormat="1" applyFont="1" applyFill="1" applyBorder="1" applyAlignment="1">
      <alignment horizontal="right"/>
      <protection/>
    </xf>
    <xf numFmtId="3" fontId="2" fillId="0" borderId="11" xfId="0" applyNumberFormat="1" applyFont="1" applyFill="1" applyBorder="1" applyAlignment="1">
      <alignment horizontal="right" wrapText="1"/>
    </xf>
    <xf numFmtId="3" fontId="2" fillId="0" borderId="23" xfId="0" applyNumberFormat="1" applyFont="1" applyFill="1" applyBorder="1" applyAlignment="1">
      <alignment horizontal="right" wrapText="1"/>
    </xf>
    <xf numFmtId="3" fontId="5" fillId="0" borderId="0" xfId="62" applyNumberFormat="1" applyFont="1" applyFill="1" applyAlignment="1">
      <alignment horizontal="center" vertical="center"/>
      <protection/>
    </xf>
    <xf numFmtId="3" fontId="5" fillId="0" borderId="11" xfId="62" applyNumberFormat="1" applyFont="1" applyFill="1" applyBorder="1" applyAlignment="1">
      <alignment horizontal="center" vertical="center"/>
      <protection/>
    </xf>
    <xf numFmtId="3" fontId="5" fillId="0" borderId="11" xfId="62" applyNumberFormat="1" applyFont="1" applyFill="1" applyBorder="1" applyAlignment="1">
      <alignment horizontal="right" vertical="center"/>
      <protection/>
    </xf>
    <xf numFmtId="3" fontId="2" fillId="0" borderId="24" xfId="62" applyNumberFormat="1" applyFont="1" applyFill="1" applyBorder="1" applyAlignment="1">
      <alignment horizontal="center" vertical="center"/>
      <protection/>
    </xf>
    <xf numFmtId="3" fontId="2" fillId="0" borderId="25" xfId="62" applyNumberFormat="1" applyFont="1" applyFill="1" applyBorder="1" applyAlignment="1">
      <alignment vertical="center" wrapText="1"/>
      <protection/>
    </xf>
    <xf numFmtId="3" fontId="2" fillId="0" borderId="25" xfId="62" applyNumberFormat="1" applyFont="1" applyFill="1" applyBorder="1" applyAlignment="1">
      <alignment horizontal="center" vertical="center"/>
      <protection/>
    </xf>
    <xf numFmtId="3" fontId="2" fillId="0" borderId="25" xfId="62" applyNumberFormat="1" applyFont="1" applyFill="1" applyBorder="1" applyAlignment="1">
      <alignment horizontal="right" vertical="center"/>
      <protection/>
    </xf>
    <xf numFmtId="3" fontId="2" fillId="0" borderId="26" xfId="62" applyNumberFormat="1" applyFont="1" applyFill="1" applyBorder="1" applyAlignment="1">
      <alignment horizontal="right" vertical="center"/>
      <protection/>
    </xf>
    <xf numFmtId="3" fontId="2" fillId="0" borderId="0" xfId="62" applyNumberFormat="1" applyFont="1" applyFill="1" applyBorder="1" applyAlignment="1">
      <alignment vertical="center"/>
      <protection/>
    </xf>
    <xf numFmtId="3" fontId="4" fillId="0" borderId="0" xfId="0" applyNumberFormat="1" applyFont="1" applyFill="1" applyBorder="1" applyAlignment="1">
      <alignment/>
    </xf>
    <xf numFmtId="3" fontId="2" fillId="0" borderId="0" xfId="62" applyNumberFormat="1" applyFont="1" applyFill="1" applyBorder="1" applyAlignment="1">
      <alignment vertical="top" wrapText="1"/>
      <protection/>
    </xf>
    <xf numFmtId="3" fontId="2" fillId="0" borderId="0" xfId="62" applyNumberFormat="1" applyFont="1" applyFill="1" applyBorder="1" applyAlignment="1">
      <alignment horizontal="center"/>
      <protection/>
    </xf>
    <xf numFmtId="3" fontId="4" fillId="0" borderId="0" xfId="62" applyNumberFormat="1" applyFont="1" applyFill="1" applyBorder="1">
      <alignment/>
      <protection/>
    </xf>
    <xf numFmtId="3" fontId="4" fillId="0" borderId="0" xfId="62" applyNumberFormat="1" applyFont="1" applyFill="1" applyBorder="1" applyAlignment="1">
      <alignment vertical="top" wrapText="1"/>
      <protection/>
    </xf>
    <xf numFmtId="3" fontId="4" fillId="0" borderId="0" xfId="62" applyNumberFormat="1" applyFont="1" applyFill="1" applyBorder="1" applyAlignment="1">
      <alignment horizontal="center"/>
      <protection/>
    </xf>
    <xf numFmtId="3" fontId="2" fillId="0" borderId="0" xfId="62" applyNumberFormat="1" applyFont="1" applyFill="1" applyAlignment="1">
      <alignment vertical="top" wrapText="1"/>
      <protection/>
    </xf>
    <xf numFmtId="3" fontId="2" fillId="0" borderId="0" xfId="62" applyNumberFormat="1" applyFont="1" applyFill="1" applyBorder="1" applyAlignment="1">
      <alignment horizontal="center" vertical="top" wrapText="1"/>
      <protection/>
    </xf>
    <xf numFmtId="3" fontId="4" fillId="0" borderId="0" xfId="62" applyNumberFormat="1" applyFont="1" applyFill="1" applyAlignment="1">
      <alignment vertical="top" wrapText="1"/>
      <protection/>
    </xf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Border="1" applyAlignment="1">
      <alignment horizontal="left" vertical="center"/>
    </xf>
    <xf numFmtId="4" fontId="2" fillId="0" borderId="0" xfId="0" applyNumberFormat="1" applyFont="1" applyFill="1" applyAlignment="1">
      <alignment vertical="center"/>
    </xf>
    <xf numFmtId="4" fontId="6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5" fillId="0" borderId="27" xfId="0" applyFont="1" applyFill="1" applyBorder="1" applyAlignment="1">
      <alignment horizontal="center" vertical="center" textRotation="90"/>
    </xf>
    <xf numFmtId="0" fontId="2" fillId="0" borderId="28" xfId="0" applyFont="1" applyFill="1" applyBorder="1" applyAlignment="1">
      <alignment horizontal="center" vertical="center" wrapText="1"/>
    </xf>
    <xf numFmtId="4" fontId="2" fillId="0" borderId="28" xfId="0" applyNumberFormat="1" applyFont="1" applyFill="1" applyBorder="1" applyAlignment="1">
      <alignment horizontal="center" vertical="center" wrapText="1"/>
    </xf>
    <xf numFmtId="4" fontId="2" fillId="0" borderId="29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vertical="center"/>
    </xf>
    <xf numFmtId="4" fontId="6" fillId="0" borderId="31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Border="1" applyAlignment="1">
      <alignment horizontal="left" vertical="center" wrapText="1" indent="3"/>
    </xf>
    <xf numFmtId="0" fontId="4" fillId="0" borderId="0" xfId="0" applyFont="1" applyFill="1" applyAlignment="1">
      <alignment vertical="center"/>
    </xf>
    <xf numFmtId="164" fontId="2" fillId="0" borderId="0" xfId="66" applyNumberFormat="1" applyFont="1" applyFill="1" applyBorder="1" applyAlignment="1">
      <alignment vertical="center" wrapText="1"/>
      <protection/>
    </xf>
    <xf numFmtId="4" fontId="6" fillId="0" borderId="31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164" fontId="2" fillId="0" borderId="33" xfId="66" applyNumberFormat="1" applyFont="1" applyFill="1" applyBorder="1" applyAlignment="1">
      <alignment vertical="center" wrapText="1"/>
      <protection/>
    </xf>
    <xf numFmtId="4" fontId="2" fillId="0" borderId="33" xfId="0" applyNumberFormat="1" applyFont="1" applyFill="1" applyBorder="1" applyAlignment="1">
      <alignment vertical="center"/>
    </xf>
    <xf numFmtId="4" fontId="6" fillId="0" borderId="34" xfId="0" applyNumberFormat="1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64" fontId="4" fillId="0" borderId="36" xfId="0" applyNumberFormat="1" applyFont="1" applyFill="1" applyBorder="1" applyAlignment="1">
      <alignment vertical="center" wrapText="1"/>
    </xf>
    <xf numFmtId="4" fontId="4" fillId="0" borderId="36" xfId="0" applyNumberFormat="1" applyFont="1" applyFill="1" applyBorder="1" applyAlignment="1">
      <alignment vertical="center"/>
    </xf>
    <xf numFmtId="4" fontId="18" fillId="0" borderId="37" xfId="0" applyNumberFormat="1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vertical="center"/>
    </xf>
    <xf numFmtId="4" fontId="6" fillId="0" borderId="37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" fontId="4" fillId="0" borderId="0" xfId="0" applyNumberFormat="1" applyFont="1" applyFill="1" applyAlignment="1">
      <alignment vertical="center"/>
    </xf>
    <xf numFmtId="4" fontId="18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3" fontId="15" fillId="0" borderId="0" xfId="66" applyNumberFormat="1" applyFont="1" applyFill="1" applyBorder="1" applyAlignment="1">
      <alignment horizontal="left" vertical="center" wrapText="1" indent="2"/>
      <protection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0" xfId="0" applyFont="1" applyBorder="1" applyAlignment="1">
      <alignment horizontal="center" vertical="top"/>
    </xf>
    <xf numFmtId="3" fontId="2" fillId="0" borderId="31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5" fillId="0" borderId="0" xfId="0" applyNumberFormat="1" applyFont="1" applyFill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15" fillId="0" borderId="0" xfId="0" applyNumberFormat="1" applyFont="1" applyFill="1" applyBorder="1" applyAlignment="1">
      <alignment vertical="center"/>
    </xf>
    <xf numFmtId="3" fontId="15" fillId="0" borderId="0" xfId="0" applyNumberFormat="1" applyFont="1" applyFill="1" applyBorder="1" applyAlignment="1">
      <alignment horizontal="center" vertical="center"/>
    </xf>
    <xf numFmtId="3" fontId="22" fillId="0" borderId="39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Alignment="1">
      <alignment/>
    </xf>
    <xf numFmtId="3" fontId="15" fillId="0" borderId="30" xfId="0" applyNumberFormat="1" applyFont="1" applyFill="1" applyBorder="1" applyAlignment="1">
      <alignment horizontal="center"/>
    </xf>
    <xf numFmtId="3" fontId="15" fillId="0" borderId="0" xfId="0" applyNumberFormat="1" applyFont="1" applyFill="1" applyBorder="1" applyAlignment="1">
      <alignment horizontal="center"/>
    </xf>
    <xf numFmtId="3" fontId="15" fillId="0" borderId="0" xfId="66" applyNumberFormat="1" applyFont="1" applyFill="1" applyBorder="1" applyAlignment="1">
      <alignment/>
      <protection/>
    </xf>
    <xf numFmtId="3" fontId="15" fillId="0" borderId="0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/>
    </xf>
    <xf numFmtId="3" fontId="20" fillId="0" borderId="31" xfId="0" applyNumberFormat="1" applyFont="1" applyFill="1" applyBorder="1" applyAlignment="1">
      <alignment/>
    </xf>
    <xf numFmtId="3" fontId="15" fillId="0" borderId="30" xfId="0" applyNumberFormat="1" applyFont="1" applyFill="1" applyBorder="1" applyAlignment="1">
      <alignment horizontal="center" vertical="center"/>
    </xf>
    <xf numFmtId="3" fontId="15" fillId="0" borderId="0" xfId="66" applyNumberFormat="1" applyFont="1" applyFill="1" applyBorder="1" applyAlignment="1">
      <alignment vertical="center"/>
      <protection/>
    </xf>
    <xf numFmtId="3" fontId="19" fillId="0" borderId="0" xfId="0" applyNumberFormat="1" applyFont="1" applyFill="1" applyBorder="1" applyAlignment="1">
      <alignment vertical="center"/>
    </xf>
    <xf numFmtId="3" fontId="20" fillId="0" borderId="31" xfId="0" applyNumberFormat="1" applyFont="1" applyFill="1" applyBorder="1" applyAlignment="1">
      <alignment vertical="center"/>
    </xf>
    <xf numFmtId="3" fontId="15" fillId="0" borderId="0" xfId="0" applyNumberFormat="1" applyFont="1" applyFill="1" applyAlignment="1">
      <alignment vertical="top"/>
    </xf>
    <xf numFmtId="3" fontId="15" fillId="0" borderId="30" xfId="0" applyNumberFormat="1" applyFont="1" applyFill="1" applyBorder="1" applyAlignment="1">
      <alignment horizontal="center" vertical="top"/>
    </xf>
    <xf numFmtId="3" fontId="15" fillId="0" borderId="0" xfId="0" applyNumberFormat="1" applyFont="1" applyFill="1" applyBorder="1" applyAlignment="1">
      <alignment horizontal="center" vertical="top"/>
    </xf>
    <xf numFmtId="3" fontId="15" fillId="0" borderId="0" xfId="66" applyNumberFormat="1" applyFont="1" applyFill="1" applyBorder="1" applyAlignment="1">
      <alignment horizontal="left" vertical="top" indent="2"/>
      <protection/>
    </xf>
    <xf numFmtId="3" fontId="15" fillId="0" borderId="0" xfId="0" applyNumberFormat="1" applyFont="1" applyFill="1" applyBorder="1" applyAlignment="1">
      <alignment vertical="top"/>
    </xf>
    <xf numFmtId="3" fontId="19" fillId="0" borderId="0" xfId="0" applyNumberFormat="1" applyFont="1" applyFill="1" applyBorder="1" applyAlignment="1">
      <alignment vertical="top"/>
    </xf>
    <xf numFmtId="3" fontId="20" fillId="0" borderId="31" xfId="0" applyNumberFormat="1" applyFont="1" applyFill="1" applyBorder="1" applyAlignment="1">
      <alignment vertical="top"/>
    </xf>
    <xf numFmtId="3" fontId="19" fillId="0" borderId="3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Alignment="1">
      <alignment vertical="center"/>
    </xf>
    <xf numFmtId="3" fontId="15" fillId="0" borderId="0" xfId="66" applyNumberFormat="1" applyFont="1" applyFill="1" applyBorder="1" applyAlignment="1">
      <alignment wrapText="1"/>
      <protection/>
    </xf>
    <xf numFmtId="3" fontId="15" fillId="0" borderId="0" xfId="66" applyNumberFormat="1" applyFont="1" applyFill="1" applyBorder="1" applyAlignment="1">
      <alignment vertical="center" wrapText="1"/>
      <protection/>
    </xf>
    <xf numFmtId="3" fontId="20" fillId="0" borderId="0" xfId="66" applyNumberFormat="1" applyFont="1" applyFill="1" applyBorder="1" applyAlignment="1">
      <alignment vertical="center"/>
      <protection/>
    </xf>
    <xf numFmtId="3" fontId="20" fillId="0" borderId="0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 vertical="center"/>
    </xf>
    <xf numFmtId="3" fontId="19" fillId="0" borderId="0" xfId="66" applyNumberFormat="1" applyFont="1" applyFill="1" applyBorder="1" applyAlignment="1">
      <alignment vertical="center"/>
      <protection/>
    </xf>
    <xf numFmtId="3" fontId="15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Alignment="1">
      <alignment vertical="center"/>
    </xf>
    <xf numFmtId="3" fontId="15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3" fontId="15" fillId="0" borderId="31" xfId="0" applyNumberFormat="1" applyFont="1" applyFill="1" applyBorder="1" applyAlignment="1">
      <alignment vertical="center"/>
    </xf>
    <xf numFmtId="3" fontId="19" fillId="0" borderId="0" xfId="0" applyNumberFormat="1" applyFont="1" applyAlignment="1">
      <alignment vertical="center"/>
    </xf>
    <xf numFmtId="3" fontId="20" fillId="0" borderId="0" xfId="0" applyNumberFormat="1" applyFont="1" applyAlignment="1">
      <alignment vertical="center"/>
    </xf>
    <xf numFmtId="3" fontId="18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vertical="center"/>
    </xf>
    <xf numFmtId="3" fontId="24" fillId="0" borderId="0" xfId="0" applyNumberFormat="1" applyFont="1" applyBorder="1" applyAlignment="1">
      <alignment vertical="center"/>
    </xf>
    <xf numFmtId="3" fontId="19" fillId="0" borderId="31" xfId="0" applyNumberFormat="1" applyFont="1" applyFill="1" applyBorder="1" applyAlignment="1">
      <alignment vertical="center"/>
    </xf>
    <xf numFmtId="3" fontId="19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Fill="1" applyAlignment="1">
      <alignment horizontal="center" vertical="top"/>
    </xf>
    <xf numFmtId="3" fontId="15" fillId="0" borderId="0" xfId="0" applyNumberFormat="1" applyFont="1" applyFill="1" applyAlignment="1">
      <alignment horizontal="center" vertical="top"/>
    </xf>
    <xf numFmtId="3" fontId="15" fillId="0" borderId="0" xfId="0" applyNumberFormat="1" applyFont="1" applyFill="1" applyAlignment="1">
      <alignment/>
    </xf>
    <xf numFmtId="3" fontId="15" fillId="0" borderId="0" xfId="0" applyNumberFormat="1" applyFont="1" applyAlignment="1">
      <alignment horizontal="center"/>
    </xf>
    <xf numFmtId="3" fontId="15" fillId="0" borderId="0" xfId="0" applyNumberFormat="1" applyFont="1" applyAlignment="1">
      <alignment/>
    </xf>
    <xf numFmtId="3" fontId="6" fillId="0" borderId="0" xfId="0" applyNumberFormat="1" applyFont="1" applyAlignment="1">
      <alignment horizontal="center"/>
    </xf>
    <xf numFmtId="3" fontId="15" fillId="0" borderId="39" xfId="61" applyNumberFormat="1" applyFont="1" applyFill="1" applyBorder="1" applyAlignment="1">
      <alignment horizontal="center" vertical="center" wrapText="1"/>
      <protection/>
    </xf>
    <xf numFmtId="3" fontId="15" fillId="0" borderId="39" xfId="0" applyNumberFormat="1" applyFont="1" applyBorder="1" applyAlignment="1">
      <alignment horizontal="center" vertical="center"/>
    </xf>
    <xf numFmtId="3" fontId="15" fillId="0" borderId="39" xfId="0" applyNumberFormat="1" applyFont="1" applyBorder="1" applyAlignment="1">
      <alignment horizontal="center" vertical="center" wrapText="1"/>
    </xf>
    <xf numFmtId="3" fontId="12" fillId="0" borderId="0" xfId="0" applyNumberFormat="1" applyFont="1" applyFill="1" applyBorder="1" applyAlignment="1">
      <alignment horizontal="center"/>
    </xf>
    <xf numFmtId="3" fontId="15" fillId="0" borderId="0" xfId="66" applyNumberFormat="1" applyFont="1" applyBorder="1" applyAlignment="1">
      <alignment horizontal="center"/>
      <protection/>
    </xf>
    <xf numFmtId="3" fontId="15" fillId="0" borderId="0" xfId="0" applyNumberFormat="1" applyFont="1" applyBorder="1" applyAlignment="1">
      <alignment/>
    </xf>
    <xf numFmtId="3" fontId="12" fillId="0" borderId="0" xfId="0" applyNumberFormat="1" applyFont="1" applyFill="1" applyBorder="1" applyAlignment="1">
      <alignment horizontal="center" vertical="top"/>
    </xf>
    <xf numFmtId="3" fontId="15" fillId="0" borderId="0" xfId="66" applyNumberFormat="1" applyFont="1" applyBorder="1" applyAlignment="1">
      <alignment horizontal="center" vertical="center"/>
      <protection/>
    </xf>
    <xf numFmtId="3" fontId="12" fillId="0" borderId="0" xfId="0" applyNumberFormat="1" applyFont="1" applyFill="1" applyBorder="1" applyAlignment="1">
      <alignment horizontal="center" vertical="center"/>
    </xf>
    <xf numFmtId="3" fontId="15" fillId="0" borderId="0" xfId="66" applyNumberFormat="1" applyFont="1" applyFill="1" applyBorder="1" applyAlignment="1">
      <alignment horizontal="left" vertical="center" wrapText="1" indent="1"/>
      <protection/>
    </xf>
    <xf numFmtId="3" fontId="15" fillId="0" borderId="0" xfId="66" applyNumberFormat="1" applyFont="1" applyFill="1" applyBorder="1" applyAlignment="1">
      <alignment horizontal="left" vertical="top" wrapText="1" indent="1"/>
      <protection/>
    </xf>
    <xf numFmtId="3" fontId="15" fillId="0" borderId="0" xfId="66" applyNumberFormat="1" applyFont="1" applyBorder="1" applyAlignment="1">
      <alignment horizontal="center" vertical="top" wrapText="1"/>
      <protection/>
    </xf>
    <xf numFmtId="3" fontId="15" fillId="0" borderId="0" xfId="0" applyNumberFormat="1" applyFont="1" applyAlignment="1">
      <alignment vertical="top"/>
    </xf>
    <xf numFmtId="3" fontId="12" fillId="0" borderId="0" xfId="0" applyNumberFormat="1" applyFont="1" applyFill="1" applyAlignment="1">
      <alignment horizontal="center" vertical="center"/>
    </xf>
    <xf numFmtId="3" fontId="15" fillId="0" borderId="0" xfId="66" applyNumberFormat="1" applyFont="1" applyBorder="1" applyAlignment="1">
      <alignment horizontal="center" vertical="center" wrapText="1"/>
      <protection/>
    </xf>
    <xf numFmtId="3" fontId="19" fillId="0" borderId="0" xfId="0" applyNumberFormat="1" applyFont="1" applyBorder="1" applyAlignment="1">
      <alignment/>
    </xf>
    <xf numFmtId="3" fontId="20" fillId="0" borderId="0" xfId="66" applyNumberFormat="1" applyFont="1" applyBorder="1" applyAlignment="1">
      <alignment horizontal="center" vertical="center"/>
      <protection/>
    </xf>
    <xf numFmtId="3" fontId="15" fillId="0" borderId="0" xfId="0" applyNumberFormat="1" applyFont="1" applyAlignment="1">
      <alignment/>
    </xf>
    <xf numFmtId="3" fontId="6" fillId="0" borderId="0" xfId="0" applyNumberFormat="1" applyFont="1" applyFill="1" applyBorder="1" applyAlignment="1">
      <alignment/>
    </xf>
    <xf numFmtId="3" fontId="15" fillId="0" borderId="0" xfId="0" applyNumberFormat="1" applyFont="1" applyBorder="1" applyAlignment="1">
      <alignment/>
    </xf>
    <xf numFmtId="3" fontId="15" fillId="0" borderId="0" xfId="66" applyNumberFormat="1" applyFont="1" applyBorder="1" applyAlignment="1">
      <alignment horizontal="center" wrapText="1"/>
      <protection/>
    </xf>
    <xf numFmtId="3" fontId="15" fillId="0" borderId="0" xfId="0" applyNumberFormat="1" applyFont="1" applyFill="1" applyBorder="1" applyAlignment="1">
      <alignment horizontal="right" vertical="top"/>
    </xf>
    <xf numFmtId="3" fontId="20" fillId="0" borderId="40" xfId="0" applyNumberFormat="1" applyFont="1" applyBorder="1" applyAlignment="1">
      <alignment horizontal="center" vertical="center"/>
    </xf>
    <xf numFmtId="3" fontId="20" fillId="0" borderId="0" xfId="0" applyNumberFormat="1" applyFont="1" applyBorder="1" applyAlignment="1">
      <alignment vertical="center"/>
    </xf>
    <xf numFmtId="3" fontId="15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6" fillId="0" borderId="41" xfId="61" applyNumberFormat="1" applyFont="1" applyBorder="1" applyAlignment="1">
      <alignment horizontal="center" vertical="center" textRotation="90" wrapText="1"/>
      <protection/>
    </xf>
    <xf numFmtId="3" fontId="6" fillId="0" borderId="42" xfId="61" applyNumberFormat="1" applyFont="1" applyBorder="1" applyAlignment="1">
      <alignment horizontal="center" vertical="center" textRotation="90" wrapText="1"/>
      <protection/>
    </xf>
    <xf numFmtId="3" fontId="6" fillId="0" borderId="42" xfId="61" applyNumberFormat="1" applyFont="1" applyBorder="1" applyAlignment="1">
      <alignment horizontal="center" vertical="center" wrapText="1"/>
      <protection/>
    </xf>
    <xf numFmtId="3" fontId="20" fillId="0" borderId="42" xfId="61" applyNumberFormat="1" applyFont="1" applyBorder="1" applyAlignment="1">
      <alignment horizontal="center" vertical="center" wrapText="1"/>
      <protection/>
    </xf>
    <xf numFmtId="3" fontId="15" fillId="0" borderId="42" xfId="61" applyNumberFormat="1" applyFont="1" applyBorder="1" applyAlignment="1">
      <alignment horizontal="center" vertical="center" wrapText="1"/>
      <protection/>
    </xf>
    <xf numFmtId="3" fontId="15" fillId="0" borderId="43" xfId="61" applyNumberFormat="1" applyFont="1" applyFill="1" applyBorder="1" applyAlignment="1">
      <alignment horizontal="center" vertical="center" wrapText="1"/>
      <protection/>
    </xf>
    <xf numFmtId="3" fontId="2" fillId="0" borderId="0" xfId="61" applyNumberFormat="1" applyFont="1" applyBorder="1">
      <alignment/>
      <protection/>
    </xf>
    <xf numFmtId="3" fontId="2" fillId="0" borderId="0" xfId="61" applyNumberFormat="1" applyFont="1">
      <alignment/>
      <protection/>
    </xf>
    <xf numFmtId="3" fontId="4" fillId="0" borderId="44" xfId="61" applyNumberFormat="1" applyFont="1" applyBorder="1" applyAlignment="1">
      <alignment horizontal="center" textRotation="90" wrapText="1"/>
      <protection/>
    </xf>
    <xf numFmtId="3" fontId="4" fillId="0" borderId="45" xfId="61" applyNumberFormat="1" applyFont="1" applyBorder="1" applyAlignment="1">
      <alignment horizontal="left" textRotation="90" wrapText="1"/>
      <protection/>
    </xf>
    <xf numFmtId="3" fontId="2" fillId="0" borderId="45" xfId="61" applyNumberFormat="1" applyFont="1" applyBorder="1" applyAlignment="1">
      <alignment horizontal="center" wrapText="1"/>
      <protection/>
    </xf>
    <xf numFmtId="3" fontId="4" fillId="0" borderId="45" xfId="61" applyNumberFormat="1" applyFont="1" applyBorder="1" applyAlignment="1">
      <alignment horizontal="left" wrapText="1"/>
      <protection/>
    </xf>
    <xf numFmtId="3" fontId="10" fillId="0" borderId="45" xfId="61" applyNumberFormat="1" applyFont="1" applyBorder="1" applyAlignment="1">
      <alignment horizontal="right" wrapText="1"/>
      <protection/>
    </xf>
    <xf numFmtId="3" fontId="10" fillId="0" borderId="45" xfId="61" applyNumberFormat="1" applyFont="1" applyFill="1" applyBorder="1" applyAlignment="1">
      <alignment horizontal="right" wrapText="1"/>
      <protection/>
    </xf>
    <xf numFmtId="3" fontId="4" fillId="0" borderId="0" xfId="61" applyNumberFormat="1" applyFont="1" applyBorder="1" applyAlignment="1">
      <alignment horizontal="left"/>
      <protection/>
    </xf>
    <xf numFmtId="3" fontId="4" fillId="0" borderId="0" xfId="61" applyNumberFormat="1" applyFont="1" applyAlignment="1">
      <alignment horizontal="left"/>
      <protection/>
    </xf>
    <xf numFmtId="3" fontId="2" fillId="0" borderId="30" xfId="61" applyNumberFormat="1" applyFont="1" applyBorder="1" applyAlignment="1">
      <alignment horizontal="center" wrapText="1"/>
      <protection/>
    </xf>
    <xf numFmtId="3" fontId="4" fillId="0" borderId="0" xfId="61" applyNumberFormat="1" applyFont="1" applyBorder="1" applyAlignment="1">
      <alignment horizontal="left" wrapText="1"/>
      <protection/>
    </xf>
    <xf numFmtId="3" fontId="2" fillId="0" borderId="0" xfId="61" applyNumberFormat="1" applyFont="1" applyBorder="1" applyAlignment="1">
      <alignment horizontal="center" wrapText="1"/>
      <protection/>
    </xf>
    <xf numFmtId="3" fontId="4" fillId="0" borderId="0" xfId="61" applyNumberFormat="1" applyFont="1" applyBorder="1" applyAlignment="1">
      <alignment horizontal="right" wrapText="1"/>
      <protection/>
    </xf>
    <xf numFmtId="3" fontId="4" fillId="0" borderId="0" xfId="61" applyNumberFormat="1" applyFont="1" applyFill="1" applyBorder="1" applyAlignment="1">
      <alignment horizontal="right" wrapText="1"/>
      <protection/>
    </xf>
    <xf numFmtId="0" fontId="4" fillId="0" borderId="3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left" wrapText="1" inden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Fill="1" applyBorder="1" applyAlignment="1">
      <alignment horizontal="left" wrapText="1"/>
    </xf>
    <xf numFmtId="49" fontId="2" fillId="0" borderId="30" xfId="0" applyNumberFormat="1" applyFont="1" applyBorder="1" applyAlignment="1">
      <alignment horizontal="center" vertical="center"/>
    </xf>
    <xf numFmtId="3" fontId="2" fillId="0" borderId="0" xfId="61" applyNumberFormat="1" applyFont="1" applyBorder="1" applyAlignment="1">
      <alignment horizontal="center" vertical="center" wrapText="1"/>
      <protection/>
    </xf>
    <xf numFmtId="3" fontId="10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Fill="1" applyBorder="1" applyAlignment="1">
      <alignment/>
    </xf>
    <xf numFmtId="0" fontId="4" fillId="0" borderId="0" xfId="0" applyFont="1" applyAlignment="1">
      <alignment/>
    </xf>
    <xf numFmtId="49" fontId="2" fillId="0" borderId="30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 vertical="top"/>
    </xf>
    <xf numFmtId="0" fontId="4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 vertical="top"/>
    </xf>
    <xf numFmtId="0" fontId="4" fillId="0" borderId="46" xfId="0" applyFont="1" applyBorder="1" applyAlignment="1">
      <alignment wrapText="1"/>
    </xf>
    <xf numFmtId="3" fontId="10" fillId="0" borderId="46" xfId="0" applyNumberFormat="1" applyFont="1" applyFill="1" applyBorder="1" applyAlignment="1">
      <alignment/>
    </xf>
    <xf numFmtId="3" fontId="4" fillId="0" borderId="47" xfId="61" applyNumberFormat="1" applyFont="1" applyBorder="1" applyAlignment="1">
      <alignment horizontal="center" textRotation="90" wrapText="1"/>
      <protection/>
    </xf>
    <xf numFmtId="3" fontId="4" fillId="0" borderId="46" xfId="61" applyNumberFormat="1" applyFont="1" applyBorder="1" applyAlignment="1">
      <alignment horizontal="left" textRotation="90" wrapText="1"/>
      <protection/>
    </xf>
    <xf numFmtId="3" fontId="2" fillId="0" borderId="46" xfId="61" applyNumberFormat="1" applyFont="1" applyBorder="1" applyAlignment="1">
      <alignment horizontal="center" wrapText="1"/>
      <protection/>
    </xf>
    <xf numFmtId="3" fontId="4" fillId="0" borderId="46" xfId="61" applyNumberFormat="1" applyFont="1" applyBorder="1" applyAlignment="1">
      <alignment horizontal="left" wrapText="1"/>
      <protection/>
    </xf>
    <xf numFmtId="3" fontId="10" fillId="0" borderId="46" xfId="61" applyNumberFormat="1" applyFont="1" applyBorder="1" applyAlignment="1">
      <alignment horizontal="right" wrapText="1"/>
      <protection/>
    </xf>
    <xf numFmtId="3" fontId="10" fillId="0" borderId="46" xfId="61" applyNumberFormat="1" applyFont="1" applyFill="1" applyBorder="1" applyAlignment="1">
      <alignment horizontal="right" wrapText="1"/>
      <protection/>
    </xf>
    <xf numFmtId="0" fontId="2" fillId="0" borderId="0" xfId="0" applyFont="1" applyFill="1" applyBorder="1" applyAlignment="1">
      <alignment horizontal="left" wrapText="1" indent="1"/>
    </xf>
    <xf numFmtId="0" fontId="4" fillId="0" borderId="0" xfId="0" applyFont="1" applyBorder="1" applyAlignment="1">
      <alignment horizontal="left" wrapText="1"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48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4" fillId="0" borderId="48" xfId="0" applyFont="1" applyBorder="1" applyAlignment="1">
      <alignment vertical="center"/>
    </xf>
    <xf numFmtId="3" fontId="4" fillId="0" borderId="48" xfId="0" applyNumberFormat="1" applyFont="1" applyBorder="1" applyAlignment="1">
      <alignment vertical="center"/>
    </xf>
    <xf numFmtId="3" fontId="4" fillId="0" borderId="48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4" fillId="0" borderId="50" xfId="0" applyFont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vertical="center"/>
    </xf>
    <xf numFmtId="3" fontId="4" fillId="0" borderId="52" xfId="0" applyNumberFormat="1" applyFont="1" applyBorder="1" applyAlignment="1">
      <alignment vertical="center"/>
    </xf>
    <xf numFmtId="3" fontId="4" fillId="0" borderId="52" xfId="0" applyNumberFormat="1" applyFont="1" applyFill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4" fillId="0" borderId="47" xfId="0" applyFont="1" applyBorder="1" applyAlignment="1">
      <alignment horizontal="center" vertical="center"/>
    </xf>
    <xf numFmtId="3" fontId="10" fillId="0" borderId="48" xfId="0" applyNumberFormat="1" applyFont="1" applyBorder="1" applyAlignment="1">
      <alignment vertical="center"/>
    </xf>
    <xf numFmtId="3" fontId="10" fillId="0" borderId="48" xfId="0" applyNumberFormat="1" applyFont="1" applyFill="1" applyBorder="1" applyAlignment="1">
      <alignment vertical="center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 indent="1"/>
    </xf>
    <xf numFmtId="0" fontId="2" fillId="0" borderId="46" xfId="0" applyFont="1" applyBorder="1" applyAlignment="1">
      <alignment horizontal="left" indent="1"/>
    </xf>
    <xf numFmtId="3" fontId="2" fillId="0" borderId="46" xfId="0" applyNumberFormat="1" applyFont="1" applyBorder="1" applyAlignment="1">
      <alignment/>
    </xf>
    <xf numFmtId="3" fontId="2" fillId="0" borderId="46" xfId="0" applyNumberFormat="1" applyFont="1" applyFill="1" applyBorder="1" applyAlignment="1">
      <alignment/>
    </xf>
    <xf numFmtId="0" fontId="2" fillId="0" borderId="0" xfId="0" applyFont="1" applyBorder="1" applyAlignment="1">
      <alignment horizontal="left" vertical="center" wrapText="1" indent="1"/>
    </xf>
    <xf numFmtId="3" fontId="2" fillId="0" borderId="0" xfId="61" applyNumberFormat="1" applyFont="1" applyBorder="1" applyAlignment="1">
      <alignment horizontal="left" vertical="center" indent="1"/>
      <protection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4" fillId="0" borderId="54" xfId="0" applyFont="1" applyBorder="1" applyAlignment="1">
      <alignment vertical="center"/>
    </xf>
    <xf numFmtId="3" fontId="10" fillId="0" borderId="54" xfId="0" applyNumberFormat="1" applyFont="1" applyBorder="1" applyAlignment="1">
      <alignment vertical="center"/>
    </xf>
    <xf numFmtId="3" fontId="10" fillId="0" borderId="54" xfId="0" applyNumberFormat="1" applyFont="1" applyFill="1" applyBorder="1" applyAlignment="1">
      <alignment vertical="center"/>
    </xf>
    <xf numFmtId="3" fontId="2" fillId="33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20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Border="1" applyAlignment="1">
      <alignment horizontal="right" vertical="center"/>
    </xf>
    <xf numFmtId="3" fontId="6" fillId="0" borderId="0" xfId="61" applyNumberFormat="1" applyFont="1" applyFill="1" applyAlignment="1">
      <alignment horizontal="center"/>
      <protection/>
    </xf>
    <xf numFmtId="3" fontId="2" fillId="0" borderId="0" xfId="61" applyNumberFormat="1" applyFont="1" applyFill="1">
      <alignment/>
      <protection/>
    </xf>
    <xf numFmtId="3" fontId="2" fillId="0" borderId="0" xfId="61" applyNumberFormat="1" applyFont="1" applyFill="1" applyAlignment="1">
      <alignment horizontal="right"/>
      <protection/>
    </xf>
    <xf numFmtId="3" fontId="2" fillId="0" borderId="0" xfId="61" applyNumberFormat="1" applyFont="1" applyFill="1" applyAlignment="1">
      <alignment/>
      <protection/>
    </xf>
    <xf numFmtId="3" fontId="6" fillId="0" borderId="0" xfId="61" applyNumberFormat="1" applyFont="1" applyFill="1" applyAlignment="1">
      <alignment horizontal="center" vertical="center"/>
      <protection/>
    </xf>
    <xf numFmtId="3" fontId="2" fillId="0" borderId="0" xfId="61" applyNumberFormat="1" applyFont="1" applyFill="1" applyAlignment="1">
      <alignment vertical="center"/>
      <protection/>
    </xf>
    <xf numFmtId="49" fontId="6" fillId="0" borderId="0" xfId="61" applyNumberFormat="1" applyFont="1" applyFill="1" applyAlignment="1">
      <alignment horizontal="center"/>
      <protection/>
    </xf>
    <xf numFmtId="3" fontId="18" fillId="0" borderId="0" xfId="61" applyNumberFormat="1" applyFont="1" applyFill="1" applyAlignment="1">
      <alignment horizontal="center"/>
      <protection/>
    </xf>
    <xf numFmtId="3" fontId="26" fillId="0" borderId="0" xfId="61" applyNumberFormat="1" applyFont="1" applyFill="1" applyAlignment="1">
      <alignment horizontal="center"/>
      <protection/>
    </xf>
    <xf numFmtId="3" fontId="27" fillId="0" borderId="0" xfId="61" applyNumberFormat="1" applyFont="1" applyFill="1" applyAlignment="1">
      <alignment horizontal="right"/>
      <protection/>
    </xf>
    <xf numFmtId="3" fontId="6" fillId="0" borderId="0" xfId="61" applyNumberFormat="1" applyFont="1" applyFill="1">
      <alignment/>
      <protection/>
    </xf>
    <xf numFmtId="3" fontId="6" fillId="0" borderId="36" xfId="61" applyNumberFormat="1" applyFont="1" applyFill="1" applyBorder="1" applyAlignment="1">
      <alignment horizontal="center"/>
      <protection/>
    </xf>
    <xf numFmtId="49" fontId="6" fillId="0" borderId="41" xfId="61" applyNumberFormat="1" applyFont="1" applyFill="1" applyBorder="1" applyAlignment="1">
      <alignment horizontal="center" vertical="center" textRotation="90"/>
      <protection/>
    </xf>
    <xf numFmtId="3" fontId="6" fillId="0" borderId="42" xfId="61" applyNumberFormat="1" applyFont="1" applyFill="1" applyBorder="1" applyAlignment="1">
      <alignment horizontal="center" vertical="center" textRotation="90"/>
      <protection/>
    </xf>
    <xf numFmtId="3" fontId="6" fillId="0" borderId="42" xfId="61" applyNumberFormat="1" applyFont="1" applyFill="1" applyBorder="1" applyAlignment="1">
      <alignment horizontal="center" vertical="center" wrapText="1"/>
      <protection/>
    </xf>
    <xf numFmtId="3" fontId="20" fillId="0" borderId="42" xfId="61" applyNumberFormat="1" applyFont="1" applyFill="1" applyBorder="1" applyAlignment="1">
      <alignment horizontal="center" vertical="center"/>
      <protection/>
    </xf>
    <xf numFmtId="3" fontId="15" fillId="0" borderId="42" xfId="61" applyNumberFormat="1" applyFont="1" applyFill="1" applyBorder="1" applyAlignment="1">
      <alignment horizontal="center" vertical="center" wrapText="1"/>
      <protection/>
    </xf>
    <xf numFmtId="3" fontId="2" fillId="0" borderId="0" xfId="61" applyNumberFormat="1" applyFont="1" applyFill="1" applyAlignment="1">
      <alignment horizontal="center" vertical="center"/>
      <protection/>
    </xf>
    <xf numFmtId="49" fontId="2" fillId="0" borderId="44" xfId="61" applyNumberFormat="1" applyFont="1" applyFill="1" applyBorder="1" applyAlignment="1">
      <alignment horizontal="center"/>
      <protection/>
    </xf>
    <xf numFmtId="3" fontId="4" fillId="0" borderId="45" xfId="61" applyNumberFormat="1" applyFont="1" applyFill="1" applyBorder="1" applyAlignment="1">
      <alignment horizontal="center"/>
      <protection/>
    </xf>
    <xf numFmtId="3" fontId="2" fillId="0" borderId="45" xfId="61" applyNumberFormat="1" applyFont="1" applyFill="1" applyBorder="1" applyAlignment="1">
      <alignment horizontal="center"/>
      <protection/>
    </xf>
    <xf numFmtId="3" fontId="4" fillId="0" borderId="45" xfId="61" applyNumberFormat="1" applyFont="1" applyFill="1" applyBorder="1" applyAlignment="1">
      <alignment wrapText="1"/>
      <protection/>
    </xf>
    <xf numFmtId="3" fontId="4" fillId="0" borderId="45" xfId="61" applyNumberFormat="1" applyFont="1" applyFill="1" applyBorder="1">
      <alignment/>
      <protection/>
    </xf>
    <xf numFmtId="3" fontId="4" fillId="0" borderId="0" xfId="61" applyNumberFormat="1" applyFont="1" applyFill="1">
      <alignment/>
      <protection/>
    </xf>
    <xf numFmtId="49" fontId="2" fillId="0" borderId="30" xfId="61" applyNumberFormat="1" applyFont="1" applyFill="1" applyBorder="1" applyAlignment="1">
      <alignment horizontal="center"/>
      <protection/>
    </xf>
    <xf numFmtId="3" fontId="2" fillId="0" borderId="0" xfId="61" applyNumberFormat="1" applyFont="1" applyFill="1" applyBorder="1" applyAlignment="1">
      <alignment horizontal="center"/>
      <protection/>
    </xf>
    <xf numFmtId="3" fontId="2" fillId="0" borderId="0" xfId="61" applyNumberFormat="1" applyFont="1" applyFill="1" applyBorder="1">
      <alignment/>
      <protection/>
    </xf>
    <xf numFmtId="3" fontId="2" fillId="0" borderId="0" xfId="61" applyNumberFormat="1" applyFont="1" applyFill="1" applyBorder="1" applyAlignment="1">
      <alignment horizontal="left" indent="2"/>
      <protection/>
    </xf>
    <xf numFmtId="49" fontId="2" fillId="0" borderId="47" xfId="61" applyNumberFormat="1" applyFont="1" applyFill="1" applyBorder="1" applyAlignment="1">
      <alignment horizontal="center"/>
      <protection/>
    </xf>
    <xf numFmtId="3" fontId="4" fillId="0" borderId="48" xfId="61" applyNumberFormat="1" applyFont="1" applyFill="1" applyBorder="1" applyAlignment="1">
      <alignment horizontal="center"/>
      <protection/>
    </xf>
    <xf numFmtId="3" fontId="2" fillId="0" borderId="48" xfId="61" applyNumberFormat="1" applyFont="1" applyFill="1" applyBorder="1" applyAlignment="1">
      <alignment horizontal="center"/>
      <protection/>
    </xf>
    <xf numFmtId="3" fontId="4" fillId="0" borderId="48" xfId="61" applyNumberFormat="1" applyFont="1" applyFill="1" applyBorder="1">
      <alignment/>
      <protection/>
    </xf>
    <xf numFmtId="3" fontId="4" fillId="0" borderId="0" xfId="61" applyNumberFormat="1" applyFont="1" applyFill="1" applyBorder="1" applyAlignment="1">
      <alignment horizontal="center"/>
      <protection/>
    </xf>
    <xf numFmtId="3" fontId="4" fillId="0" borderId="0" xfId="61" applyNumberFormat="1" applyFont="1" applyFill="1" applyBorder="1">
      <alignment/>
      <protection/>
    </xf>
    <xf numFmtId="49" fontId="5" fillId="0" borderId="30" xfId="61" applyNumberFormat="1" applyFont="1" applyFill="1" applyBorder="1" applyAlignment="1">
      <alignment horizontal="center"/>
      <protection/>
    </xf>
    <xf numFmtId="3" fontId="5" fillId="0" borderId="0" xfId="61" applyNumberFormat="1" applyFont="1" applyFill="1" applyBorder="1" applyAlignment="1">
      <alignment horizontal="center"/>
      <protection/>
    </xf>
    <xf numFmtId="3" fontId="5" fillId="0" borderId="0" xfId="61" applyNumberFormat="1" applyFont="1" applyFill="1" applyBorder="1" applyAlignment="1">
      <alignment horizontal="left" indent="2"/>
      <protection/>
    </xf>
    <xf numFmtId="3" fontId="5" fillId="0" borderId="0" xfId="61" applyNumberFormat="1" applyFont="1" applyFill="1" applyBorder="1">
      <alignment/>
      <protection/>
    </xf>
    <xf numFmtId="3" fontId="5" fillId="0" borderId="0" xfId="61" applyNumberFormat="1" applyFont="1" applyFill="1">
      <alignment/>
      <protection/>
    </xf>
    <xf numFmtId="3" fontId="2" fillId="0" borderId="0" xfId="61" applyNumberFormat="1" applyFont="1" applyFill="1" applyBorder="1" applyAlignment="1">
      <alignment horizontal="left" indent="3"/>
      <protection/>
    </xf>
    <xf numFmtId="49" fontId="2" fillId="0" borderId="30" xfId="61" applyNumberFormat="1" applyFont="1" applyFill="1" applyBorder="1" applyAlignment="1">
      <alignment horizontal="center" vertical="center"/>
      <protection/>
    </xf>
    <xf numFmtId="3" fontId="4" fillId="0" borderId="0" xfId="61" applyNumberFormat="1" applyFont="1" applyFill="1" applyBorder="1" applyAlignment="1">
      <alignment horizontal="center" vertical="center"/>
      <protection/>
    </xf>
    <xf numFmtId="3" fontId="4" fillId="0" borderId="0" xfId="61" applyNumberFormat="1" applyFont="1" applyFill="1" applyBorder="1" applyAlignment="1">
      <alignment vertical="center"/>
      <protection/>
    </xf>
    <xf numFmtId="3" fontId="2" fillId="0" borderId="0" xfId="61" applyNumberFormat="1" applyFont="1" applyFill="1" applyBorder="1" applyAlignment="1">
      <alignment horizontal="left"/>
      <protection/>
    </xf>
    <xf numFmtId="49" fontId="2" fillId="0" borderId="30" xfId="61" applyNumberFormat="1" applyFont="1" applyFill="1" applyBorder="1" applyAlignment="1">
      <alignment horizontal="center" vertical="top"/>
      <protection/>
    </xf>
    <xf numFmtId="3" fontId="2" fillId="0" borderId="0" xfId="61" applyNumberFormat="1" applyFont="1" applyFill="1" applyBorder="1" applyAlignment="1">
      <alignment horizontal="center" vertical="top"/>
      <protection/>
    </xf>
    <xf numFmtId="3" fontId="2" fillId="0" borderId="0" xfId="61" applyNumberFormat="1" applyFont="1" applyFill="1" applyBorder="1" applyAlignment="1">
      <alignment vertical="top" wrapText="1"/>
      <protection/>
    </xf>
    <xf numFmtId="3" fontId="2" fillId="0" borderId="0" xfId="61" applyNumberFormat="1" applyFont="1" applyFill="1" applyBorder="1" applyAlignment="1">
      <alignment vertical="top"/>
      <protection/>
    </xf>
    <xf numFmtId="3" fontId="2" fillId="0" borderId="0" xfId="61" applyNumberFormat="1" applyFont="1" applyFill="1" applyAlignment="1">
      <alignment vertical="top"/>
      <protection/>
    </xf>
    <xf numFmtId="49" fontId="2" fillId="0" borderId="55" xfId="61" applyNumberFormat="1" applyFont="1" applyFill="1" applyBorder="1" applyAlignment="1">
      <alignment horizontal="center" vertical="center"/>
      <protection/>
    </xf>
    <xf numFmtId="3" fontId="4" fillId="0" borderId="56" xfId="61" applyNumberFormat="1" applyFont="1" applyFill="1" applyBorder="1" applyAlignment="1">
      <alignment horizontal="center" vertical="center"/>
      <protection/>
    </xf>
    <xf numFmtId="3" fontId="2" fillId="0" borderId="56" xfId="61" applyNumberFormat="1" applyFont="1" applyFill="1" applyBorder="1" applyAlignment="1">
      <alignment horizontal="center" vertical="center"/>
      <protection/>
    </xf>
    <xf numFmtId="3" fontId="4" fillId="0" borderId="56" xfId="61" applyNumberFormat="1" applyFont="1" applyFill="1" applyBorder="1" applyAlignment="1">
      <alignment vertical="center"/>
      <protection/>
    </xf>
    <xf numFmtId="3" fontId="2" fillId="0" borderId="0" xfId="61" applyNumberFormat="1" applyFont="1" applyFill="1" applyBorder="1" applyAlignment="1">
      <alignment/>
      <protection/>
    </xf>
    <xf numFmtId="3" fontId="2" fillId="0" borderId="0" xfId="61" applyNumberFormat="1" applyFont="1" applyFill="1" applyBorder="1" applyAlignment="1">
      <alignment horizontal="left" indent="1"/>
      <protection/>
    </xf>
    <xf numFmtId="3" fontId="2" fillId="0" borderId="0" xfId="61" applyNumberFormat="1" applyFont="1" applyFill="1" applyBorder="1" applyAlignment="1">
      <alignment horizontal="left" vertical="top" indent="1"/>
      <protection/>
    </xf>
    <xf numFmtId="0" fontId="4" fillId="0" borderId="57" xfId="0" applyFont="1" applyBorder="1" applyAlignment="1">
      <alignment/>
    </xf>
    <xf numFmtId="3" fontId="4" fillId="0" borderId="57" xfId="0" applyNumberFormat="1" applyFont="1" applyBorder="1" applyAlignment="1">
      <alignment/>
    </xf>
    <xf numFmtId="3" fontId="4" fillId="0" borderId="57" xfId="0" applyNumberFormat="1" applyFont="1" applyFill="1" applyBorder="1" applyAlignment="1">
      <alignment/>
    </xf>
    <xf numFmtId="49" fontId="2" fillId="0" borderId="0" xfId="61" applyNumberFormat="1" applyFont="1" applyFill="1" applyBorder="1" applyAlignment="1">
      <alignment horizontal="center"/>
      <protection/>
    </xf>
    <xf numFmtId="49" fontId="2" fillId="0" borderId="0" xfId="61" applyNumberFormat="1" applyFont="1" applyFill="1" applyAlignment="1">
      <alignment horizontal="center"/>
      <protection/>
    </xf>
    <xf numFmtId="3" fontId="4" fillId="0" borderId="0" xfId="61" applyNumberFormat="1" applyFont="1" applyFill="1" applyAlignment="1">
      <alignment horizontal="center"/>
      <protection/>
    </xf>
    <xf numFmtId="3" fontId="2" fillId="0" borderId="0" xfId="61" applyNumberFormat="1" applyFont="1" applyFill="1" applyAlignment="1">
      <alignment horizontal="center"/>
      <protection/>
    </xf>
    <xf numFmtId="0" fontId="15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/>
    </xf>
    <xf numFmtId="165" fontId="15" fillId="0" borderId="0" xfId="0" applyNumberFormat="1" applyFont="1" applyBorder="1" applyAlignment="1">
      <alignment vertical="center"/>
    </xf>
    <xf numFmtId="165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30" xfId="0" applyFont="1" applyBorder="1" applyAlignment="1">
      <alignment horizontal="center" vertical="top"/>
    </xf>
    <xf numFmtId="0" fontId="15" fillId="0" borderId="58" xfId="0" applyFont="1" applyBorder="1" applyAlignment="1">
      <alignment horizontal="center"/>
    </xf>
    <xf numFmtId="0" fontId="15" fillId="0" borderId="0" xfId="0" applyFont="1" applyBorder="1" applyAlignment="1">
      <alignment wrapText="1"/>
    </xf>
    <xf numFmtId="0" fontId="15" fillId="0" borderId="0" xfId="0" applyFont="1" applyFill="1" applyBorder="1" applyAlignment="1">
      <alignment/>
    </xf>
    <xf numFmtId="0" fontId="15" fillId="0" borderId="58" xfId="0" applyFont="1" applyBorder="1" applyAlignment="1">
      <alignment horizontal="center" vertical="top"/>
    </xf>
    <xf numFmtId="0" fontId="15" fillId="0" borderId="0" xfId="0" applyFont="1" applyFill="1" applyBorder="1" applyAlignment="1">
      <alignment vertical="top"/>
    </xf>
    <xf numFmtId="3" fontId="15" fillId="0" borderId="59" xfId="0" applyNumberFormat="1" applyFont="1" applyBorder="1" applyAlignment="1">
      <alignment/>
    </xf>
    <xf numFmtId="0" fontId="20" fillId="0" borderId="47" xfId="0" applyFont="1" applyBorder="1" applyAlignment="1">
      <alignment horizontal="right" vertical="center"/>
    </xf>
    <xf numFmtId="0" fontId="20" fillId="0" borderId="48" xfId="0" applyFont="1" applyFill="1" applyBorder="1" applyAlignment="1">
      <alignment horizontal="left" vertical="center"/>
    </xf>
    <xf numFmtId="3" fontId="20" fillId="0" borderId="60" xfId="0" applyNumberFormat="1" applyFont="1" applyBorder="1" applyAlignment="1">
      <alignment vertical="center"/>
    </xf>
    <xf numFmtId="3" fontId="20" fillId="0" borderId="61" xfId="0" applyNumberFormat="1" applyFont="1" applyBorder="1" applyAlignment="1">
      <alignment horizontal="center" vertical="center"/>
    </xf>
    <xf numFmtId="3" fontId="20" fillId="0" borderId="62" xfId="0" applyNumberFormat="1" applyFont="1" applyBorder="1" applyAlignment="1">
      <alignment horizontal="right" vertical="center"/>
    </xf>
    <xf numFmtId="0" fontId="20" fillId="0" borderId="30" xfId="0" applyFont="1" applyBorder="1" applyAlignment="1">
      <alignment horizontal="left"/>
    </xf>
    <xf numFmtId="0" fontId="20" fillId="0" borderId="0" xfId="0" applyFont="1" applyBorder="1" applyAlignment="1">
      <alignment horizontal="center"/>
    </xf>
    <xf numFmtId="0" fontId="20" fillId="0" borderId="58" xfId="0" applyFont="1" applyBorder="1" applyAlignment="1">
      <alignment horizontal="center"/>
    </xf>
    <xf numFmtId="0" fontId="15" fillId="0" borderId="30" xfId="0" applyFont="1" applyBorder="1" applyAlignment="1">
      <alignment horizontal="center"/>
    </xf>
    <xf numFmtId="0" fontId="15" fillId="0" borderId="0" xfId="0" applyFont="1" applyBorder="1" applyAlignment="1">
      <alignment horizontal="left"/>
    </xf>
    <xf numFmtId="1" fontId="15" fillId="0" borderId="58" xfId="0" applyNumberFormat="1" applyFont="1" applyBorder="1" applyAlignment="1">
      <alignment horizontal="center"/>
    </xf>
    <xf numFmtId="0" fontId="20" fillId="0" borderId="49" xfId="0" applyFont="1" applyBorder="1" applyAlignment="1">
      <alignment horizontal="right" vertical="center"/>
    </xf>
    <xf numFmtId="0" fontId="20" fillId="0" borderId="50" xfId="0" applyFont="1" applyFill="1" applyBorder="1" applyAlignment="1">
      <alignment horizontal="left" vertical="center"/>
    </xf>
    <xf numFmtId="3" fontId="20" fillId="0" borderId="63" xfId="0" applyNumberFormat="1" applyFont="1" applyBorder="1" applyAlignment="1">
      <alignment horizontal="center" vertical="center"/>
    </xf>
    <xf numFmtId="3" fontId="20" fillId="0" borderId="64" xfId="0" applyNumberFormat="1" applyFont="1" applyBorder="1" applyAlignment="1">
      <alignment horizontal="right" vertical="center"/>
    </xf>
    <xf numFmtId="0" fontId="20" fillId="0" borderId="65" xfId="0" applyFont="1" applyBorder="1" applyAlignment="1">
      <alignment vertical="center"/>
    </xf>
    <xf numFmtId="0" fontId="20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vertical="center"/>
    </xf>
    <xf numFmtId="0" fontId="15" fillId="0" borderId="30" xfId="0" applyFont="1" applyBorder="1" applyAlignment="1">
      <alignment horizontal="right" vertical="center"/>
    </xf>
    <xf numFmtId="0" fontId="15" fillId="0" borderId="58" xfId="0" applyFont="1" applyFill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5" fillId="0" borderId="49" xfId="0" applyFont="1" applyBorder="1" applyAlignment="1">
      <alignment horizontal="center" vertical="center"/>
    </xf>
    <xf numFmtId="0" fontId="20" fillId="0" borderId="50" xfId="0" applyFont="1" applyBorder="1" applyAlignment="1">
      <alignment horizontal="center" vertical="center"/>
    </xf>
    <xf numFmtId="0" fontId="15" fillId="0" borderId="63" xfId="0" applyFont="1" applyFill="1" applyBorder="1" applyAlignment="1">
      <alignment horizontal="center" vertical="center"/>
    </xf>
    <xf numFmtId="3" fontId="15" fillId="0" borderId="64" xfId="0" applyNumberFormat="1" applyFont="1" applyBorder="1" applyAlignment="1">
      <alignment vertical="center"/>
    </xf>
    <xf numFmtId="0" fontId="15" fillId="0" borderId="50" xfId="0" applyFont="1" applyBorder="1" applyAlignment="1">
      <alignment vertical="center"/>
    </xf>
    <xf numFmtId="0" fontId="15" fillId="0" borderId="49" xfId="0" applyFont="1" applyBorder="1" applyAlignment="1">
      <alignment horizontal="right" vertical="center"/>
    </xf>
    <xf numFmtId="3" fontId="20" fillId="0" borderId="68" xfId="0" applyNumberFormat="1" applyFont="1" applyBorder="1" applyAlignment="1">
      <alignment vertical="center"/>
    </xf>
    <xf numFmtId="0" fontId="20" fillId="0" borderId="63" xfId="0" applyFont="1" applyBorder="1" applyAlignment="1">
      <alignment horizontal="right" vertical="center"/>
    </xf>
    <xf numFmtId="3" fontId="20" fillId="0" borderId="64" xfId="0" applyNumberFormat="1" applyFont="1" applyBorder="1" applyAlignment="1">
      <alignment vertical="center"/>
    </xf>
    <xf numFmtId="0" fontId="20" fillId="0" borderId="69" xfId="0" applyFont="1" applyBorder="1" applyAlignment="1">
      <alignment horizontal="right" vertical="center"/>
    </xf>
    <xf numFmtId="0" fontId="20" fillId="0" borderId="70" xfId="0" applyFont="1" applyFill="1" applyBorder="1" applyAlignment="1">
      <alignment horizontal="left" vertical="center"/>
    </xf>
    <xf numFmtId="3" fontId="20" fillId="0" borderId="58" xfId="0" applyNumberFormat="1" applyFont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30" xfId="0" applyFont="1" applyBorder="1" applyAlignment="1">
      <alignment horizontal="right" vertical="center"/>
    </xf>
    <xf numFmtId="0" fontId="15" fillId="0" borderId="0" xfId="0" applyFont="1" applyBorder="1" applyAlignment="1">
      <alignment horizontal="left" indent="2"/>
    </xf>
    <xf numFmtId="0" fontId="20" fillId="0" borderId="71" xfId="0" applyFont="1" applyBorder="1" applyAlignment="1">
      <alignment horizontal="right" vertical="center"/>
    </xf>
    <xf numFmtId="0" fontId="20" fillId="0" borderId="46" xfId="0" applyFont="1" applyFill="1" applyBorder="1" applyAlignment="1">
      <alignment horizontal="left" vertical="center"/>
    </xf>
    <xf numFmtId="3" fontId="20" fillId="0" borderId="72" xfId="0" applyNumberFormat="1" applyFont="1" applyBorder="1" applyAlignment="1">
      <alignment horizontal="center" vertical="center"/>
    </xf>
    <xf numFmtId="0" fontId="15" fillId="0" borderId="30" xfId="0" applyFont="1" applyBorder="1" applyAlignment="1">
      <alignment horizontal="right"/>
    </xf>
    <xf numFmtId="166" fontId="15" fillId="0" borderId="73" xfId="77" applyNumberFormat="1" applyFont="1" applyBorder="1" applyAlignment="1">
      <alignment horizontal="center"/>
    </xf>
    <xf numFmtId="0" fontId="15" fillId="0" borderId="58" xfId="0" applyFont="1" applyBorder="1" applyAlignment="1">
      <alignment horizontal="right"/>
    </xf>
    <xf numFmtId="0" fontId="15" fillId="0" borderId="35" xfId="0" applyFont="1" applyBorder="1" applyAlignment="1">
      <alignment horizontal="right"/>
    </xf>
    <xf numFmtId="0" fontId="15" fillId="0" borderId="36" xfId="0" applyFont="1" applyBorder="1" applyAlignment="1">
      <alignment/>
    </xf>
    <xf numFmtId="166" fontId="15" fillId="0" borderId="74" xfId="77" applyNumberFormat="1" applyFont="1" applyBorder="1" applyAlignment="1">
      <alignment horizontal="center"/>
    </xf>
    <xf numFmtId="0" fontId="15" fillId="0" borderId="75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3" fontId="15" fillId="0" borderId="0" xfId="0" applyNumberFormat="1" applyFont="1" applyAlignment="1">
      <alignment horizontal="right"/>
    </xf>
    <xf numFmtId="0" fontId="20" fillId="0" borderId="46" xfId="0" applyFont="1" applyFill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center" vertical="center"/>
    </xf>
    <xf numFmtId="0" fontId="20" fillId="0" borderId="76" xfId="0" applyFont="1" applyFill="1" applyBorder="1" applyAlignment="1">
      <alignment horizontal="left" vertical="center"/>
    </xf>
    <xf numFmtId="3" fontId="6" fillId="0" borderId="0" xfId="61" applyNumberFormat="1" applyFont="1" applyFill="1" applyAlignment="1">
      <alignment horizontal="center" vertical="top"/>
      <protection/>
    </xf>
    <xf numFmtId="3" fontId="6" fillId="0" borderId="0" xfId="0" applyNumberFormat="1" applyFont="1" applyAlignment="1">
      <alignment horizontal="right" vertical="center"/>
    </xf>
    <xf numFmtId="3" fontId="6" fillId="0" borderId="0" xfId="0" applyNumberFormat="1" applyFont="1" applyFill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15" fillId="0" borderId="0" xfId="0" applyNumberFormat="1" applyFont="1" applyAlignment="1">
      <alignment horizontal="right" vertical="center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right"/>
    </xf>
    <xf numFmtId="3" fontId="20" fillId="0" borderId="0" xfId="0" applyNumberFormat="1" applyFont="1" applyAlignment="1">
      <alignment horizontal="right"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20" fillId="0" borderId="58" xfId="0" applyNumberFormat="1" applyFont="1" applyBorder="1" applyAlignment="1">
      <alignment horizontal="right" vertical="center"/>
    </xf>
    <xf numFmtId="3" fontId="15" fillId="0" borderId="0" xfId="0" applyNumberFormat="1" applyFont="1" applyFill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3" fontId="15" fillId="0" borderId="31" xfId="0" applyNumberFormat="1" applyFont="1" applyBorder="1" applyAlignment="1">
      <alignment horizontal="right"/>
    </xf>
    <xf numFmtId="3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15" fillId="0" borderId="31" xfId="0" applyNumberFormat="1" applyFont="1" applyBorder="1" applyAlignment="1">
      <alignment horizontal="right" vertical="center"/>
    </xf>
    <xf numFmtId="3" fontId="15" fillId="0" borderId="0" xfId="66" applyNumberFormat="1" applyFont="1" applyFill="1" applyBorder="1" applyAlignment="1">
      <alignment horizontal="right" vertical="center" wrapText="1" indent="1"/>
      <protection/>
    </xf>
    <xf numFmtId="3" fontId="6" fillId="0" borderId="0" xfId="0" applyNumberFormat="1" applyFont="1" applyBorder="1" applyAlignment="1">
      <alignment horizontal="right" vertical="top"/>
    </xf>
    <xf numFmtId="3" fontId="6" fillId="0" borderId="0" xfId="0" applyNumberFormat="1" applyFont="1" applyFill="1" applyBorder="1" applyAlignment="1">
      <alignment horizontal="right" vertical="top"/>
    </xf>
    <xf numFmtId="3" fontId="15" fillId="0" borderId="0" xfId="0" applyNumberFormat="1" applyFont="1" applyBorder="1" applyAlignment="1">
      <alignment horizontal="right" vertical="top"/>
    </xf>
    <xf numFmtId="3" fontId="15" fillId="0" borderId="31" xfId="0" applyNumberFormat="1" applyFont="1" applyBorder="1" applyAlignment="1">
      <alignment horizontal="right" vertical="top"/>
    </xf>
    <xf numFmtId="3" fontId="15" fillId="0" borderId="0" xfId="0" applyNumberFormat="1" applyFont="1" applyAlignment="1">
      <alignment horizontal="right" vertical="top"/>
    </xf>
    <xf numFmtId="3" fontId="19" fillId="0" borderId="0" xfId="0" applyNumberFormat="1" applyFont="1" applyAlignment="1">
      <alignment horizontal="right" vertical="center"/>
    </xf>
    <xf numFmtId="3" fontId="24" fillId="0" borderId="0" xfId="0" applyNumberFormat="1" applyFont="1" applyFill="1" applyBorder="1" applyAlignment="1">
      <alignment horizontal="right" vertical="center"/>
    </xf>
    <xf numFmtId="3" fontId="23" fillId="0" borderId="77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 vertical="center"/>
    </xf>
    <xf numFmtId="3" fontId="19" fillId="0" borderId="31" xfId="0" applyNumberFormat="1" applyFont="1" applyBorder="1" applyAlignment="1">
      <alignment horizontal="right" vertical="center"/>
    </xf>
    <xf numFmtId="3" fontId="19" fillId="0" borderId="0" xfId="0" applyNumberFormat="1" applyFont="1" applyBorder="1" applyAlignment="1">
      <alignment horizontal="right"/>
    </xf>
    <xf numFmtId="3" fontId="19" fillId="0" borderId="31" xfId="0" applyNumberFormat="1" applyFont="1" applyBorder="1" applyAlignment="1">
      <alignment horizontal="right"/>
    </xf>
    <xf numFmtId="3" fontId="6" fillId="0" borderId="78" xfId="0" applyNumberFormat="1" applyFont="1" applyFill="1" applyBorder="1" applyAlignment="1">
      <alignment horizontal="right" vertical="center"/>
    </xf>
    <xf numFmtId="3" fontId="18" fillId="0" borderId="0" xfId="0" applyNumberFormat="1" applyFont="1" applyFill="1" applyBorder="1" applyAlignment="1">
      <alignment horizontal="right" vertical="center"/>
    </xf>
    <xf numFmtId="3" fontId="20" fillId="0" borderId="31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Alignment="1">
      <alignment horizontal="right" vertical="center"/>
    </xf>
    <xf numFmtId="3" fontId="18" fillId="0" borderId="40" xfId="0" applyNumberFormat="1" applyFont="1" applyBorder="1" applyAlignment="1">
      <alignment horizontal="right" vertical="center"/>
    </xf>
    <xf numFmtId="3" fontId="18" fillId="0" borderId="40" xfId="0" applyNumberFormat="1" applyFont="1" applyFill="1" applyBorder="1" applyAlignment="1">
      <alignment horizontal="right" vertical="center"/>
    </xf>
    <xf numFmtId="3" fontId="20" fillId="0" borderId="79" xfId="0" applyNumberFormat="1" applyFont="1" applyBorder="1" applyAlignment="1">
      <alignment horizontal="right" vertical="center"/>
    </xf>
    <xf numFmtId="3" fontId="20" fillId="0" borderId="31" xfId="0" applyNumberFormat="1" applyFont="1" applyBorder="1" applyAlignment="1">
      <alignment horizontal="right" vertical="center"/>
    </xf>
    <xf numFmtId="3" fontId="20" fillId="0" borderId="40" xfId="0" applyNumberFormat="1" applyFont="1" applyBorder="1" applyAlignment="1">
      <alignment horizontal="right" vertical="center"/>
    </xf>
    <xf numFmtId="3" fontId="20" fillId="0" borderId="80" xfId="0" applyNumberFormat="1" applyFont="1" applyBorder="1" applyAlignment="1">
      <alignment horizontal="right" vertical="center"/>
    </xf>
    <xf numFmtId="3" fontId="18" fillId="0" borderId="0" xfId="0" applyNumberFormat="1" applyFont="1" applyAlignment="1">
      <alignment horizontal="right"/>
    </xf>
    <xf numFmtId="3" fontId="6" fillId="0" borderId="0" xfId="0" applyNumberFormat="1" applyFont="1" applyFill="1" applyAlignment="1">
      <alignment horizontal="center" vertical="top"/>
    </xf>
    <xf numFmtId="3" fontId="6" fillId="0" borderId="0" xfId="0" applyNumberFormat="1" applyFont="1" applyFill="1" applyAlignment="1">
      <alignment horizontal="center"/>
    </xf>
    <xf numFmtId="3" fontId="6" fillId="0" borderId="0" xfId="62" applyNumberFormat="1" applyFont="1" applyFill="1" applyBorder="1" applyAlignment="1">
      <alignment horizontal="center" vertical="center"/>
      <protection/>
    </xf>
    <xf numFmtId="3" fontId="6" fillId="0" borderId="0" xfId="62" applyNumberFormat="1" applyFont="1" applyFill="1" applyAlignment="1">
      <alignment horizontal="center" vertical="center"/>
      <protection/>
    </xf>
    <xf numFmtId="3" fontId="6" fillId="0" borderId="0" xfId="62" applyNumberFormat="1" applyFont="1" applyFill="1" applyBorder="1" applyAlignment="1">
      <alignment horizontal="center" vertical="center" wrapText="1"/>
      <protection/>
    </xf>
    <xf numFmtId="3" fontId="15" fillId="0" borderId="0" xfId="62" applyNumberFormat="1" applyFont="1" applyFill="1" applyAlignment="1">
      <alignment/>
      <protection/>
    </xf>
    <xf numFmtId="3" fontId="15" fillId="0" borderId="10" xfId="0" applyNumberFormat="1" applyFont="1" applyFill="1" applyBorder="1" applyAlignment="1">
      <alignment horizontal="center" wrapText="1"/>
    </xf>
    <xf numFmtId="3" fontId="15" fillId="0" borderId="11" xfId="0" applyNumberFormat="1" applyFont="1" applyFill="1" applyBorder="1" applyAlignment="1">
      <alignment horizontal="center" wrapText="1"/>
    </xf>
    <xf numFmtId="3" fontId="19" fillId="0" borderId="11" xfId="0" applyNumberFormat="1" applyFont="1" applyFill="1" applyBorder="1" applyAlignment="1">
      <alignment wrapText="1"/>
    </xf>
    <xf numFmtId="3" fontId="15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3" fontId="15" fillId="0" borderId="23" xfId="0" applyNumberFormat="1" applyFont="1" applyFill="1" applyBorder="1" applyAlignment="1">
      <alignment horizontal="right"/>
    </xf>
    <xf numFmtId="3" fontId="15" fillId="0" borderId="81" xfId="0" applyNumberFormat="1" applyFont="1" applyFill="1" applyBorder="1" applyAlignment="1">
      <alignment horizontal="center" wrapText="1"/>
    </xf>
    <xf numFmtId="3" fontId="15" fillId="0" borderId="82" xfId="0" applyNumberFormat="1" applyFont="1" applyFill="1" applyBorder="1" applyAlignment="1">
      <alignment horizontal="center" wrapText="1"/>
    </xf>
    <xf numFmtId="3" fontId="15" fillId="0" borderId="82" xfId="0" applyNumberFormat="1" applyFont="1" applyFill="1" applyBorder="1" applyAlignment="1">
      <alignment/>
    </xf>
    <xf numFmtId="3" fontId="2" fillId="0" borderId="83" xfId="62" applyNumberFormat="1" applyFont="1" applyFill="1" applyBorder="1" applyAlignment="1">
      <alignment horizontal="center" vertical="center" textRotation="90"/>
      <protection/>
    </xf>
    <xf numFmtId="0" fontId="13" fillId="0" borderId="84" xfId="69" applyFont="1" applyFill="1" applyBorder="1" applyAlignment="1">
      <alignment horizontal="left" wrapText="1"/>
      <protection/>
    </xf>
    <xf numFmtId="0" fontId="2" fillId="0" borderId="84" xfId="69" applyFont="1" applyFill="1" applyBorder="1" applyAlignment="1">
      <alignment horizontal="center"/>
      <protection/>
    </xf>
    <xf numFmtId="0" fontId="2" fillId="0" borderId="3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/>
    </xf>
    <xf numFmtId="4" fontId="6" fillId="0" borderId="3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30" xfId="0" applyFont="1" applyFill="1" applyBorder="1" applyAlignment="1">
      <alignment horizontal="center" vertical="top"/>
    </xf>
    <xf numFmtId="4" fontId="2" fillId="0" borderId="0" xfId="0" applyNumberFormat="1" applyFont="1" applyFill="1" applyBorder="1" applyAlignment="1">
      <alignment vertical="top"/>
    </xf>
    <xf numFmtId="4" fontId="6" fillId="0" borderId="31" xfId="0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vertical="top"/>
    </xf>
    <xf numFmtId="164" fontId="5" fillId="0" borderId="0" xfId="0" applyNumberFormat="1" applyFont="1" applyFill="1" applyBorder="1" applyAlignment="1">
      <alignment horizontal="left" vertical="top" wrapText="1" indent="2"/>
    </xf>
    <xf numFmtId="4" fontId="6" fillId="0" borderId="31" xfId="0" applyNumberFormat="1" applyFont="1" applyFill="1" applyBorder="1" applyAlignment="1">
      <alignment horizontal="center" vertical="top" wrapText="1"/>
    </xf>
    <xf numFmtId="0" fontId="2" fillId="0" borderId="55" xfId="0" applyFont="1" applyFill="1" applyBorder="1" applyAlignment="1">
      <alignment horizontal="center" vertical="center"/>
    </xf>
    <xf numFmtId="164" fontId="4" fillId="0" borderId="56" xfId="0" applyNumberFormat="1" applyFont="1" applyFill="1" applyBorder="1" applyAlignment="1">
      <alignment vertical="center" wrapText="1"/>
    </xf>
    <xf numFmtId="4" fontId="4" fillId="0" borderId="56" xfId="0" applyNumberFormat="1" applyFont="1" applyFill="1" applyBorder="1" applyAlignment="1">
      <alignment vertical="center"/>
    </xf>
    <xf numFmtId="4" fontId="18" fillId="0" borderId="85" xfId="0" applyNumberFormat="1" applyFont="1" applyFill="1" applyBorder="1" applyAlignment="1">
      <alignment horizontal="center" vertical="center"/>
    </xf>
    <xf numFmtId="164" fontId="5" fillId="0" borderId="36" xfId="0" applyNumberFormat="1" applyFont="1" applyFill="1" applyBorder="1" applyAlignment="1">
      <alignment horizontal="left" vertical="center" wrapText="1" indent="3"/>
    </xf>
    <xf numFmtId="0" fontId="6" fillId="0" borderId="0" xfId="67" applyFont="1" applyFill="1" applyBorder="1" applyAlignment="1">
      <alignment horizontal="center" vertical="top"/>
      <protection/>
    </xf>
    <xf numFmtId="0" fontId="6" fillId="0" borderId="0" xfId="67" applyFont="1" applyFill="1" applyBorder="1" applyAlignment="1">
      <alignment horizontal="center"/>
      <protection/>
    </xf>
    <xf numFmtId="0" fontId="2" fillId="0" borderId="86" xfId="67" applyFont="1" applyFill="1" applyBorder="1" applyAlignment="1">
      <alignment horizontal="center"/>
      <protection/>
    </xf>
    <xf numFmtId="0" fontId="2" fillId="0" borderId="83" xfId="67" applyFont="1" applyFill="1" applyBorder="1" applyAlignment="1">
      <alignment horizontal="center" vertical="top"/>
      <protection/>
    </xf>
    <xf numFmtId="0" fontId="13" fillId="0" borderId="83" xfId="67" applyFont="1" applyFill="1" applyBorder="1" applyAlignment="1">
      <alignment wrapText="1"/>
      <protection/>
    </xf>
    <xf numFmtId="0" fontId="2" fillId="0" borderId="83" xfId="67" applyFont="1" applyFill="1" applyBorder="1" applyAlignment="1">
      <alignment horizontal="center" wrapText="1"/>
      <protection/>
    </xf>
    <xf numFmtId="3" fontId="2" fillId="0" borderId="83" xfId="67" applyNumberFormat="1" applyFont="1" applyFill="1" applyBorder="1">
      <alignment/>
      <protection/>
    </xf>
    <xf numFmtId="0" fontId="4" fillId="0" borderId="10" xfId="67" applyFont="1" applyFill="1" applyBorder="1" applyAlignment="1">
      <alignment horizontal="center" vertical="center"/>
      <protection/>
    </xf>
    <xf numFmtId="0" fontId="4" fillId="0" borderId="11" xfId="67" applyFont="1" applyFill="1" applyBorder="1" applyAlignment="1">
      <alignment wrapText="1"/>
      <protection/>
    </xf>
    <xf numFmtId="0" fontId="2" fillId="0" borderId="87" xfId="67" applyFont="1" applyFill="1" applyBorder="1" applyAlignment="1">
      <alignment horizontal="center"/>
      <protection/>
    </xf>
    <xf numFmtId="0" fontId="2" fillId="0" borderId="88" xfId="67" applyFont="1" applyFill="1" applyBorder="1" applyAlignment="1">
      <alignment horizontal="center" vertical="top"/>
      <protection/>
    </xf>
    <xf numFmtId="0" fontId="2" fillId="0" borderId="88" xfId="63" applyFont="1" applyFill="1" applyBorder="1" applyAlignment="1">
      <alignment horizontal="left" wrapText="1" indent="1"/>
      <protection/>
    </xf>
    <xf numFmtId="0" fontId="15" fillId="0" borderId="88" xfId="67" applyFont="1" applyFill="1" applyBorder="1" applyAlignment="1">
      <alignment horizontal="center" wrapText="1"/>
      <protection/>
    </xf>
    <xf numFmtId="0" fontId="4" fillId="0" borderId="86" xfId="67" applyFont="1" applyFill="1" applyBorder="1" applyAlignment="1">
      <alignment horizontal="center" vertical="center"/>
      <protection/>
    </xf>
    <xf numFmtId="0" fontId="4" fillId="0" borderId="83" xfId="67" applyFont="1" applyFill="1" applyBorder="1" applyAlignment="1">
      <alignment horizontal="center" vertical="top"/>
      <protection/>
    </xf>
    <xf numFmtId="0" fontId="4" fillId="0" borderId="83" xfId="68" applyFont="1" applyFill="1" applyBorder="1" applyAlignment="1">
      <alignment horizontal="left" vertical="center"/>
      <protection/>
    </xf>
    <xf numFmtId="0" fontId="4" fillId="0" borderId="83" xfId="67" applyFont="1" applyFill="1" applyBorder="1" applyAlignment="1">
      <alignment horizontal="center" vertical="center" wrapText="1"/>
      <protection/>
    </xf>
    <xf numFmtId="3" fontId="4" fillId="0" borderId="83" xfId="67" applyNumberFormat="1" applyFont="1" applyFill="1" applyBorder="1" applyAlignment="1">
      <alignment vertical="center"/>
      <protection/>
    </xf>
    <xf numFmtId="0" fontId="4" fillId="0" borderId="12" xfId="67" applyFont="1" applyFill="1" applyBorder="1" applyAlignment="1">
      <alignment horizontal="center" vertical="center" wrapText="1"/>
      <protection/>
    </xf>
    <xf numFmtId="0" fontId="4" fillId="0" borderId="89" xfId="67" applyFont="1" applyFill="1" applyBorder="1" applyAlignment="1">
      <alignment horizontal="center" vertical="center" wrapText="1"/>
      <protection/>
    </xf>
    <xf numFmtId="3" fontId="4" fillId="0" borderId="89" xfId="67" applyNumberFormat="1" applyFont="1" applyFill="1" applyBorder="1" applyAlignment="1">
      <alignment vertical="center"/>
      <protection/>
    </xf>
    <xf numFmtId="3" fontId="4" fillId="0" borderId="90" xfId="62" applyNumberFormat="1" applyFont="1" applyFill="1" applyBorder="1" applyAlignment="1">
      <alignment horizontal="right"/>
      <protection/>
    </xf>
    <xf numFmtId="0" fontId="6" fillId="0" borderId="0" xfId="0" applyFont="1" applyAlignment="1">
      <alignment horizontal="center"/>
    </xf>
    <xf numFmtId="3" fontId="6" fillId="0" borderId="0" xfId="61" applyNumberFormat="1" applyFont="1" applyAlignment="1">
      <alignment horizontal="center"/>
      <protection/>
    </xf>
    <xf numFmtId="3" fontId="6" fillId="0" borderId="0" xfId="61" applyNumberFormat="1" applyFont="1" applyAlignment="1">
      <alignment horizontal="center" vertical="center"/>
      <protection/>
    </xf>
    <xf numFmtId="3" fontId="6" fillId="0" borderId="0" xfId="61" applyNumberFormat="1" applyFont="1" applyAlignment="1">
      <alignment horizontal="center" vertical="top"/>
      <protection/>
    </xf>
    <xf numFmtId="0" fontId="6" fillId="0" borderId="36" xfId="0" applyFont="1" applyBorder="1" applyAlignment="1">
      <alignment horizontal="center"/>
    </xf>
    <xf numFmtId="3" fontId="6" fillId="0" borderId="36" xfId="0" applyNumberFormat="1" applyFont="1" applyBorder="1" applyAlignment="1">
      <alignment horizontal="center"/>
    </xf>
    <xf numFmtId="3" fontId="6" fillId="0" borderId="36" xfId="0" applyNumberFormat="1" applyFont="1" applyFill="1" applyBorder="1" applyAlignment="1">
      <alignment horizontal="center"/>
    </xf>
    <xf numFmtId="0" fontId="6" fillId="0" borderId="0" xfId="0" applyFont="1" applyAlignment="1">
      <alignment/>
    </xf>
    <xf numFmtId="3" fontId="6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1" xfId="67" applyFont="1" applyFill="1" applyBorder="1" applyAlignment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 vertical="top"/>
    </xf>
    <xf numFmtId="0" fontId="18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6" fillId="0" borderId="0" xfId="67" applyFont="1" applyFill="1" applyBorder="1" applyAlignment="1">
      <alignment horizontal="center" wrapText="1"/>
      <protection/>
    </xf>
    <xf numFmtId="3" fontId="6" fillId="0" borderId="0" xfId="67" applyNumberFormat="1" applyFont="1" applyFill="1" applyBorder="1" applyAlignment="1">
      <alignment horizontal="center"/>
      <protection/>
    </xf>
    <xf numFmtId="0" fontId="2" fillId="0" borderId="11" xfId="67" applyFont="1" applyFill="1" applyBorder="1" applyAlignment="1">
      <alignment horizontal="center" vertical="center"/>
      <protection/>
    </xf>
    <xf numFmtId="0" fontId="15" fillId="0" borderId="11" xfId="63" applyFont="1" applyFill="1" applyBorder="1" applyAlignment="1">
      <alignment horizontal="center" vertical="center" wrapText="1"/>
      <protection/>
    </xf>
    <xf numFmtId="0" fontId="2" fillId="0" borderId="11" xfId="63" applyFont="1" applyFill="1" applyBorder="1" applyAlignment="1">
      <alignment horizontal="left" vertical="center" wrapText="1" indent="1"/>
      <protection/>
    </xf>
    <xf numFmtId="0" fontId="2" fillId="0" borderId="11" xfId="69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horizontal="center" vertical="center"/>
      <protection/>
    </xf>
    <xf numFmtId="0" fontId="2" fillId="0" borderId="0" xfId="69" applyFont="1" applyFill="1" applyBorder="1" applyAlignment="1">
      <alignment horizontal="center" vertical="center" wrapText="1"/>
      <protection/>
    </xf>
    <xf numFmtId="3" fontId="6" fillId="0" borderId="0" xfId="69" applyNumberFormat="1" applyFont="1" applyFill="1" applyBorder="1" applyAlignment="1">
      <alignment horizontal="center" vertical="center"/>
      <protection/>
    </xf>
    <xf numFmtId="3" fontId="2" fillId="0" borderId="86" xfId="62" applyNumberFormat="1" applyFont="1" applyFill="1" applyBorder="1" applyAlignment="1">
      <alignment horizontal="center" vertical="center"/>
      <protection/>
    </xf>
    <xf numFmtId="3" fontId="12" fillId="0" borderId="0" xfId="60" applyNumberFormat="1" applyFont="1" applyFill="1" applyBorder="1" applyAlignment="1">
      <alignment horizontal="center" vertical="center"/>
      <protection/>
    </xf>
    <xf numFmtId="3" fontId="12" fillId="0" borderId="0" xfId="60" applyNumberFormat="1" applyFont="1" applyFill="1" applyBorder="1" applyAlignment="1">
      <alignment vertical="center"/>
      <protection/>
    </xf>
    <xf numFmtId="0" fontId="12" fillId="0" borderId="0" xfId="69" applyFont="1" applyFill="1" applyBorder="1" applyAlignment="1">
      <alignment horizontal="center" vertical="center" wrapText="1"/>
      <protection/>
    </xf>
    <xf numFmtId="0" fontId="2" fillId="0" borderId="0" xfId="69" applyFont="1" applyFill="1" applyBorder="1" applyAlignment="1">
      <alignment vertical="center"/>
      <protection/>
    </xf>
    <xf numFmtId="3" fontId="2" fillId="0" borderId="0" xfId="69" applyNumberFormat="1" applyFont="1" applyFill="1" applyBorder="1" applyAlignment="1">
      <alignment vertical="center"/>
      <protection/>
    </xf>
    <xf numFmtId="0" fontId="12" fillId="0" borderId="0" xfId="69" applyFont="1" applyFill="1" applyBorder="1" applyAlignment="1">
      <alignment horizontal="center"/>
      <protection/>
    </xf>
    <xf numFmtId="0" fontId="2" fillId="0" borderId="0" xfId="0" applyFont="1" applyBorder="1" applyAlignment="1">
      <alignment wrapText="1"/>
    </xf>
    <xf numFmtId="3" fontId="4" fillId="0" borderId="0" xfId="62" applyNumberFormat="1" applyFont="1" applyFill="1" applyAlignment="1">
      <alignment horizontal="center" vertical="center"/>
      <protection/>
    </xf>
    <xf numFmtId="3" fontId="9" fillId="0" borderId="91" xfId="61" applyNumberFormat="1" applyFont="1" applyFill="1" applyBorder="1" applyAlignment="1">
      <alignment horizontal="center" vertical="center" wrapText="1"/>
      <protection/>
    </xf>
    <xf numFmtId="3" fontId="28" fillId="0" borderId="42" xfId="61" applyNumberFormat="1" applyFont="1" applyFill="1" applyBorder="1" applyAlignment="1">
      <alignment horizontal="center" vertical="center" wrapText="1"/>
      <protection/>
    </xf>
    <xf numFmtId="3" fontId="10" fillId="0" borderId="92" xfId="61" applyNumberFormat="1" applyFont="1" applyFill="1" applyBorder="1" applyAlignment="1">
      <alignment horizontal="center" vertical="center" wrapText="1"/>
      <protection/>
    </xf>
    <xf numFmtId="3" fontId="10" fillId="0" borderId="93" xfId="61" applyNumberFormat="1" applyFont="1" applyBorder="1" applyAlignment="1">
      <alignment horizontal="right" wrapText="1"/>
      <protection/>
    </xf>
    <xf numFmtId="3" fontId="4" fillId="0" borderId="58" xfId="61" applyNumberFormat="1" applyFont="1" applyBorder="1" applyAlignment="1">
      <alignment horizontal="right" wrapText="1"/>
      <protection/>
    </xf>
    <xf numFmtId="3" fontId="4" fillId="0" borderId="58" xfId="0" applyNumberFormat="1" applyFont="1" applyBorder="1" applyAlignment="1">
      <alignment/>
    </xf>
    <xf numFmtId="3" fontId="2" fillId="0" borderId="58" xfId="0" applyNumberFormat="1" applyFont="1" applyFill="1" applyBorder="1" applyAlignment="1">
      <alignment/>
    </xf>
    <xf numFmtId="3" fontId="4" fillId="0" borderId="58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10" fillId="0" borderId="58" xfId="0" applyNumberFormat="1" applyFont="1" applyFill="1" applyBorder="1" applyAlignment="1">
      <alignment/>
    </xf>
    <xf numFmtId="3" fontId="10" fillId="0" borderId="58" xfId="0" applyNumberFormat="1" applyFont="1" applyBorder="1" applyAlignment="1">
      <alignment/>
    </xf>
    <xf numFmtId="3" fontId="10" fillId="0" borderId="72" xfId="0" applyNumberFormat="1" applyFont="1" applyFill="1" applyBorder="1" applyAlignment="1">
      <alignment/>
    </xf>
    <xf numFmtId="3" fontId="10" fillId="0" borderId="72" xfId="61" applyNumberFormat="1" applyFont="1" applyBorder="1" applyAlignment="1">
      <alignment horizontal="right" wrapText="1"/>
      <protection/>
    </xf>
    <xf numFmtId="3" fontId="10" fillId="0" borderId="58" xfId="0" applyNumberFormat="1" applyFont="1" applyFill="1" applyBorder="1" applyAlignment="1">
      <alignment/>
    </xf>
    <xf numFmtId="3" fontId="4" fillId="0" borderId="58" xfId="0" applyNumberFormat="1" applyFont="1" applyBorder="1" applyAlignment="1">
      <alignment/>
    </xf>
    <xf numFmtId="3" fontId="4" fillId="0" borderId="61" xfId="0" applyNumberFormat="1" applyFont="1" applyFill="1" applyBorder="1" applyAlignment="1">
      <alignment vertical="center"/>
    </xf>
    <xf numFmtId="3" fontId="10" fillId="0" borderId="63" xfId="0" applyNumberFormat="1" applyFont="1" applyBorder="1" applyAlignment="1">
      <alignment vertical="center"/>
    </xf>
    <xf numFmtId="3" fontId="4" fillId="0" borderId="94" xfId="0" applyNumberFormat="1" applyFont="1" applyFill="1" applyBorder="1" applyAlignment="1">
      <alignment vertical="center"/>
    </xf>
    <xf numFmtId="3" fontId="10" fillId="0" borderId="58" xfId="0" applyNumberFormat="1" applyFont="1" applyFill="1" applyBorder="1" applyAlignment="1">
      <alignment vertical="center"/>
    </xf>
    <xf numFmtId="3" fontId="10" fillId="0" borderId="6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/>
    </xf>
    <xf numFmtId="3" fontId="10" fillId="0" borderId="95" xfId="0" applyNumberFormat="1" applyFont="1" applyFill="1" applyBorder="1" applyAlignment="1">
      <alignment vertical="center"/>
    </xf>
    <xf numFmtId="0" fontId="4" fillId="0" borderId="4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1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3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center" wrapText="1"/>
    </xf>
    <xf numFmtId="3" fontId="2" fillId="0" borderId="0" xfId="0" applyNumberFormat="1" applyFont="1" applyFill="1" applyAlignment="1">
      <alignment horizontal="center"/>
    </xf>
    <xf numFmtId="0" fontId="4" fillId="0" borderId="55" xfId="0" applyFont="1" applyFill="1" applyBorder="1" applyAlignment="1">
      <alignment vertical="center"/>
    </xf>
    <xf numFmtId="0" fontId="4" fillId="0" borderId="56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center" wrapText="1"/>
    </xf>
    <xf numFmtId="3" fontId="4" fillId="0" borderId="9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12" fillId="0" borderId="0" xfId="0" applyFont="1" applyFill="1" applyAlignment="1">
      <alignment horizontal="center" vertical="top"/>
    </xf>
    <xf numFmtId="3" fontId="2" fillId="0" borderId="0" xfId="61" applyNumberFormat="1" applyFont="1" applyFill="1" applyBorder="1" applyAlignment="1">
      <alignment wrapText="1"/>
      <protection/>
    </xf>
    <xf numFmtId="0" fontId="2" fillId="0" borderId="0" xfId="0" applyFont="1" applyFill="1" applyAlignment="1">
      <alignment vertical="top" wrapText="1"/>
    </xf>
    <xf numFmtId="3" fontId="5" fillId="0" borderId="0" xfId="0" applyNumberFormat="1" applyFont="1" applyFill="1" applyAlignment="1">
      <alignment vertical="top"/>
    </xf>
    <xf numFmtId="3" fontId="2" fillId="0" borderId="0" xfId="66" applyNumberFormat="1" applyFont="1" applyFill="1" applyBorder="1" applyAlignment="1">
      <alignment wrapText="1"/>
      <protection/>
    </xf>
    <xf numFmtId="3" fontId="2" fillId="0" borderId="46" xfId="66" applyNumberFormat="1" applyFont="1" applyFill="1" applyBorder="1" applyAlignment="1">
      <alignment wrapText="1"/>
      <protection/>
    </xf>
    <xf numFmtId="3" fontId="5" fillId="0" borderId="0" xfId="66" applyNumberFormat="1" applyFont="1" applyFill="1" applyBorder="1" applyAlignment="1">
      <alignment wrapText="1"/>
      <protection/>
    </xf>
    <xf numFmtId="3" fontId="2" fillId="0" borderId="46" xfId="0" applyNumberFormat="1" applyFont="1" applyFill="1" applyBorder="1" applyAlignment="1">
      <alignment/>
    </xf>
    <xf numFmtId="3" fontId="5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top"/>
    </xf>
    <xf numFmtId="3" fontId="2" fillId="0" borderId="0" xfId="0" applyNumberFormat="1" applyFont="1" applyFill="1" applyAlignment="1">
      <alignment vertical="top"/>
    </xf>
    <xf numFmtId="0" fontId="12" fillId="0" borderId="0" xfId="0" applyFont="1" applyFill="1" applyAlignment="1">
      <alignment horizontal="center" vertical="center"/>
    </xf>
    <xf numFmtId="0" fontId="4" fillId="0" borderId="56" xfId="0" applyFont="1" applyFill="1" applyBorder="1" applyAlignment="1">
      <alignment vertical="top"/>
    </xf>
    <xf numFmtId="0" fontId="4" fillId="0" borderId="56" xfId="0" applyFont="1" applyFill="1" applyBorder="1" applyAlignment="1">
      <alignment vertical="center" wrapText="1"/>
    </xf>
    <xf numFmtId="3" fontId="4" fillId="0" borderId="85" xfId="0" applyNumberFormat="1" applyFont="1" applyFill="1" applyBorder="1" applyAlignment="1">
      <alignment vertical="center"/>
    </xf>
    <xf numFmtId="3" fontId="30" fillId="0" borderId="0" xfId="61" applyNumberFormat="1" applyFont="1" applyFill="1" applyBorder="1" applyAlignment="1">
      <alignment/>
      <protection/>
    </xf>
    <xf numFmtId="0" fontId="2" fillId="0" borderId="0" xfId="0" applyFont="1" applyFill="1" applyAlignment="1">
      <alignment horizontal="left" wrapText="1" indent="2"/>
    </xf>
    <xf numFmtId="0" fontId="30" fillId="0" borderId="0" xfId="0" applyFont="1" applyFill="1" applyAlignment="1">
      <alignment wrapText="1"/>
    </xf>
    <xf numFmtId="0" fontId="30" fillId="0" borderId="0" xfId="0" applyFont="1" applyFill="1" applyAlignment="1">
      <alignment horizontal="left" wrapText="1"/>
    </xf>
    <xf numFmtId="3" fontId="30" fillId="0" borderId="0" xfId="61" applyNumberFormat="1" applyFont="1" applyFill="1" applyBorder="1" applyAlignment="1">
      <alignment wrapText="1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Border="1" applyAlignment="1">
      <alignment/>
    </xf>
    <xf numFmtId="0" fontId="5" fillId="0" borderId="0" xfId="0" applyFont="1" applyFill="1" applyAlignment="1">
      <alignment horizontal="right" vertical="top"/>
    </xf>
    <xf numFmtId="0" fontId="30" fillId="0" borderId="0" xfId="0" applyFont="1" applyFill="1" applyAlignment="1">
      <alignment/>
    </xf>
    <xf numFmtId="0" fontId="2" fillId="0" borderId="50" xfId="0" applyFont="1" applyFill="1" applyBorder="1" applyAlignment="1">
      <alignment vertical="center"/>
    </xf>
    <xf numFmtId="0" fontId="5" fillId="0" borderId="50" xfId="0" applyFont="1" applyFill="1" applyBorder="1" applyAlignment="1">
      <alignment vertical="center"/>
    </xf>
    <xf numFmtId="0" fontId="2" fillId="0" borderId="50" xfId="0" applyFont="1" applyFill="1" applyBorder="1" applyAlignment="1">
      <alignment horizontal="right" vertical="center"/>
    </xf>
    <xf numFmtId="3" fontId="2" fillId="0" borderId="50" xfId="0" applyNumberFormat="1" applyFont="1" applyFill="1" applyBorder="1" applyAlignment="1">
      <alignment vertical="center"/>
    </xf>
    <xf numFmtId="0" fontId="5" fillId="0" borderId="50" xfId="0" applyFont="1" applyFill="1" applyBorder="1" applyAlignment="1">
      <alignment horizontal="right" vertical="center"/>
    </xf>
    <xf numFmtId="3" fontId="5" fillId="0" borderId="50" xfId="0" applyNumberFormat="1" applyFont="1" applyFill="1" applyBorder="1" applyAlignment="1">
      <alignment vertical="center"/>
    </xf>
    <xf numFmtId="0" fontId="2" fillId="0" borderId="0" xfId="70" applyFont="1" applyFill="1" applyBorder="1" applyAlignment="1">
      <alignment wrapText="1"/>
      <protection/>
    </xf>
    <xf numFmtId="3" fontId="2" fillId="0" borderId="0" xfId="70" applyNumberFormat="1" applyFont="1" applyFill="1" applyBorder="1">
      <alignment/>
      <protection/>
    </xf>
    <xf numFmtId="0" fontId="5" fillId="0" borderId="0" xfId="0" applyFont="1" applyFill="1" applyBorder="1" applyAlignment="1">
      <alignment/>
    </xf>
    <xf numFmtId="0" fontId="2" fillId="0" borderId="0" xfId="64" applyFont="1" applyFill="1" applyBorder="1" applyAlignment="1">
      <alignment wrapText="1"/>
      <protection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50" xfId="70" applyFont="1" applyFill="1" applyBorder="1" applyAlignment="1">
      <alignment horizontal="right" vertical="center" wrapText="1"/>
      <protection/>
    </xf>
    <xf numFmtId="3" fontId="5" fillId="0" borderId="50" xfId="70" applyNumberFormat="1" applyFont="1" applyFill="1" applyBorder="1" applyAlignment="1">
      <alignment vertical="center"/>
      <protection/>
    </xf>
    <xf numFmtId="0" fontId="2" fillId="0" borderId="0" xfId="70" applyFont="1" applyFill="1" applyBorder="1" applyAlignment="1">
      <alignment horizontal="left" wrapText="1" indent="2"/>
      <protection/>
    </xf>
    <xf numFmtId="0" fontId="2" fillId="0" borderId="33" xfId="0" applyFont="1" applyFill="1" applyBorder="1" applyAlignment="1">
      <alignment vertical="center"/>
    </xf>
    <xf numFmtId="0" fontId="5" fillId="0" borderId="33" xfId="0" applyFont="1" applyFill="1" applyBorder="1" applyAlignment="1">
      <alignment horizontal="center" vertical="center" wrapText="1"/>
    </xf>
    <xf numFmtId="3" fontId="5" fillId="0" borderId="33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 vertical="top"/>
    </xf>
    <xf numFmtId="0" fontId="2" fillId="0" borderId="0" xfId="0" applyFont="1" applyFill="1" applyAlignment="1">
      <alignment horizontal="left" indent="2"/>
    </xf>
    <xf numFmtId="3" fontId="5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30" fillId="0" borderId="0" xfId="70" applyFont="1" applyFill="1" applyBorder="1" applyAlignment="1">
      <alignment horizontal="left" wrapText="1"/>
      <protection/>
    </xf>
    <xf numFmtId="3" fontId="2" fillId="0" borderId="0" xfId="70" applyNumberFormat="1" applyFont="1" applyFill="1" applyBorder="1" applyAlignment="1">
      <alignment vertical="top"/>
      <protection/>
    </xf>
    <xf numFmtId="3" fontId="5" fillId="0" borderId="0" xfId="0" applyNumberFormat="1" applyFont="1" applyFill="1" applyBorder="1" applyAlignment="1">
      <alignment vertical="top"/>
    </xf>
    <xf numFmtId="3" fontId="2" fillId="0" borderId="46" xfId="70" applyNumberFormat="1" applyFont="1" applyFill="1" applyBorder="1">
      <alignment/>
      <protection/>
    </xf>
    <xf numFmtId="0" fontId="5" fillId="0" borderId="5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5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horizontal="right"/>
    </xf>
    <xf numFmtId="0" fontId="3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3" fontId="30" fillId="0" borderId="0" xfId="0" applyNumberFormat="1" applyFont="1" applyFill="1" applyBorder="1" applyAlignment="1">
      <alignment/>
    </xf>
    <xf numFmtId="3" fontId="30" fillId="0" borderId="0" xfId="0" applyNumberFormat="1" applyFont="1" applyFill="1" applyAlignment="1">
      <alignment/>
    </xf>
    <xf numFmtId="0" fontId="5" fillId="0" borderId="0" xfId="0" applyFont="1" applyFill="1" applyAlignment="1">
      <alignment wrapText="1"/>
    </xf>
    <xf numFmtId="3" fontId="4" fillId="0" borderId="0" xfId="0" applyNumberFormat="1" applyFont="1" applyFill="1" applyAlignment="1">
      <alignment/>
    </xf>
    <xf numFmtId="3" fontId="2" fillId="0" borderId="91" xfId="61" applyNumberFormat="1" applyFont="1" applyFill="1" applyBorder="1" applyAlignment="1">
      <alignment horizontal="center" vertical="center" wrapText="1"/>
      <protection/>
    </xf>
    <xf numFmtId="3" fontId="4" fillId="0" borderId="93" xfId="61" applyNumberFormat="1" applyFont="1" applyFill="1" applyBorder="1">
      <alignment/>
      <protection/>
    </xf>
    <xf numFmtId="3" fontId="2" fillId="0" borderId="58" xfId="61" applyNumberFormat="1" applyFont="1" applyFill="1" applyBorder="1">
      <alignment/>
      <protection/>
    </xf>
    <xf numFmtId="3" fontId="4" fillId="0" borderId="61" xfId="61" applyNumberFormat="1" applyFont="1" applyFill="1" applyBorder="1">
      <alignment/>
      <protection/>
    </xf>
    <xf numFmtId="3" fontId="4" fillId="0" borderId="58" xfId="61" applyNumberFormat="1" applyFont="1" applyFill="1" applyBorder="1">
      <alignment/>
      <protection/>
    </xf>
    <xf numFmtId="3" fontId="5" fillId="0" borderId="58" xfId="61" applyNumberFormat="1" applyFont="1" applyFill="1" applyBorder="1">
      <alignment/>
      <protection/>
    </xf>
    <xf numFmtId="3" fontId="4" fillId="0" borderId="58" xfId="61" applyNumberFormat="1" applyFont="1" applyFill="1" applyBorder="1" applyAlignment="1">
      <alignment vertical="center"/>
      <protection/>
    </xf>
    <xf numFmtId="3" fontId="2" fillId="0" borderId="0" xfId="61" applyNumberFormat="1" applyFont="1" applyFill="1" applyBorder="1" applyAlignment="1">
      <alignment vertical="center"/>
      <protection/>
    </xf>
    <xf numFmtId="3" fontId="2" fillId="0" borderId="58" xfId="61" applyNumberFormat="1" applyFont="1" applyFill="1" applyBorder="1" applyAlignment="1">
      <alignment vertical="top"/>
      <protection/>
    </xf>
    <xf numFmtId="3" fontId="4" fillId="0" borderId="96" xfId="61" applyNumberFormat="1" applyFont="1" applyFill="1" applyBorder="1" applyAlignment="1">
      <alignment vertical="center"/>
      <protection/>
    </xf>
    <xf numFmtId="3" fontId="2" fillId="0" borderId="58" xfId="61" applyNumberFormat="1" applyFont="1" applyFill="1" applyBorder="1" applyAlignment="1">
      <alignment/>
      <protection/>
    </xf>
    <xf numFmtId="3" fontId="4" fillId="0" borderId="77" xfId="0" applyNumberFormat="1" applyFont="1" applyBorder="1" applyAlignment="1">
      <alignment/>
    </xf>
    <xf numFmtId="3" fontId="10" fillId="0" borderId="97" xfId="61" applyNumberFormat="1" applyFont="1" applyBorder="1" applyAlignment="1">
      <alignment horizontal="right" wrapText="1"/>
      <protection/>
    </xf>
    <xf numFmtId="3" fontId="4" fillId="0" borderId="31" xfId="61" applyNumberFormat="1" applyFont="1" applyBorder="1" applyAlignment="1">
      <alignment horizontal="right" wrapText="1"/>
      <protection/>
    </xf>
    <xf numFmtId="3" fontId="4" fillId="0" borderId="31" xfId="0" applyNumberFormat="1" applyFont="1" applyBorder="1" applyAlignment="1">
      <alignment/>
    </xf>
    <xf numFmtId="0" fontId="2" fillId="0" borderId="31" xfId="0" applyFont="1" applyBorder="1" applyAlignment="1">
      <alignment/>
    </xf>
    <xf numFmtId="3" fontId="10" fillId="0" borderId="31" xfId="0" applyNumberFormat="1" applyFont="1" applyBorder="1" applyAlignment="1">
      <alignment/>
    </xf>
    <xf numFmtId="3" fontId="4" fillId="0" borderId="38" xfId="0" applyNumberFormat="1" applyFont="1" applyBorder="1" applyAlignment="1">
      <alignment/>
    </xf>
    <xf numFmtId="3" fontId="10" fillId="0" borderId="38" xfId="61" applyNumberFormat="1" applyFont="1" applyBorder="1" applyAlignment="1">
      <alignment horizontal="right" wrapText="1"/>
      <protection/>
    </xf>
    <xf numFmtId="3" fontId="10" fillId="0" borderId="31" xfId="0" applyNumberFormat="1" applyFont="1" applyFill="1" applyBorder="1" applyAlignment="1">
      <alignment/>
    </xf>
    <xf numFmtId="0" fontId="4" fillId="0" borderId="31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98" xfId="0" applyNumberFormat="1" applyFont="1" applyFill="1" applyBorder="1" applyAlignment="1">
      <alignment vertical="center"/>
    </xf>
    <xf numFmtId="3" fontId="10" fillId="0" borderId="99" xfId="0" applyNumberFormat="1" applyFont="1" applyBorder="1" applyAlignment="1">
      <alignment vertical="center"/>
    </xf>
    <xf numFmtId="3" fontId="4" fillId="0" borderId="100" xfId="0" applyNumberFormat="1" applyFont="1" applyFill="1" applyBorder="1" applyAlignment="1">
      <alignment vertical="center"/>
    </xf>
    <xf numFmtId="3" fontId="10" fillId="0" borderId="31" xfId="0" applyNumberFormat="1" applyFont="1" applyFill="1" applyBorder="1" applyAlignment="1">
      <alignment vertical="center"/>
    </xf>
    <xf numFmtId="3" fontId="10" fillId="0" borderId="98" xfId="0" applyNumberFormat="1" applyFont="1" applyFill="1" applyBorder="1" applyAlignment="1">
      <alignment vertical="center"/>
    </xf>
    <xf numFmtId="3" fontId="4" fillId="0" borderId="31" xfId="0" applyNumberFormat="1" applyFont="1" applyBorder="1" applyAlignment="1">
      <alignment/>
    </xf>
    <xf numFmtId="3" fontId="10" fillId="0" borderId="101" xfId="0" applyNumberFormat="1" applyFont="1" applyFill="1" applyBorder="1" applyAlignment="1">
      <alignment vertical="center"/>
    </xf>
    <xf numFmtId="3" fontId="2" fillId="0" borderId="46" xfId="61" applyNumberFormat="1" applyFont="1" applyFill="1" applyBorder="1" applyAlignment="1">
      <alignment vertical="top"/>
      <protection/>
    </xf>
    <xf numFmtId="3" fontId="4" fillId="0" borderId="97" xfId="61" applyNumberFormat="1" applyFont="1" applyFill="1" applyBorder="1">
      <alignment/>
      <protection/>
    </xf>
    <xf numFmtId="3" fontId="2" fillId="0" borderId="31" xfId="61" applyNumberFormat="1" applyFont="1" applyFill="1" applyBorder="1">
      <alignment/>
      <protection/>
    </xf>
    <xf numFmtId="3" fontId="4" fillId="0" borderId="98" xfId="61" applyNumberFormat="1" applyFont="1" applyFill="1" applyBorder="1">
      <alignment/>
      <protection/>
    </xf>
    <xf numFmtId="3" fontId="4" fillId="0" borderId="31" xfId="61" applyNumberFormat="1" applyFont="1" applyFill="1" applyBorder="1">
      <alignment/>
      <protection/>
    </xf>
    <xf numFmtId="3" fontId="5" fillId="0" borderId="31" xfId="61" applyNumberFormat="1" applyFont="1" applyFill="1" applyBorder="1">
      <alignment/>
      <protection/>
    </xf>
    <xf numFmtId="3" fontId="2" fillId="0" borderId="31" xfId="61" applyNumberFormat="1" applyFont="1" applyFill="1" applyBorder="1" applyAlignment="1">
      <alignment vertical="center"/>
      <protection/>
    </xf>
    <xf numFmtId="3" fontId="2" fillId="0" borderId="31" xfId="61" applyNumberFormat="1" applyFont="1" applyFill="1" applyBorder="1" applyAlignment="1">
      <alignment vertical="top"/>
      <protection/>
    </xf>
    <xf numFmtId="3" fontId="4" fillId="0" borderId="85" xfId="61" applyNumberFormat="1" applyFont="1" applyFill="1" applyBorder="1" applyAlignment="1">
      <alignment vertical="center"/>
      <protection/>
    </xf>
    <xf numFmtId="3" fontId="2" fillId="0" borderId="31" xfId="61" applyNumberFormat="1" applyFont="1" applyFill="1" applyBorder="1" applyAlignment="1">
      <alignment/>
      <protection/>
    </xf>
    <xf numFmtId="3" fontId="2" fillId="0" borderId="38" xfId="61" applyNumberFormat="1" applyFont="1" applyFill="1" applyBorder="1">
      <alignment/>
      <protection/>
    </xf>
    <xf numFmtId="3" fontId="6" fillId="0" borderId="0" xfId="61" applyNumberFormat="1" applyFont="1" applyFill="1" applyBorder="1" applyAlignment="1">
      <alignment/>
      <protection/>
    </xf>
    <xf numFmtId="3" fontId="12" fillId="0" borderId="0" xfId="0" applyNumberFormat="1" applyFont="1" applyFill="1" applyAlignment="1">
      <alignment horizontal="center"/>
    </xf>
    <xf numFmtId="3" fontId="15" fillId="0" borderId="31" xfId="0" applyNumberFormat="1" applyFont="1" applyFill="1" applyBorder="1" applyAlignment="1">
      <alignment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31" xfId="0" applyNumberFormat="1" applyFont="1" applyFill="1" applyBorder="1" applyAlignment="1">
      <alignment/>
    </xf>
    <xf numFmtId="3" fontId="19" fillId="0" borderId="30" xfId="0" applyNumberFormat="1" applyFont="1" applyFill="1" applyBorder="1" applyAlignment="1">
      <alignment horizontal="center" vertical="top"/>
    </xf>
    <xf numFmtId="3" fontId="19" fillId="0" borderId="0" xfId="0" applyNumberFormat="1" applyFont="1" applyFill="1" applyBorder="1" applyAlignment="1">
      <alignment horizontal="center" vertical="top"/>
    </xf>
    <xf numFmtId="3" fontId="19" fillId="0" borderId="0" xfId="66" applyNumberFormat="1" applyFont="1" applyFill="1" applyBorder="1" applyAlignment="1">
      <alignment horizontal="left" vertical="top" indent="2"/>
      <protection/>
    </xf>
    <xf numFmtId="3" fontId="19" fillId="0" borderId="0" xfId="0" applyNumberFormat="1" applyFont="1" applyFill="1" applyAlignment="1">
      <alignment vertical="top"/>
    </xf>
    <xf numFmtId="3" fontId="20" fillId="0" borderId="30" xfId="0" applyNumberFormat="1" applyFont="1" applyFill="1" applyBorder="1" applyAlignment="1">
      <alignment horizontal="center" vertical="top"/>
    </xf>
    <xf numFmtId="3" fontId="20" fillId="0" borderId="0" xfId="0" applyNumberFormat="1" applyFont="1" applyFill="1" applyBorder="1" applyAlignment="1">
      <alignment horizontal="center" vertical="top"/>
    </xf>
    <xf numFmtId="3" fontId="20" fillId="0" borderId="0" xfId="66" applyNumberFormat="1" applyFont="1" applyFill="1" applyBorder="1" applyAlignment="1">
      <alignment horizontal="left" vertical="top" indent="2"/>
      <protection/>
    </xf>
    <xf numFmtId="3" fontId="20" fillId="0" borderId="0" xfId="0" applyNumberFormat="1" applyFont="1" applyFill="1" applyBorder="1" applyAlignment="1">
      <alignment vertical="top"/>
    </xf>
    <xf numFmtId="3" fontId="23" fillId="0" borderId="0" xfId="0" applyNumberFormat="1" applyFont="1" applyFill="1" applyBorder="1" applyAlignment="1">
      <alignment vertical="top"/>
    </xf>
    <xf numFmtId="3" fontId="20" fillId="0" borderId="0" xfId="0" applyNumberFormat="1" applyFont="1" applyFill="1" applyAlignment="1">
      <alignment vertical="top"/>
    </xf>
    <xf numFmtId="3" fontId="19" fillId="0" borderId="57" xfId="0" applyNumberFormat="1" applyFont="1" applyFill="1" applyBorder="1" applyAlignment="1">
      <alignment vertical="center"/>
    </xf>
    <xf numFmtId="3" fontId="20" fillId="0" borderId="46" xfId="0" applyNumberFormat="1" applyFont="1" applyFill="1" applyBorder="1" applyAlignment="1">
      <alignment horizontal="center" vertical="center"/>
    </xf>
    <xf numFmtId="3" fontId="20" fillId="0" borderId="46" xfId="66" applyNumberFormat="1" applyFont="1" applyFill="1" applyBorder="1" applyAlignment="1">
      <alignment vertical="center"/>
      <protection/>
    </xf>
    <xf numFmtId="3" fontId="20" fillId="0" borderId="46" xfId="0" applyNumberFormat="1" applyFont="1" applyFill="1" applyBorder="1" applyAlignment="1">
      <alignment vertical="center"/>
    </xf>
    <xf numFmtId="3" fontId="18" fillId="0" borderId="0" xfId="0" applyNumberFormat="1" applyFont="1" applyFill="1" applyAlignment="1">
      <alignment horizontal="center"/>
    </xf>
    <xf numFmtId="3" fontId="20" fillId="0" borderId="40" xfId="0" applyNumberFormat="1" applyFont="1" applyFill="1" applyBorder="1" applyAlignment="1">
      <alignment vertical="center"/>
    </xf>
    <xf numFmtId="3" fontId="20" fillId="0" borderId="0" xfId="0" applyNumberFormat="1" applyFont="1" applyFill="1" applyBorder="1" applyAlignment="1">
      <alignment/>
    </xf>
    <xf numFmtId="3" fontId="23" fillId="0" borderId="40" xfId="0" applyNumberFormat="1" applyFont="1" applyFill="1" applyBorder="1" applyAlignment="1">
      <alignment vertical="center"/>
    </xf>
    <xf numFmtId="3" fontId="20" fillId="0" borderId="80" xfId="0" applyNumberFormat="1" applyFont="1" applyFill="1" applyBorder="1" applyAlignment="1">
      <alignment vertical="center"/>
    </xf>
    <xf numFmtId="3" fontId="20" fillId="0" borderId="35" xfId="0" applyNumberFormat="1" applyFont="1" applyFill="1" applyBorder="1" applyAlignment="1">
      <alignment horizontal="center" vertical="top"/>
    </xf>
    <xf numFmtId="3" fontId="20" fillId="0" borderId="36" xfId="0" applyNumberFormat="1" applyFont="1" applyFill="1" applyBorder="1" applyAlignment="1">
      <alignment horizontal="center" vertical="top"/>
    </xf>
    <xf numFmtId="3" fontId="20" fillId="0" borderId="36" xfId="66" applyNumberFormat="1" applyFont="1" applyFill="1" applyBorder="1" applyAlignment="1">
      <alignment horizontal="left" vertical="top" indent="2"/>
      <protection/>
    </xf>
    <xf numFmtId="3" fontId="20" fillId="0" borderId="36" xfId="0" applyNumberFormat="1" applyFont="1" applyFill="1" applyBorder="1" applyAlignment="1">
      <alignment vertical="top"/>
    </xf>
    <xf numFmtId="3" fontId="20" fillId="0" borderId="0" xfId="66" applyNumberFormat="1" applyFont="1" applyFill="1" applyBorder="1" applyAlignment="1">
      <alignment/>
      <protection/>
    </xf>
    <xf numFmtId="3" fontId="20" fillId="0" borderId="0" xfId="0" applyNumberFormat="1" applyFont="1" applyFill="1" applyAlignment="1">
      <alignment/>
    </xf>
    <xf numFmtId="3" fontId="19" fillId="0" borderId="31" xfId="0" applyNumberFormat="1" applyFont="1" applyFill="1" applyBorder="1" applyAlignment="1">
      <alignment vertical="top"/>
    </xf>
    <xf numFmtId="3" fontId="20" fillId="0" borderId="37" xfId="0" applyNumberFormat="1" applyFont="1" applyFill="1" applyBorder="1" applyAlignment="1">
      <alignment vertical="top"/>
    </xf>
    <xf numFmtId="3" fontId="15" fillId="0" borderId="31" xfId="0" applyNumberFormat="1" applyFont="1" applyFill="1" applyBorder="1" applyAlignment="1">
      <alignment vertical="top"/>
    </xf>
    <xf numFmtId="3" fontId="19" fillId="0" borderId="102" xfId="0" applyNumberFormat="1" applyFont="1" applyFill="1" applyBorder="1" applyAlignment="1">
      <alignment vertical="center"/>
    </xf>
    <xf numFmtId="3" fontId="20" fillId="0" borderId="38" xfId="0" applyNumberFormat="1" applyFont="1" applyFill="1" applyBorder="1" applyAlignment="1">
      <alignment/>
    </xf>
    <xf numFmtId="3" fontId="20" fillId="0" borderId="38" xfId="0" applyNumberFormat="1" applyFont="1" applyFill="1" applyBorder="1" applyAlignment="1">
      <alignment vertical="center"/>
    </xf>
    <xf numFmtId="3" fontId="15" fillId="0" borderId="0" xfId="66" applyNumberFormat="1" applyFont="1" applyFill="1" applyBorder="1" applyAlignment="1">
      <alignment horizontal="left" indent="1"/>
      <protection/>
    </xf>
    <xf numFmtId="3" fontId="15" fillId="0" borderId="0" xfId="66" applyNumberFormat="1" applyFont="1" applyFill="1" applyBorder="1" applyAlignment="1">
      <alignment horizontal="left" vertical="top"/>
      <protection/>
    </xf>
    <xf numFmtId="3" fontId="19" fillId="0" borderId="0" xfId="66" applyNumberFormat="1" applyFont="1" applyFill="1" applyBorder="1" applyAlignment="1">
      <alignment horizontal="left" vertical="top"/>
      <protection/>
    </xf>
    <xf numFmtId="3" fontId="20" fillId="0" borderId="0" xfId="66" applyNumberFormat="1" applyFont="1" applyFill="1" applyBorder="1" applyAlignment="1">
      <alignment horizontal="left" vertical="top"/>
      <protection/>
    </xf>
    <xf numFmtId="3" fontId="15" fillId="0" borderId="31" xfId="0" applyNumberFormat="1" applyFont="1" applyBorder="1" applyAlignment="1">
      <alignment vertical="center"/>
    </xf>
    <xf numFmtId="3" fontId="19" fillId="0" borderId="0" xfId="66" applyNumberFormat="1" applyFont="1" applyBorder="1" applyAlignment="1">
      <alignment horizontal="center" vertical="center"/>
      <protection/>
    </xf>
    <xf numFmtId="3" fontId="24" fillId="0" borderId="0" xfId="0" applyNumberFormat="1" applyFont="1" applyBorder="1" applyAlignment="1">
      <alignment horizontal="right" vertical="center"/>
    </xf>
    <xf numFmtId="3" fontId="23" fillId="0" borderId="58" xfId="0" applyNumberFormat="1" applyFont="1" applyBorder="1" applyAlignment="1">
      <alignment horizontal="right" vertical="center"/>
    </xf>
    <xf numFmtId="3" fontId="18" fillId="0" borderId="0" xfId="0" applyNumberFormat="1" applyFont="1" applyBorder="1" applyAlignment="1">
      <alignment horizontal="right" vertical="center"/>
    </xf>
    <xf numFmtId="3" fontId="15" fillId="0" borderId="58" xfId="0" applyNumberFormat="1" applyFont="1" applyBorder="1" applyAlignment="1">
      <alignment horizontal="right" vertical="center"/>
    </xf>
    <xf numFmtId="3" fontId="19" fillId="0" borderId="58" xfId="0" applyNumberFormat="1" applyFont="1" applyBorder="1" applyAlignment="1">
      <alignment horizontal="right" vertical="center"/>
    </xf>
    <xf numFmtId="3" fontId="15" fillId="0" borderId="79" xfId="0" applyNumberFormat="1" applyFont="1" applyBorder="1" applyAlignment="1">
      <alignment/>
    </xf>
    <xf numFmtId="3" fontId="19" fillId="0" borderId="0" xfId="66" applyNumberFormat="1" applyFont="1" applyFill="1" applyBorder="1" applyAlignment="1">
      <alignment horizontal="left" vertical="center" wrapText="1" indent="1"/>
      <protection/>
    </xf>
    <xf numFmtId="3" fontId="19" fillId="0" borderId="0" xfId="66" applyNumberFormat="1" applyFont="1" applyFill="1" applyBorder="1" applyAlignment="1">
      <alignment horizontal="right" vertical="center" wrapText="1" indent="1"/>
      <protection/>
    </xf>
    <xf numFmtId="3" fontId="20" fillId="0" borderId="0" xfId="66" applyNumberFormat="1" applyFont="1" applyFill="1" applyBorder="1" applyAlignment="1">
      <alignment horizontal="left" vertical="center" wrapText="1" indent="1"/>
      <protection/>
    </xf>
    <xf numFmtId="3" fontId="20" fillId="0" borderId="0" xfId="66" applyNumberFormat="1" applyFont="1" applyFill="1" applyBorder="1" applyAlignment="1">
      <alignment horizontal="right" vertical="center" wrapText="1" indent="1"/>
      <protection/>
    </xf>
    <xf numFmtId="3" fontId="24" fillId="0" borderId="0" xfId="0" applyNumberFormat="1" applyFont="1" applyFill="1" applyBorder="1" applyAlignment="1">
      <alignment horizontal="right"/>
    </xf>
    <xf numFmtId="3" fontId="23" fillId="0" borderId="103" xfId="0" applyNumberFormat="1" applyFont="1" applyFill="1" applyBorder="1" applyAlignment="1">
      <alignment horizontal="center" vertical="center"/>
    </xf>
    <xf numFmtId="3" fontId="23" fillId="0" borderId="57" xfId="0" applyNumberFormat="1" applyFont="1" applyFill="1" applyBorder="1" applyAlignment="1">
      <alignment vertical="center"/>
    </xf>
    <xf numFmtId="3" fontId="23" fillId="0" borderId="57" xfId="0" applyNumberFormat="1" applyFont="1" applyBorder="1" applyAlignment="1">
      <alignment horizontal="center" vertical="center"/>
    </xf>
    <xf numFmtId="3" fontId="23" fillId="0" borderId="57" xfId="0" applyNumberFormat="1" applyFont="1" applyFill="1" applyBorder="1" applyAlignment="1">
      <alignment horizontal="right" vertical="center"/>
    </xf>
    <xf numFmtId="3" fontId="20" fillId="0" borderId="33" xfId="66" applyNumberFormat="1" applyFont="1" applyFill="1" applyBorder="1" applyAlignment="1">
      <alignment horizontal="left" vertical="center" wrapText="1" indent="1"/>
      <protection/>
    </xf>
    <xf numFmtId="3" fontId="20" fillId="0" borderId="32" xfId="0" applyNumberFormat="1" applyFont="1" applyFill="1" applyBorder="1" applyAlignment="1">
      <alignment horizontal="center" vertical="center"/>
    </xf>
    <xf numFmtId="3" fontId="20" fillId="0" borderId="33" xfId="0" applyNumberFormat="1" applyFont="1" applyFill="1" applyBorder="1" applyAlignment="1">
      <alignment horizontal="center" vertical="center"/>
    </xf>
    <xf numFmtId="3" fontId="20" fillId="0" borderId="33" xfId="66" applyNumberFormat="1" applyFont="1" applyFill="1" applyBorder="1" applyAlignment="1">
      <alignment horizontal="right" vertical="center" wrapText="1" indent="1"/>
      <protection/>
    </xf>
    <xf numFmtId="3" fontId="18" fillId="0" borderId="33" xfId="0" applyNumberFormat="1" applyFont="1" applyFill="1" applyBorder="1" applyAlignment="1">
      <alignment horizontal="right" vertical="center"/>
    </xf>
    <xf numFmtId="3" fontId="20" fillId="0" borderId="104" xfId="0" applyNumberFormat="1" applyFont="1" applyBorder="1" applyAlignment="1">
      <alignment horizontal="right" vertical="center"/>
    </xf>
    <xf numFmtId="3" fontId="20" fillId="0" borderId="33" xfId="0" applyNumberFormat="1" applyFont="1" applyBorder="1" applyAlignment="1">
      <alignment horizontal="right" vertical="center"/>
    </xf>
    <xf numFmtId="3" fontId="20" fillId="0" borderId="77" xfId="0" applyNumberFormat="1" applyFont="1" applyBorder="1" applyAlignment="1">
      <alignment horizontal="right" vertical="center"/>
    </xf>
    <xf numFmtId="3" fontId="15" fillId="0" borderId="57" xfId="0" applyNumberFormat="1" applyFont="1" applyFill="1" applyBorder="1" applyAlignment="1">
      <alignment horizontal="right" vertical="top"/>
    </xf>
    <xf numFmtId="3" fontId="15" fillId="0" borderId="57" xfId="0" applyNumberFormat="1" applyFont="1" applyBorder="1" applyAlignment="1">
      <alignment horizontal="right" vertical="top"/>
    </xf>
    <xf numFmtId="3" fontId="15" fillId="0" borderId="102" xfId="0" applyNumberFormat="1" applyFont="1" applyBorder="1" applyAlignment="1">
      <alignment horizontal="right" vertical="top"/>
    </xf>
    <xf numFmtId="3" fontId="15" fillId="0" borderId="58" xfId="0" applyNumberFormat="1" applyFont="1" applyBorder="1" applyAlignment="1">
      <alignment/>
    </xf>
    <xf numFmtId="3" fontId="15" fillId="0" borderId="58" xfId="0" applyNumberFormat="1" applyFont="1" applyBorder="1" applyAlignment="1">
      <alignment vertical="center"/>
    </xf>
    <xf numFmtId="3" fontId="23" fillId="0" borderId="58" xfId="0" applyNumberFormat="1" applyFont="1" applyBorder="1" applyAlignment="1">
      <alignment horizontal="right"/>
    </xf>
    <xf numFmtId="3" fontId="24" fillId="0" borderId="57" xfId="0" applyNumberFormat="1" applyFont="1" applyFill="1" applyBorder="1" applyAlignment="1">
      <alignment horizontal="right" vertical="center"/>
    </xf>
    <xf numFmtId="3" fontId="25" fillId="0" borderId="30" xfId="0" applyNumberFormat="1" applyFont="1" applyFill="1" applyBorder="1" applyAlignment="1">
      <alignment horizontal="center" vertical="top"/>
    </xf>
    <xf numFmtId="3" fontId="15" fillId="0" borderId="40" xfId="0" applyNumberFormat="1" applyFont="1" applyFill="1" applyBorder="1" applyAlignment="1">
      <alignment horizontal="left" vertical="center"/>
    </xf>
    <xf numFmtId="3" fontId="20" fillId="0" borderId="40" xfId="66" applyNumberFormat="1" applyFont="1" applyFill="1" applyBorder="1" applyAlignment="1">
      <alignment horizontal="center" vertical="center"/>
      <protection/>
    </xf>
    <xf numFmtId="3" fontId="20" fillId="0" borderId="40" xfId="66" applyNumberFormat="1" applyFont="1" applyBorder="1" applyAlignment="1">
      <alignment horizontal="center" vertical="center"/>
      <protection/>
    </xf>
    <xf numFmtId="3" fontId="23" fillId="0" borderId="79" xfId="0" applyNumberFormat="1" applyFont="1" applyBorder="1" applyAlignment="1">
      <alignment horizontal="right"/>
    </xf>
    <xf numFmtId="3" fontId="15" fillId="0" borderId="40" xfId="0" applyNumberFormat="1" applyFont="1" applyFill="1" applyBorder="1" applyAlignment="1">
      <alignment horizontal="right" vertical="center"/>
    </xf>
    <xf numFmtId="3" fontId="15" fillId="0" borderId="40" xfId="0" applyNumberFormat="1" applyFont="1" applyBorder="1" applyAlignment="1">
      <alignment horizontal="right" vertical="center"/>
    </xf>
    <xf numFmtId="3" fontId="15" fillId="0" borderId="80" xfId="0" applyNumberFormat="1" applyFont="1" applyBorder="1" applyAlignment="1">
      <alignment horizontal="right" vertical="center"/>
    </xf>
    <xf numFmtId="3" fontId="20" fillId="0" borderId="35" xfId="0" applyNumberFormat="1" applyFont="1" applyFill="1" applyBorder="1" applyAlignment="1">
      <alignment horizontal="center" vertical="center"/>
    </xf>
    <xf numFmtId="3" fontId="20" fillId="0" borderId="36" xfId="0" applyNumberFormat="1" applyFont="1" applyFill="1" applyBorder="1" applyAlignment="1">
      <alignment horizontal="center" vertical="center"/>
    </xf>
    <xf numFmtId="3" fontId="20" fillId="0" borderId="36" xfId="66" applyNumberFormat="1" applyFont="1" applyFill="1" applyBorder="1" applyAlignment="1">
      <alignment horizontal="left" vertical="center" wrapText="1" indent="1"/>
      <protection/>
    </xf>
    <xf numFmtId="3" fontId="18" fillId="0" borderId="36" xfId="0" applyNumberFormat="1" applyFont="1" applyFill="1" applyBorder="1" applyAlignment="1">
      <alignment horizontal="right" vertical="center"/>
    </xf>
    <xf numFmtId="3" fontId="20" fillId="0" borderId="75" xfId="0" applyNumberFormat="1" applyFont="1" applyBorder="1" applyAlignment="1">
      <alignment horizontal="right" vertical="center"/>
    </xf>
    <xf numFmtId="3" fontId="20" fillId="0" borderId="36" xfId="0" applyNumberFormat="1" applyFont="1" applyBorder="1" applyAlignment="1">
      <alignment horizontal="right" vertical="center"/>
    </xf>
    <xf numFmtId="3" fontId="20" fillId="0" borderId="37" xfId="0" applyNumberFormat="1" applyFont="1" applyBorder="1" applyAlignment="1">
      <alignment horizontal="right" vertical="center"/>
    </xf>
    <xf numFmtId="3" fontId="19" fillId="0" borderId="103" xfId="0" applyNumberFormat="1" applyFont="1" applyFill="1" applyBorder="1" applyAlignment="1">
      <alignment horizontal="center" vertical="center"/>
    </xf>
    <xf numFmtId="3" fontId="19" fillId="0" borderId="57" xfId="0" applyNumberFormat="1" applyFont="1" applyFill="1" applyBorder="1" applyAlignment="1">
      <alignment horizontal="center" vertical="center"/>
    </xf>
    <xf numFmtId="3" fontId="19" fillId="0" borderId="57" xfId="66" applyNumberFormat="1" applyFont="1" applyFill="1" applyBorder="1" applyAlignment="1">
      <alignment vertical="center"/>
      <protection/>
    </xf>
    <xf numFmtId="3" fontId="19" fillId="0" borderId="57" xfId="66" applyNumberFormat="1" applyFont="1" applyBorder="1" applyAlignment="1">
      <alignment horizontal="center" vertical="center"/>
      <protection/>
    </xf>
    <xf numFmtId="3" fontId="24" fillId="0" borderId="57" xfId="0" applyNumberFormat="1" applyFont="1" applyBorder="1" applyAlignment="1">
      <alignment horizontal="right" vertical="center"/>
    </xf>
    <xf numFmtId="3" fontId="18" fillId="0" borderId="36" xfId="0" applyNumberFormat="1" applyFont="1" applyBorder="1" applyAlignment="1">
      <alignment horizontal="right" vertical="center"/>
    </xf>
    <xf numFmtId="3" fontId="19" fillId="0" borderId="0" xfId="66" applyNumberFormat="1" applyFont="1" applyFill="1" applyBorder="1" applyAlignment="1">
      <alignment horizontal="left" vertical="center" wrapText="1"/>
      <protection/>
    </xf>
    <xf numFmtId="3" fontId="20" fillId="0" borderId="0" xfId="66" applyNumberFormat="1" applyFont="1" applyFill="1" applyBorder="1" applyAlignment="1">
      <alignment horizontal="left" vertical="center" wrapText="1"/>
      <protection/>
    </xf>
    <xf numFmtId="3" fontId="20" fillId="0" borderId="36" xfId="66" applyNumberFormat="1" applyFont="1" applyFill="1" applyBorder="1" applyAlignment="1">
      <alignment horizontal="left" vertical="center" wrapText="1"/>
      <protection/>
    </xf>
    <xf numFmtId="3" fontId="15" fillId="0" borderId="103" xfId="0" applyNumberFormat="1" applyFont="1" applyFill="1" applyBorder="1" applyAlignment="1">
      <alignment horizontal="center" vertical="center"/>
    </xf>
    <xf numFmtId="3" fontId="20" fillId="0" borderId="57" xfId="0" applyNumberFormat="1" applyFont="1" applyFill="1" applyBorder="1" applyAlignment="1">
      <alignment horizontal="center" vertical="center" wrapText="1"/>
    </xf>
    <xf numFmtId="3" fontId="18" fillId="0" borderId="57" xfId="0" applyNumberFormat="1" applyFont="1" applyFill="1" applyBorder="1" applyAlignment="1">
      <alignment horizontal="right" vertical="center"/>
    </xf>
    <xf numFmtId="3" fontId="15" fillId="0" borderId="57" xfId="0" applyNumberFormat="1" applyFont="1" applyBorder="1" applyAlignment="1">
      <alignment horizontal="right" vertical="center"/>
    </xf>
    <xf numFmtId="3" fontId="15" fillId="0" borderId="102" xfId="0" applyNumberFormat="1" applyFont="1" applyBorder="1" applyAlignment="1">
      <alignment horizontal="right" vertical="center"/>
    </xf>
    <xf numFmtId="3" fontId="20" fillId="0" borderId="33" xfId="66" applyNumberFormat="1" applyFont="1" applyFill="1" applyBorder="1" applyAlignment="1">
      <alignment horizontal="left" vertical="center" wrapText="1"/>
      <protection/>
    </xf>
    <xf numFmtId="3" fontId="20" fillId="0" borderId="0" xfId="0" applyNumberFormat="1" applyFont="1" applyBorder="1" applyAlignment="1">
      <alignment horizontal="right"/>
    </xf>
    <xf numFmtId="3" fontId="15" fillId="0" borderId="30" xfId="0" applyNumberFormat="1" applyFont="1" applyBorder="1" applyAlignment="1">
      <alignment horizontal="left" vertical="center" wrapText="1"/>
    </xf>
    <xf numFmtId="3" fontId="15" fillId="0" borderId="0" xfId="0" applyNumberFormat="1" applyFont="1" applyBorder="1" applyAlignment="1">
      <alignment horizontal="left" vertical="center" wrapText="1"/>
    </xf>
    <xf numFmtId="3" fontId="20" fillId="0" borderId="30" xfId="0" applyNumberFormat="1" applyFont="1" applyBorder="1" applyAlignment="1">
      <alignment horizontal="left" vertical="center" wrapText="1"/>
    </xf>
    <xf numFmtId="3" fontId="20" fillId="0" borderId="0" xfId="0" applyNumberFormat="1" applyFont="1" applyBorder="1" applyAlignment="1">
      <alignment horizontal="left" vertical="center" wrapText="1"/>
    </xf>
    <xf numFmtId="3" fontId="20" fillId="0" borderId="35" xfId="0" applyNumberFormat="1" applyFont="1" applyBorder="1" applyAlignment="1">
      <alignment horizontal="left" vertical="center" wrapText="1"/>
    </xf>
    <xf numFmtId="3" fontId="20" fillId="0" borderId="36" xfId="0" applyNumberFormat="1" applyFont="1" applyBorder="1" applyAlignment="1">
      <alignment horizontal="left" vertical="center" wrapText="1"/>
    </xf>
    <xf numFmtId="3" fontId="2" fillId="0" borderId="15" xfId="62" applyNumberFormat="1" applyFont="1" applyFill="1" applyBorder="1" applyAlignment="1">
      <alignment horizontal="center"/>
      <protection/>
    </xf>
    <xf numFmtId="3" fontId="2" fillId="0" borderId="84" xfId="62" applyNumberFormat="1" applyFont="1" applyFill="1" applyBorder="1" applyAlignment="1">
      <alignment horizontal="center"/>
      <protection/>
    </xf>
    <xf numFmtId="3" fontId="2" fillId="0" borderId="84" xfId="62" applyNumberFormat="1" applyFont="1" applyFill="1" applyBorder="1" applyAlignment="1">
      <alignment horizontal="right"/>
      <protection/>
    </xf>
    <xf numFmtId="3" fontId="2" fillId="0" borderId="105" xfId="62" applyNumberFormat="1" applyFont="1" applyFill="1" applyBorder="1" applyAlignment="1">
      <alignment horizontal="right"/>
      <protection/>
    </xf>
    <xf numFmtId="3" fontId="5" fillId="0" borderId="15" xfId="62" applyNumberFormat="1" applyFont="1" applyFill="1" applyBorder="1" applyAlignment="1">
      <alignment horizontal="center"/>
      <protection/>
    </xf>
    <xf numFmtId="3" fontId="5" fillId="0" borderId="84" xfId="62" applyNumberFormat="1" applyFont="1" applyFill="1" applyBorder="1" applyAlignment="1">
      <alignment horizontal="center"/>
      <protection/>
    </xf>
    <xf numFmtId="3" fontId="5" fillId="0" borderId="84" xfId="62" applyNumberFormat="1" applyFont="1" applyFill="1" applyBorder="1" applyAlignment="1">
      <alignment horizontal="right"/>
      <protection/>
    </xf>
    <xf numFmtId="3" fontId="5" fillId="0" borderId="105" xfId="62" applyNumberFormat="1" applyFont="1" applyFill="1" applyBorder="1" applyAlignment="1">
      <alignment horizontal="right"/>
      <protection/>
    </xf>
    <xf numFmtId="3" fontId="5" fillId="0" borderId="0" xfId="62" applyNumberFormat="1" applyFont="1" applyFill="1" applyAlignment="1">
      <alignment horizontal="center"/>
      <protection/>
    </xf>
    <xf numFmtId="3" fontId="4" fillId="0" borderId="15" xfId="62" applyNumberFormat="1" applyFont="1" applyFill="1" applyBorder="1" applyAlignment="1">
      <alignment horizontal="center"/>
      <protection/>
    </xf>
    <xf numFmtId="3" fontId="4" fillId="0" borderId="11" xfId="62" applyNumberFormat="1" applyFont="1" applyFill="1" applyBorder="1" applyAlignment="1">
      <alignment horizontal="center" vertical="center"/>
      <protection/>
    </xf>
    <xf numFmtId="3" fontId="4" fillId="0" borderId="11" xfId="62" applyNumberFormat="1" applyFont="1" applyFill="1" applyBorder="1" applyAlignment="1">
      <alignment vertical="center" wrapText="1"/>
      <protection/>
    </xf>
    <xf numFmtId="3" fontId="4" fillId="0" borderId="84" xfId="62" applyNumberFormat="1" applyFont="1" applyFill="1" applyBorder="1" applyAlignment="1">
      <alignment horizontal="center"/>
      <protection/>
    </xf>
    <xf numFmtId="3" fontId="4" fillId="0" borderId="84" xfId="62" applyNumberFormat="1" applyFont="1" applyFill="1" applyBorder="1" applyAlignment="1">
      <alignment horizontal="right"/>
      <protection/>
    </xf>
    <xf numFmtId="3" fontId="4" fillId="0" borderId="105" xfId="62" applyNumberFormat="1" applyFont="1" applyFill="1" applyBorder="1" applyAlignment="1">
      <alignment horizontal="right"/>
      <protection/>
    </xf>
    <xf numFmtId="3" fontId="4" fillId="0" borderId="11" xfId="62" applyNumberFormat="1" applyFont="1" applyFill="1" applyBorder="1" applyAlignment="1">
      <alignment horizontal="right" vertical="center"/>
      <protection/>
    </xf>
    <xf numFmtId="3" fontId="4" fillId="0" borderId="22" xfId="62" applyNumberFormat="1" applyFont="1" applyFill="1" applyBorder="1" applyAlignment="1">
      <alignment horizontal="right" vertical="center"/>
      <protection/>
    </xf>
    <xf numFmtId="3" fontId="2" fillId="0" borderId="11" xfId="62" applyNumberFormat="1" applyFont="1" applyFill="1" applyBorder="1" applyAlignment="1">
      <alignment horizontal="left" vertical="center" wrapText="1" indent="4"/>
      <protection/>
    </xf>
    <xf numFmtId="3" fontId="5" fillId="0" borderId="11" xfId="62" applyNumberFormat="1" applyFont="1" applyFill="1" applyBorder="1" applyAlignment="1">
      <alignment horizontal="left" vertical="center" wrapText="1" indent="4"/>
      <protection/>
    </xf>
    <xf numFmtId="3" fontId="4" fillId="0" borderId="11" xfId="62" applyNumberFormat="1" applyFont="1" applyFill="1" applyBorder="1" applyAlignment="1">
      <alignment horizontal="left" vertical="center" wrapText="1" indent="4"/>
      <protection/>
    </xf>
    <xf numFmtId="3" fontId="2" fillId="0" borderId="90" xfId="62" applyNumberFormat="1" applyFont="1" applyFill="1" applyBorder="1" applyAlignment="1">
      <alignment horizontal="right"/>
      <protection/>
    </xf>
    <xf numFmtId="3" fontId="5" fillId="0" borderId="90" xfId="62" applyNumberFormat="1" applyFont="1" applyFill="1" applyBorder="1" applyAlignment="1">
      <alignment horizontal="right"/>
      <protection/>
    </xf>
    <xf numFmtId="3" fontId="5" fillId="0" borderId="11" xfId="62" applyNumberFormat="1" applyFont="1" applyFill="1" applyBorder="1" applyAlignment="1">
      <alignment horizontal="left" vertical="top" wrapText="1" indent="4"/>
      <protection/>
    </xf>
    <xf numFmtId="3" fontId="5" fillId="0" borderId="11" xfId="62" applyNumberFormat="1" applyFont="1" applyFill="1" applyBorder="1" applyAlignment="1">
      <alignment horizontal="left" vertical="top" wrapText="1" indent="1"/>
      <protection/>
    </xf>
    <xf numFmtId="3" fontId="4" fillId="0" borderId="83" xfId="62" applyNumberFormat="1" applyFont="1" applyFill="1" applyBorder="1" applyAlignment="1">
      <alignment horizontal="center" vertical="center" wrapText="1"/>
      <protection/>
    </xf>
    <xf numFmtId="3" fontId="4" fillId="0" borderId="83" xfId="62" applyNumberFormat="1" applyFont="1" applyFill="1" applyBorder="1" applyAlignment="1">
      <alignment horizontal="center" vertical="center"/>
      <protection/>
    </xf>
    <xf numFmtId="3" fontId="4" fillId="0" borderId="83" xfId="62" applyNumberFormat="1" applyFont="1" applyFill="1" applyBorder="1" applyAlignment="1">
      <alignment horizontal="right" vertical="center"/>
      <protection/>
    </xf>
    <xf numFmtId="3" fontId="2" fillId="0" borderId="81" xfId="62" applyNumberFormat="1" applyFont="1" applyFill="1" applyBorder="1" applyAlignment="1">
      <alignment horizontal="center" vertical="center"/>
      <protection/>
    </xf>
    <xf numFmtId="3" fontId="4" fillId="0" borderId="82" xfId="62" applyNumberFormat="1" applyFont="1" applyFill="1" applyBorder="1" applyAlignment="1">
      <alignment vertical="center" wrapText="1"/>
      <protection/>
    </xf>
    <xf numFmtId="3" fontId="4" fillId="0" borderId="82" xfId="62" applyNumberFormat="1" applyFont="1" applyFill="1" applyBorder="1" applyAlignment="1">
      <alignment horizontal="center" vertical="center"/>
      <protection/>
    </xf>
    <xf numFmtId="3" fontId="4" fillId="0" borderId="82" xfId="62" applyNumberFormat="1" applyFont="1" applyFill="1" applyBorder="1" applyAlignment="1">
      <alignment horizontal="right" vertical="center"/>
      <protection/>
    </xf>
    <xf numFmtId="3" fontId="4" fillId="0" borderId="106" xfId="62" applyNumberFormat="1" applyFont="1" applyFill="1" applyBorder="1" applyAlignment="1">
      <alignment horizontal="right" vertical="center"/>
      <protection/>
    </xf>
    <xf numFmtId="3" fontId="4" fillId="0" borderId="107" xfId="62" applyNumberFormat="1" applyFont="1" applyFill="1" applyBorder="1" applyAlignment="1">
      <alignment horizontal="right" vertical="center"/>
      <protection/>
    </xf>
    <xf numFmtId="3" fontId="4" fillId="0" borderId="108" xfId="62" applyNumberFormat="1" applyFont="1" applyFill="1" applyBorder="1" applyAlignment="1">
      <alignment horizontal="right" vertical="center"/>
      <protection/>
    </xf>
    <xf numFmtId="0" fontId="20" fillId="0" borderId="0" xfId="68" applyFont="1" applyFill="1" applyBorder="1" applyAlignment="1">
      <alignment vertical="center"/>
      <protection/>
    </xf>
    <xf numFmtId="0" fontId="12" fillId="0" borderId="0" xfId="69" applyFont="1" applyFill="1" applyBorder="1" applyAlignment="1">
      <alignment/>
      <protection/>
    </xf>
    <xf numFmtId="0" fontId="12" fillId="0" borderId="0" xfId="69" applyFont="1" applyFill="1" applyBorder="1" applyAlignment="1">
      <alignment horizontal="center" vertical="center"/>
      <protection/>
    </xf>
    <xf numFmtId="0" fontId="2" fillId="0" borderId="21" xfId="69" applyFont="1" applyFill="1" applyBorder="1" applyAlignment="1">
      <alignment horizontal="center"/>
      <protection/>
    </xf>
    <xf numFmtId="3" fontId="4" fillId="0" borderId="109" xfId="67" applyNumberFormat="1" applyFont="1" applyFill="1" applyBorder="1" applyAlignment="1">
      <alignment horizontal="center" vertical="center" wrapText="1"/>
      <protection/>
    </xf>
    <xf numFmtId="3" fontId="4" fillId="0" borderId="110" xfId="67" applyNumberFormat="1" applyFont="1" applyFill="1" applyBorder="1" applyAlignment="1">
      <alignment vertical="center"/>
      <protection/>
    </xf>
    <xf numFmtId="3" fontId="4" fillId="0" borderId="111" xfId="67" applyNumberFormat="1" applyFont="1" applyFill="1" applyBorder="1" applyAlignment="1">
      <alignment vertical="center"/>
      <protection/>
    </xf>
    <xf numFmtId="3" fontId="4" fillId="0" borderId="112" xfId="67" applyNumberFormat="1" applyFont="1" applyFill="1" applyBorder="1" applyAlignment="1">
      <alignment vertical="center"/>
      <protection/>
    </xf>
    <xf numFmtId="3" fontId="4" fillId="0" borderId="113" xfId="67" applyNumberFormat="1" applyFont="1" applyFill="1" applyBorder="1" applyAlignment="1">
      <alignment vertical="center"/>
      <protection/>
    </xf>
    <xf numFmtId="3" fontId="15" fillId="0" borderId="114" xfId="67" applyNumberFormat="1" applyFont="1" applyFill="1" applyBorder="1" applyAlignment="1">
      <alignment horizontal="center" vertical="center" wrapText="1"/>
      <protection/>
    </xf>
    <xf numFmtId="3" fontId="19" fillId="0" borderId="109" xfId="67" applyNumberFormat="1" applyFont="1" applyFill="1" applyBorder="1" applyAlignment="1">
      <alignment horizontal="center" vertical="center" wrapText="1"/>
      <protection/>
    </xf>
    <xf numFmtId="3" fontId="20" fillId="0" borderId="115" xfId="67" applyNumberFormat="1" applyFont="1" applyFill="1" applyBorder="1" applyAlignment="1">
      <alignment horizontal="center" vertical="center" wrapText="1"/>
      <protection/>
    </xf>
    <xf numFmtId="3" fontId="31" fillId="0" borderId="17" xfId="67" applyNumberFormat="1" applyFont="1" applyFill="1" applyBorder="1" applyAlignment="1">
      <alignment vertical="center"/>
      <protection/>
    </xf>
    <xf numFmtId="3" fontId="31" fillId="0" borderId="89" xfId="67" applyNumberFormat="1" applyFont="1" applyFill="1" applyBorder="1" applyAlignment="1">
      <alignment vertical="center"/>
      <protection/>
    </xf>
    <xf numFmtId="3" fontId="5" fillId="0" borderId="0" xfId="67" applyNumberFormat="1" applyFont="1" applyFill="1" applyBorder="1" applyAlignment="1">
      <alignment vertical="top"/>
      <protection/>
    </xf>
    <xf numFmtId="3" fontId="5" fillId="0" borderId="0" xfId="67" applyNumberFormat="1" applyFont="1" applyFill="1" applyBorder="1">
      <alignment/>
      <protection/>
    </xf>
    <xf numFmtId="3" fontId="2" fillId="0" borderId="111" xfId="67" applyNumberFormat="1" applyFont="1" applyFill="1" applyBorder="1">
      <alignment/>
      <protection/>
    </xf>
    <xf numFmtId="3" fontId="2" fillId="0" borderId="22" xfId="67" applyNumberFormat="1" applyFont="1" applyFill="1" applyBorder="1" applyAlignment="1">
      <alignment/>
      <protection/>
    </xf>
    <xf numFmtId="3" fontId="2" fillId="0" borderId="22" xfId="67" applyNumberFormat="1" applyFont="1" applyFill="1" applyBorder="1">
      <alignment/>
      <protection/>
    </xf>
    <xf numFmtId="3" fontId="2" fillId="0" borderId="22" xfId="63" applyNumberFormat="1" applyFont="1" applyFill="1" applyBorder="1" applyAlignment="1">
      <alignment vertical="center"/>
      <protection/>
    </xf>
    <xf numFmtId="3" fontId="2" fillId="0" borderId="22" xfId="67" applyNumberFormat="1" applyFont="1" applyFill="1" applyBorder="1" applyAlignment="1">
      <alignment horizontal="right"/>
      <protection/>
    </xf>
    <xf numFmtId="3" fontId="2" fillId="0" borderId="22" xfId="67" applyNumberFormat="1" applyFont="1" applyFill="1" applyBorder="1" applyAlignment="1">
      <alignment horizontal="right" vertical="center"/>
      <protection/>
    </xf>
    <xf numFmtId="3" fontId="2" fillId="0" borderId="116" xfId="67" applyNumberFormat="1" applyFont="1" applyFill="1" applyBorder="1" applyAlignment="1">
      <alignment horizontal="right"/>
      <protection/>
    </xf>
    <xf numFmtId="3" fontId="4" fillId="0" borderId="85" xfId="67" applyNumberFormat="1" applyFont="1" applyFill="1" applyBorder="1" applyAlignment="1">
      <alignment horizontal="center" vertical="center" wrapText="1"/>
      <protection/>
    </xf>
    <xf numFmtId="3" fontId="2" fillId="0" borderId="117" xfId="67" applyNumberFormat="1" applyFont="1" applyFill="1" applyBorder="1">
      <alignment/>
      <protection/>
    </xf>
    <xf numFmtId="3" fontId="2" fillId="0" borderId="118" xfId="67" applyNumberFormat="1" applyFont="1" applyFill="1" applyBorder="1" applyAlignment="1">
      <alignment/>
      <protection/>
    </xf>
    <xf numFmtId="3" fontId="2" fillId="0" borderId="118" xfId="67" applyNumberFormat="1" applyFont="1" applyFill="1" applyBorder="1">
      <alignment/>
      <protection/>
    </xf>
    <xf numFmtId="3" fontId="2" fillId="0" borderId="118" xfId="67" applyNumberFormat="1" applyFont="1" applyFill="1" applyBorder="1" applyAlignment="1">
      <alignment horizontal="right"/>
      <protection/>
    </xf>
    <xf numFmtId="3" fontId="2" fillId="0" borderId="118" xfId="63" applyNumberFormat="1" applyFont="1" applyFill="1" applyBorder="1">
      <alignment/>
      <protection/>
    </xf>
    <xf numFmtId="3" fontId="4" fillId="0" borderId="100" xfId="67" applyNumberFormat="1" applyFont="1" applyFill="1" applyBorder="1" applyAlignment="1">
      <alignment vertical="center"/>
      <protection/>
    </xf>
    <xf numFmtId="3" fontId="4" fillId="0" borderId="117" xfId="67" applyNumberFormat="1" applyFont="1" applyFill="1" applyBorder="1" applyAlignment="1">
      <alignment vertical="center"/>
      <protection/>
    </xf>
    <xf numFmtId="3" fontId="4" fillId="0" borderId="99" xfId="67" applyNumberFormat="1" applyFont="1" applyFill="1" applyBorder="1" applyAlignment="1">
      <alignment vertical="center"/>
      <protection/>
    </xf>
    <xf numFmtId="3" fontId="4" fillId="0" borderId="37" xfId="67" applyNumberFormat="1" applyFont="1" applyFill="1" applyBorder="1" applyAlignment="1">
      <alignment vertical="center"/>
      <protection/>
    </xf>
    <xf numFmtId="3" fontId="2" fillId="0" borderId="119" xfId="67" applyNumberFormat="1" applyFont="1" applyFill="1" applyBorder="1">
      <alignment/>
      <protection/>
    </xf>
    <xf numFmtId="3" fontId="4" fillId="0" borderId="120" xfId="67" applyNumberFormat="1" applyFont="1" applyFill="1" applyBorder="1">
      <alignment/>
      <protection/>
    </xf>
    <xf numFmtId="3" fontId="2" fillId="0" borderId="90" xfId="67" applyNumberFormat="1" applyFont="1" applyFill="1" applyBorder="1" applyAlignment="1">
      <alignment/>
      <protection/>
    </xf>
    <xf numFmtId="3" fontId="4" fillId="0" borderId="121" xfId="67" applyNumberFormat="1" applyFont="1" applyFill="1" applyBorder="1" applyAlignment="1">
      <alignment/>
      <protection/>
    </xf>
    <xf numFmtId="3" fontId="2" fillId="0" borderId="90" xfId="67" applyNumberFormat="1" applyFont="1" applyFill="1" applyBorder="1">
      <alignment/>
      <protection/>
    </xf>
    <xf numFmtId="3" fontId="2" fillId="0" borderId="90" xfId="63" applyNumberFormat="1" applyFont="1" applyFill="1" applyBorder="1" applyAlignment="1">
      <alignment vertical="center"/>
      <protection/>
    </xf>
    <xf numFmtId="3" fontId="2" fillId="0" borderId="90" xfId="67" applyNumberFormat="1" applyFont="1" applyFill="1" applyBorder="1" applyAlignment="1">
      <alignment horizontal="right"/>
      <protection/>
    </xf>
    <xf numFmtId="3" fontId="2" fillId="0" borderId="90" xfId="67" applyNumberFormat="1" applyFont="1" applyFill="1" applyBorder="1" applyAlignment="1">
      <alignment horizontal="right" vertical="center"/>
      <protection/>
    </xf>
    <xf numFmtId="3" fontId="2" fillId="0" borderId="122" xfId="67" applyNumberFormat="1" applyFont="1" applyFill="1" applyBorder="1" applyAlignment="1">
      <alignment horizontal="right"/>
      <protection/>
    </xf>
    <xf numFmtId="3" fontId="4" fillId="0" borderId="123" xfId="67" applyNumberFormat="1" applyFont="1" applyFill="1" applyBorder="1" applyAlignment="1">
      <alignment vertical="center"/>
      <protection/>
    </xf>
    <xf numFmtId="3" fontId="4" fillId="0" borderId="124" xfId="67" applyNumberFormat="1" applyFont="1" applyFill="1" applyBorder="1" applyAlignment="1">
      <alignment vertical="center"/>
      <protection/>
    </xf>
    <xf numFmtId="3" fontId="2" fillId="0" borderId="119" xfId="67" applyNumberFormat="1" applyFont="1" applyFill="1" applyBorder="1" applyAlignment="1">
      <alignment vertical="center"/>
      <protection/>
    </xf>
    <xf numFmtId="3" fontId="4" fillId="0" borderId="120" xfId="67" applyNumberFormat="1" applyFont="1" applyFill="1" applyBorder="1" applyAlignment="1">
      <alignment vertical="center"/>
      <protection/>
    </xf>
    <xf numFmtId="3" fontId="4" fillId="0" borderId="121" xfId="67" applyNumberFormat="1" applyFont="1" applyFill="1" applyBorder="1" applyAlignment="1">
      <alignment horizontal="right"/>
      <protection/>
    </xf>
    <xf numFmtId="3" fontId="4" fillId="0" borderId="125" xfId="67" applyNumberFormat="1" applyFont="1" applyFill="1" applyBorder="1" applyAlignment="1">
      <alignment vertical="center"/>
      <protection/>
    </xf>
    <xf numFmtId="3" fontId="4" fillId="0" borderId="126" xfId="67" applyNumberFormat="1" applyFont="1" applyFill="1" applyBorder="1" applyAlignment="1">
      <alignment vertical="center"/>
      <protection/>
    </xf>
    <xf numFmtId="3" fontId="4" fillId="0" borderId="127" xfId="67" applyNumberFormat="1" applyFont="1" applyFill="1" applyBorder="1" applyAlignment="1">
      <alignment vertical="center"/>
      <protection/>
    </xf>
    <xf numFmtId="0" fontId="15" fillId="0" borderId="0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/>
    </xf>
    <xf numFmtId="0" fontId="4" fillId="0" borderId="40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128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right"/>
    </xf>
    <xf numFmtId="3" fontId="4" fillId="0" borderId="46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4" fillId="0" borderId="46" xfId="0" applyNumberFormat="1" applyFont="1" applyBorder="1" applyAlignment="1">
      <alignment horizontal="right"/>
    </xf>
    <xf numFmtId="0" fontId="15" fillId="0" borderId="0" xfId="0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3" fontId="4" fillId="0" borderId="0" xfId="0" applyNumberFormat="1" applyFont="1" applyBorder="1" applyAlignment="1">
      <alignment horizontal="right" vertical="top"/>
    </xf>
    <xf numFmtId="0" fontId="31" fillId="0" borderId="30" xfId="0" applyFont="1" applyBorder="1" applyAlignment="1">
      <alignment/>
    </xf>
    <xf numFmtId="3" fontId="5" fillId="0" borderId="31" xfId="0" applyNumberFormat="1" applyFont="1" applyFill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15" fillId="0" borderId="73" xfId="0" applyNumberFormat="1" applyFont="1" applyBorder="1" applyAlignment="1">
      <alignment/>
    </xf>
    <xf numFmtId="3" fontId="20" fillId="0" borderId="129" xfId="0" applyNumberFormat="1" applyFont="1" applyBorder="1" applyAlignment="1">
      <alignment vertical="center"/>
    </xf>
    <xf numFmtId="3" fontId="20" fillId="0" borderId="73" xfId="0" applyNumberFormat="1" applyFont="1" applyBorder="1" applyAlignment="1">
      <alignment horizontal="center"/>
    </xf>
    <xf numFmtId="3" fontId="20" fillId="0" borderId="59" xfId="0" applyNumberFormat="1" applyFont="1" applyBorder="1" applyAlignment="1">
      <alignment horizontal="center"/>
    </xf>
    <xf numFmtId="3" fontId="15" fillId="0" borderId="73" xfId="0" applyNumberFormat="1" applyFont="1" applyBorder="1" applyAlignment="1">
      <alignment horizontal="right"/>
    </xf>
    <xf numFmtId="3" fontId="15" fillId="0" borderId="59" xfId="0" applyNumberFormat="1" applyFont="1" applyBorder="1" applyAlignment="1">
      <alignment horizontal="right"/>
    </xf>
    <xf numFmtId="3" fontId="20" fillId="0" borderId="130" xfId="0" applyNumberFormat="1" applyFont="1" applyBorder="1" applyAlignment="1">
      <alignment vertical="center"/>
    </xf>
    <xf numFmtId="3" fontId="20" fillId="0" borderId="131" xfId="0" applyNumberFormat="1" applyFont="1" applyBorder="1" applyAlignment="1">
      <alignment vertical="center"/>
    </xf>
    <xf numFmtId="3" fontId="20" fillId="0" borderId="132" xfId="0" applyNumberFormat="1" applyFont="1" applyBorder="1" applyAlignment="1">
      <alignment vertical="center"/>
    </xf>
    <xf numFmtId="3" fontId="15" fillId="0" borderId="73" xfId="0" applyNumberFormat="1" applyFont="1" applyBorder="1" applyAlignment="1">
      <alignment vertical="center"/>
    </xf>
    <xf numFmtId="3" fontId="15" fillId="0" borderId="59" xfId="0" applyNumberFormat="1" applyFont="1" applyBorder="1" applyAlignment="1">
      <alignment vertical="center"/>
    </xf>
    <xf numFmtId="3" fontId="15" fillId="0" borderId="130" xfId="0" applyNumberFormat="1" applyFont="1" applyBorder="1" applyAlignment="1">
      <alignment vertical="center"/>
    </xf>
    <xf numFmtId="3" fontId="15" fillId="0" borderId="68" xfId="0" applyNumberFormat="1" applyFont="1" applyBorder="1" applyAlignment="1">
      <alignment vertical="center"/>
    </xf>
    <xf numFmtId="3" fontId="20" fillId="0" borderId="133" xfId="0" applyNumberFormat="1" applyFont="1" applyBorder="1" applyAlignment="1">
      <alignment vertical="center"/>
    </xf>
    <xf numFmtId="3" fontId="20" fillId="0" borderId="73" xfId="0" applyNumberFormat="1" applyFont="1" applyBorder="1" applyAlignment="1">
      <alignment vertical="center"/>
    </xf>
    <xf numFmtId="3" fontId="20" fillId="0" borderId="134" xfId="0" applyNumberFormat="1" applyFont="1" applyBorder="1" applyAlignment="1">
      <alignment vertical="center"/>
    </xf>
    <xf numFmtId="3" fontId="15" fillId="0" borderId="73" xfId="0" applyNumberFormat="1" applyFont="1" applyBorder="1" applyAlignment="1">
      <alignment vertical="top"/>
    </xf>
    <xf numFmtId="3" fontId="20" fillId="0" borderId="129" xfId="0" applyNumberFormat="1" applyFont="1" applyBorder="1" applyAlignment="1">
      <alignment horizontal="right" vertical="center"/>
    </xf>
    <xf numFmtId="3" fontId="20" fillId="0" borderId="130" xfId="0" applyNumberFormat="1" applyFont="1" applyBorder="1" applyAlignment="1">
      <alignment horizontal="right" vertical="center"/>
    </xf>
    <xf numFmtId="3" fontId="20" fillId="0" borderId="73" xfId="0" applyNumberFormat="1" applyFont="1" applyBorder="1" applyAlignment="1">
      <alignment horizontal="right" vertical="center"/>
    </xf>
    <xf numFmtId="3" fontId="20" fillId="0" borderId="134" xfId="0" applyNumberFormat="1" applyFont="1" applyBorder="1" applyAlignment="1">
      <alignment horizontal="right" vertical="center"/>
    </xf>
    <xf numFmtId="0" fontId="20" fillId="0" borderId="44" xfId="0" applyFont="1" applyBorder="1" applyAlignment="1">
      <alignment horizontal="left" vertical="center"/>
    </xf>
    <xf numFmtId="0" fontId="20" fillId="0" borderId="135" xfId="0" applyFont="1" applyBorder="1" applyAlignment="1">
      <alignment horizontal="center" vertical="center"/>
    </xf>
    <xf numFmtId="3" fontId="20" fillId="0" borderId="136" xfId="0" applyNumberFormat="1" applyFont="1" applyBorder="1" applyAlignment="1">
      <alignment horizontal="center" vertical="center" wrapText="1"/>
    </xf>
    <xf numFmtId="0" fontId="20" fillId="0" borderId="9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3" fontId="20" fillId="0" borderId="137" xfId="0" applyNumberFormat="1" applyFont="1" applyBorder="1" applyAlignment="1">
      <alignment horizontal="center" vertical="center" wrapText="1"/>
    </xf>
    <xf numFmtId="3" fontId="20" fillId="0" borderId="138" xfId="0" applyNumberFormat="1" applyFont="1" applyBorder="1" applyAlignment="1">
      <alignment vertical="center"/>
    </xf>
    <xf numFmtId="3" fontId="19" fillId="0" borderId="11" xfId="0" applyNumberFormat="1" applyFont="1" applyFill="1" applyBorder="1" applyAlignment="1">
      <alignment/>
    </xf>
    <xf numFmtId="3" fontId="19" fillId="0" borderId="10" xfId="0" applyNumberFormat="1" applyFont="1" applyFill="1" applyBorder="1" applyAlignment="1">
      <alignment horizontal="center" wrapText="1"/>
    </xf>
    <xf numFmtId="3" fontId="19" fillId="0" borderId="11" xfId="0" applyNumberFormat="1" applyFont="1" applyFill="1" applyBorder="1" applyAlignment="1">
      <alignment horizontal="center" wrapText="1"/>
    </xf>
    <xf numFmtId="3" fontId="19" fillId="0" borderId="11" xfId="0" applyNumberFormat="1" applyFont="1" applyFill="1" applyBorder="1" applyAlignment="1">
      <alignment horizontal="right"/>
    </xf>
    <xf numFmtId="3" fontId="19" fillId="0" borderId="0" xfId="62" applyNumberFormat="1" applyFont="1" applyFill="1" applyAlignment="1">
      <alignment/>
      <protection/>
    </xf>
    <xf numFmtId="3" fontId="19" fillId="0" borderId="11" xfId="62" applyNumberFormat="1" applyFont="1" applyFill="1" applyBorder="1" applyAlignment="1">
      <alignment/>
      <protection/>
    </xf>
    <xf numFmtId="3" fontId="20" fillId="0" borderId="11" xfId="0" applyNumberFormat="1" applyFont="1" applyFill="1" applyBorder="1" applyAlignment="1">
      <alignment horizontal="right"/>
    </xf>
    <xf numFmtId="3" fontId="20" fillId="0" borderId="82" xfId="0" applyNumberFormat="1" applyFont="1" applyFill="1" applyBorder="1" applyAlignment="1">
      <alignment horizontal="right"/>
    </xf>
    <xf numFmtId="3" fontId="15" fillId="0" borderId="86" xfId="0" applyNumberFormat="1" applyFont="1" applyFill="1" applyBorder="1" applyAlignment="1">
      <alignment horizontal="center" wrapText="1"/>
    </xf>
    <xf numFmtId="3" fontId="15" fillId="0" borderId="83" xfId="0" applyNumberFormat="1" applyFont="1" applyFill="1" applyBorder="1" applyAlignment="1">
      <alignment horizontal="center" wrapText="1"/>
    </xf>
    <xf numFmtId="3" fontId="19" fillId="0" borderId="83" xfId="0" applyNumberFormat="1" applyFont="1" applyFill="1" applyBorder="1" applyAlignment="1">
      <alignment wrapText="1"/>
    </xf>
    <xf numFmtId="3" fontId="15" fillId="0" borderId="83" xfId="0" applyNumberFormat="1" applyFont="1" applyFill="1" applyBorder="1" applyAlignment="1">
      <alignment/>
    </xf>
    <xf numFmtId="3" fontId="15" fillId="0" borderId="83" xfId="62" applyNumberFormat="1" applyFont="1" applyFill="1" applyBorder="1" applyAlignment="1">
      <alignment/>
      <protection/>
    </xf>
    <xf numFmtId="3" fontId="15" fillId="0" borderId="139" xfId="62" applyNumberFormat="1" applyFont="1" applyFill="1" applyBorder="1" applyAlignment="1">
      <alignment/>
      <protection/>
    </xf>
    <xf numFmtId="3" fontId="20" fillId="0" borderId="23" xfId="0" applyNumberFormat="1" applyFont="1" applyFill="1" applyBorder="1" applyAlignment="1">
      <alignment horizontal="right"/>
    </xf>
    <xf numFmtId="3" fontId="19" fillId="0" borderId="23" xfId="62" applyNumberFormat="1" applyFont="1" applyFill="1" applyBorder="1" applyAlignment="1">
      <alignment/>
      <protection/>
    </xf>
    <xf numFmtId="3" fontId="20" fillId="0" borderId="108" xfId="0" applyNumberFormat="1" applyFont="1" applyFill="1" applyBorder="1" applyAlignment="1">
      <alignment horizontal="right"/>
    </xf>
    <xf numFmtId="3" fontId="15" fillId="0" borderId="111" xfId="0" applyNumberFormat="1" applyFont="1" applyFill="1" applyBorder="1" applyAlignment="1">
      <alignment/>
    </xf>
    <xf numFmtId="3" fontId="15" fillId="0" borderId="22" xfId="0" applyNumberFormat="1" applyFont="1" applyFill="1" applyBorder="1" applyAlignment="1">
      <alignment/>
    </xf>
    <xf numFmtId="3" fontId="19" fillId="0" borderId="22" xfId="0" applyNumberFormat="1" applyFont="1" applyFill="1" applyBorder="1" applyAlignment="1">
      <alignment/>
    </xf>
    <xf numFmtId="3" fontId="15" fillId="0" borderId="106" xfId="0" applyNumberFormat="1" applyFont="1" applyFill="1" applyBorder="1" applyAlignment="1">
      <alignment/>
    </xf>
    <xf numFmtId="3" fontId="15" fillId="0" borderId="119" xfId="62" applyNumberFormat="1" applyFont="1" applyFill="1" applyBorder="1" applyAlignment="1">
      <alignment/>
      <protection/>
    </xf>
    <xf numFmtId="3" fontId="15" fillId="0" borderId="90" xfId="0" applyNumberFormat="1" applyFont="1" applyFill="1" applyBorder="1" applyAlignment="1">
      <alignment/>
    </xf>
    <xf numFmtId="3" fontId="19" fillId="0" borderId="90" xfId="0" applyNumberFormat="1" applyFont="1" applyFill="1" applyBorder="1" applyAlignment="1">
      <alignment horizontal="right"/>
    </xf>
    <xf numFmtId="3" fontId="20" fillId="0" borderId="90" xfId="0" applyNumberFormat="1" applyFont="1" applyFill="1" applyBorder="1" applyAlignment="1">
      <alignment/>
    </xf>
    <xf numFmtId="3" fontId="19" fillId="0" borderId="90" xfId="0" applyNumberFormat="1" applyFont="1" applyFill="1" applyBorder="1" applyAlignment="1">
      <alignment/>
    </xf>
    <xf numFmtId="3" fontId="19" fillId="0" borderId="90" xfId="62" applyNumberFormat="1" applyFont="1" applyFill="1" applyBorder="1" applyAlignment="1">
      <alignment/>
      <protection/>
    </xf>
    <xf numFmtId="3" fontId="20" fillId="0" borderId="107" xfId="0" applyNumberFormat="1" applyFont="1" applyFill="1" applyBorder="1" applyAlignment="1">
      <alignment/>
    </xf>
    <xf numFmtId="3" fontId="2" fillId="0" borderId="119" xfId="62" applyNumberFormat="1" applyFont="1" applyFill="1" applyBorder="1" applyAlignment="1">
      <alignment vertical="center"/>
      <protection/>
    </xf>
    <xf numFmtId="3" fontId="2" fillId="0" borderId="83" xfId="62" applyNumberFormat="1" applyFont="1" applyFill="1" applyBorder="1" applyAlignment="1">
      <alignment vertical="center"/>
      <protection/>
    </xf>
    <xf numFmtId="3" fontId="2" fillId="0" borderId="139" xfId="62" applyNumberFormat="1" applyFont="1" applyFill="1" applyBorder="1" applyAlignment="1">
      <alignment vertical="center"/>
      <protection/>
    </xf>
    <xf numFmtId="3" fontId="4" fillId="0" borderId="140" xfId="62" applyNumberFormat="1" applyFont="1" applyFill="1" applyBorder="1" applyAlignment="1">
      <alignment horizontal="right"/>
      <protection/>
    </xf>
    <xf numFmtId="3" fontId="2" fillId="0" borderId="141" xfId="62" applyNumberFormat="1" applyFont="1" applyFill="1" applyBorder="1" applyAlignment="1">
      <alignment horizontal="center"/>
      <protection/>
    </xf>
    <xf numFmtId="3" fontId="5" fillId="0" borderId="11" xfId="0" applyNumberFormat="1" applyFont="1" applyFill="1" applyBorder="1" applyAlignment="1">
      <alignment horizontal="right" wrapText="1"/>
    </xf>
    <xf numFmtId="3" fontId="5" fillId="0" borderId="23" xfId="0" applyNumberFormat="1" applyFont="1" applyFill="1" applyBorder="1" applyAlignment="1">
      <alignment horizontal="right" wrapText="1"/>
    </xf>
    <xf numFmtId="3" fontId="4" fillId="0" borderId="11" xfId="0" applyNumberFormat="1" applyFont="1" applyFill="1" applyBorder="1" applyAlignment="1">
      <alignment horizontal="right" wrapText="1"/>
    </xf>
    <xf numFmtId="3" fontId="4" fillId="0" borderId="23" xfId="0" applyNumberFormat="1" applyFont="1" applyFill="1" applyBorder="1" applyAlignment="1">
      <alignment horizontal="right" wrapText="1"/>
    </xf>
    <xf numFmtId="3" fontId="4" fillId="0" borderId="107" xfId="62" applyNumberFormat="1" applyFont="1" applyFill="1" applyBorder="1" applyAlignment="1">
      <alignment horizontal="right"/>
      <protection/>
    </xf>
    <xf numFmtId="3" fontId="2" fillId="0" borderId="82" xfId="0" applyNumberFormat="1" applyFont="1" applyFill="1" applyBorder="1" applyAlignment="1">
      <alignment horizontal="right" vertical="center" wrapText="1"/>
    </xf>
    <xf numFmtId="3" fontId="2" fillId="0" borderId="108" xfId="0" applyNumberFormat="1" applyFont="1" applyFill="1" applyBorder="1" applyAlignment="1">
      <alignment horizontal="right" vertical="center" wrapText="1"/>
    </xf>
    <xf numFmtId="0" fontId="4" fillId="0" borderId="12" xfId="69" applyFont="1" applyFill="1" applyBorder="1" applyAlignment="1">
      <alignment horizontal="center" vertical="center"/>
      <protection/>
    </xf>
    <xf numFmtId="3" fontId="4" fillId="0" borderId="12" xfId="69" applyNumberFormat="1" applyFont="1" applyFill="1" applyBorder="1" applyAlignment="1">
      <alignment horizontal="right" vertical="center"/>
      <protection/>
    </xf>
    <xf numFmtId="0" fontId="4" fillId="0" borderId="89" xfId="69" applyFont="1" applyFill="1" applyBorder="1" applyAlignment="1">
      <alignment horizontal="center" vertical="center"/>
      <protection/>
    </xf>
    <xf numFmtId="3" fontId="4" fillId="0" borderId="85" xfId="69" applyNumberFormat="1" applyFont="1" applyFill="1" applyBorder="1" applyAlignment="1">
      <alignment horizontal="center" vertical="center" wrapText="1"/>
      <protection/>
    </xf>
    <xf numFmtId="3" fontId="2" fillId="0" borderId="118" xfId="65" applyNumberFormat="1" applyFont="1" applyFill="1" applyBorder="1" applyAlignment="1">
      <alignment horizontal="right" vertical="center"/>
      <protection/>
    </xf>
    <xf numFmtId="3" fontId="4" fillId="0" borderId="99" xfId="69" applyNumberFormat="1" applyFont="1" applyFill="1" applyBorder="1" applyAlignment="1">
      <alignment horizontal="right" vertical="center"/>
      <protection/>
    </xf>
    <xf numFmtId="3" fontId="4" fillId="0" borderId="115" xfId="69" applyNumberFormat="1" applyFont="1" applyFill="1" applyBorder="1" applyAlignment="1">
      <alignment horizontal="center" vertical="center" wrapText="1"/>
      <protection/>
    </xf>
    <xf numFmtId="3" fontId="2" fillId="0" borderId="90" xfId="62" applyNumberFormat="1" applyFont="1" applyFill="1" applyBorder="1" applyAlignment="1">
      <alignment horizontal="right" vertical="center"/>
      <protection/>
    </xf>
    <xf numFmtId="3" fontId="4" fillId="0" borderId="125" xfId="69" applyNumberFormat="1" applyFont="1" applyFill="1" applyBorder="1" applyAlignment="1">
      <alignment horizontal="right" vertical="center"/>
      <protection/>
    </xf>
    <xf numFmtId="3" fontId="2" fillId="0" borderId="114" xfId="69" applyNumberFormat="1" applyFont="1" applyFill="1" applyBorder="1" applyAlignment="1">
      <alignment horizontal="center" vertical="center" wrapText="1"/>
      <protection/>
    </xf>
    <xf numFmtId="3" fontId="5" fillId="0" borderId="109" xfId="69" applyNumberFormat="1" applyFont="1" applyFill="1" applyBorder="1" applyAlignment="1">
      <alignment horizontal="center" vertical="center" wrapText="1"/>
      <protection/>
    </xf>
    <xf numFmtId="3" fontId="4" fillId="0" borderId="121" xfId="62" applyNumberFormat="1" applyFont="1" applyFill="1" applyBorder="1" applyAlignment="1">
      <alignment horizontal="right" vertical="center"/>
      <protection/>
    </xf>
    <xf numFmtId="3" fontId="31" fillId="0" borderId="12" xfId="69" applyNumberFormat="1" applyFont="1" applyFill="1" applyBorder="1" applyAlignment="1">
      <alignment horizontal="right" vertical="center"/>
      <protection/>
    </xf>
    <xf numFmtId="3" fontId="4" fillId="0" borderId="118" xfId="0" applyNumberFormat="1" applyFont="1" applyFill="1" applyBorder="1" applyAlignment="1">
      <alignment horizontal="right" wrapText="1"/>
    </xf>
    <xf numFmtId="3" fontId="70" fillId="0" borderId="0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 horizontal="right" wrapText="1"/>
    </xf>
    <xf numFmtId="0" fontId="30" fillId="0" borderId="0" xfId="69" applyFont="1" applyFill="1" applyBorder="1" applyAlignment="1">
      <alignment horizontal="left" wrapText="1"/>
      <protection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58" xfId="0" applyNumberFormat="1" applyFont="1" applyBorder="1" applyAlignment="1">
      <alignment vertical="center"/>
    </xf>
    <xf numFmtId="3" fontId="4" fillId="0" borderId="31" xfId="0" applyNumberFormat="1" applyFont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15" fillId="0" borderId="31" xfId="0" applyNumberFormat="1" applyFont="1" applyBorder="1" applyAlignment="1">
      <alignment/>
    </xf>
    <xf numFmtId="3" fontId="20" fillId="0" borderId="34" xfId="0" applyNumberFormat="1" applyFont="1" applyBorder="1" applyAlignment="1">
      <alignment horizontal="right" vertical="center"/>
    </xf>
    <xf numFmtId="3" fontId="15" fillId="0" borderId="10" xfId="62" applyNumberFormat="1" applyFont="1" applyFill="1" applyBorder="1" applyAlignment="1">
      <alignment horizontal="center" vertical="center"/>
      <protection/>
    </xf>
    <xf numFmtId="3" fontId="15" fillId="0" borderId="11" xfId="62" applyNumberFormat="1" applyFont="1" applyFill="1" applyBorder="1" applyAlignment="1">
      <alignment vertical="center" wrapText="1"/>
      <protection/>
    </xf>
    <xf numFmtId="3" fontId="15" fillId="0" borderId="11" xfId="62" applyNumberFormat="1" applyFont="1" applyFill="1" applyBorder="1" applyAlignment="1">
      <alignment horizontal="center" vertical="center"/>
      <protection/>
    </xf>
    <xf numFmtId="3" fontId="15" fillId="0" borderId="11" xfId="62" applyNumberFormat="1" applyFont="1" applyFill="1" applyBorder="1" applyAlignment="1">
      <alignment horizontal="right" vertical="center"/>
      <protection/>
    </xf>
    <xf numFmtId="3" fontId="20" fillId="0" borderId="90" xfId="62" applyNumberFormat="1" applyFont="1" applyFill="1" applyBorder="1" applyAlignment="1">
      <alignment horizontal="right"/>
      <protection/>
    </xf>
    <xf numFmtId="3" fontId="20" fillId="0" borderId="11" xfId="0" applyNumberFormat="1" applyFont="1" applyFill="1" applyBorder="1" applyAlignment="1">
      <alignment horizontal="right" wrapText="1"/>
    </xf>
    <xf numFmtId="3" fontId="20" fillId="0" borderId="23" xfId="0" applyNumberFormat="1" applyFont="1" applyFill="1" applyBorder="1" applyAlignment="1">
      <alignment horizontal="right" wrapText="1"/>
    </xf>
    <xf numFmtId="3" fontId="20" fillId="0" borderId="0" xfId="62" applyNumberFormat="1" applyFont="1" applyFill="1" applyAlignment="1">
      <alignment horizontal="center" vertical="center"/>
      <protection/>
    </xf>
    <xf numFmtId="3" fontId="15" fillId="0" borderId="0" xfId="62" applyNumberFormat="1" applyFont="1" applyFill="1" applyAlignment="1">
      <alignment horizontal="center" vertical="center"/>
      <protection/>
    </xf>
    <xf numFmtId="3" fontId="15" fillId="0" borderId="15" xfId="62" applyNumberFormat="1" applyFont="1" applyFill="1" applyBorder="1" applyAlignment="1">
      <alignment horizontal="center"/>
      <protection/>
    </xf>
    <xf numFmtId="3" fontId="15" fillId="0" borderId="84" xfId="62" applyNumberFormat="1" applyFont="1" applyFill="1" applyBorder="1" applyAlignment="1">
      <alignment horizontal="center"/>
      <protection/>
    </xf>
    <xf numFmtId="3" fontId="15" fillId="0" borderId="84" xfId="62" applyNumberFormat="1" applyFont="1" applyFill="1" applyBorder="1" applyAlignment="1">
      <alignment horizontal="right"/>
      <protection/>
    </xf>
    <xf numFmtId="3" fontId="15" fillId="0" borderId="90" xfId="62" applyNumberFormat="1" applyFont="1" applyFill="1" applyBorder="1" applyAlignment="1">
      <alignment horizontal="right"/>
      <protection/>
    </xf>
    <xf numFmtId="3" fontId="15" fillId="0" borderId="11" xfId="0" applyNumberFormat="1" applyFont="1" applyFill="1" applyBorder="1" applyAlignment="1">
      <alignment horizontal="right" wrapText="1"/>
    </xf>
    <xf numFmtId="3" fontId="15" fillId="0" borderId="23" xfId="0" applyNumberFormat="1" applyFont="1" applyFill="1" applyBorder="1" applyAlignment="1">
      <alignment horizontal="right" wrapText="1"/>
    </xf>
    <xf numFmtId="3" fontId="15" fillId="0" borderId="0" xfId="62" applyNumberFormat="1" applyFont="1" applyFill="1" applyAlignment="1">
      <alignment horizontal="center"/>
      <protection/>
    </xf>
    <xf numFmtId="3" fontId="19" fillId="0" borderId="15" xfId="62" applyNumberFormat="1" applyFont="1" applyFill="1" applyBorder="1" applyAlignment="1">
      <alignment horizontal="center"/>
      <protection/>
    </xf>
    <xf numFmtId="3" fontId="19" fillId="0" borderId="11" xfId="62" applyNumberFormat="1" applyFont="1" applyFill="1" applyBorder="1" applyAlignment="1">
      <alignment vertical="center" wrapText="1"/>
      <protection/>
    </xf>
    <xf numFmtId="3" fontId="19" fillId="0" borderId="84" xfId="62" applyNumberFormat="1" applyFont="1" applyFill="1" applyBorder="1" applyAlignment="1">
      <alignment horizontal="center"/>
      <protection/>
    </xf>
    <xf numFmtId="3" fontId="19" fillId="0" borderId="84" xfId="62" applyNumberFormat="1" applyFont="1" applyFill="1" applyBorder="1" applyAlignment="1">
      <alignment horizontal="right"/>
      <protection/>
    </xf>
    <xf numFmtId="3" fontId="19" fillId="0" borderId="90" xfId="62" applyNumberFormat="1" applyFont="1" applyFill="1" applyBorder="1" applyAlignment="1">
      <alignment horizontal="right"/>
      <protection/>
    </xf>
    <xf numFmtId="3" fontId="19" fillId="0" borderId="11" xfId="0" applyNumberFormat="1" applyFont="1" applyFill="1" applyBorder="1" applyAlignment="1">
      <alignment horizontal="right" wrapText="1"/>
    </xf>
    <xf numFmtId="3" fontId="19" fillId="0" borderId="23" xfId="0" applyNumberFormat="1" applyFont="1" applyFill="1" applyBorder="1" applyAlignment="1">
      <alignment horizontal="right" wrapText="1"/>
    </xf>
    <xf numFmtId="3" fontId="19" fillId="0" borderId="0" xfId="62" applyNumberFormat="1" applyFont="1" applyFill="1" applyAlignment="1">
      <alignment horizontal="center" vertical="center"/>
      <protection/>
    </xf>
    <xf numFmtId="3" fontId="19" fillId="0" borderId="0" xfId="62" applyNumberFormat="1" applyFont="1" applyFill="1" applyAlignment="1">
      <alignment horizontal="center"/>
      <protection/>
    </xf>
    <xf numFmtId="3" fontId="20" fillId="0" borderId="15" xfId="62" applyNumberFormat="1" applyFont="1" applyFill="1" applyBorder="1" applyAlignment="1">
      <alignment horizontal="center"/>
      <protection/>
    </xf>
    <xf numFmtId="3" fontId="20" fillId="0" borderId="11" xfId="62" applyNumberFormat="1" applyFont="1" applyFill="1" applyBorder="1" applyAlignment="1">
      <alignment vertical="center" wrapText="1"/>
      <protection/>
    </xf>
    <xf numFmtId="3" fontId="20" fillId="0" borderId="84" xfId="62" applyNumberFormat="1" applyFont="1" applyFill="1" applyBorder="1" applyAlignment="1">
      <alignment horizontal="center"/>
      <protection/>
    </xf>
    <xf numFmtId="3" fontId="20" fillId="0" borderId="84" xfId="62" applyNumberFormat="1" applyFont="1" applyFill="1" applyBorder="1" applyAlignment="1">
      <alignment horizontal="right"/>
      <protection/>
    </xf>
    <xf numFmtId="3" fontId="20" fillId="0" borderId="0" xfId="62" applyNumberFormat="1" applyFont="1" applyFill="1" applyAlignment="1">
      <alignment horizontal="center"/>
      <protection/>
    </xf>
    <xf numFmtId="3" fontId="20" fillId="0" borderId="105" xfId="62" applyNumberFormat="1" applyFont="1" applyFill="1" applyBorder="1" applyAlignment="1">
      <alignment horizontal="right"/>
      <protection/>
    </xf>
    <xf numFmtId="3" fontId="15" fillId="0" borderId="22" xfId="62" applyNumberFormat="1" applyFont="1" applyFill="1" applyBorder="1" applyAlignment="1">
      <alignment horizontal="right" vertical="center"/>
      <protection/>
    </xf>
    <xf numFmtId="3" fontId="15" fillId="0" borderId="105" xfId="62" applyNumberFormat="1" applyFont="1" applyFill="1" applyBorder="1" applyAlignment="1">
      <alignment horizontal="right"/>
      <protection/>
    </xf>
    <xf numFmtId="3" fontId="19" fillId="0" borderId="105" xfId="62" applyNumberFormat="1" applyFont="1" applyFill="1" applyBorder="1" applyAlignment="1">
      <alignment horizontal="right"/>
      <protection/>
    </xf>
    <xf numFmtId="0" fontId="2" fillId="0" borderId="0" xfId="70" applyFont="1" applyFill="1" applyBorder="1" applyAlignment="1">
      <alignment horizontal="right" wrapText="1"/>
      <protection/>
    </xf>
    <xf numFmtId="0" fontId="4" fillId="0" borderId="0" xfId="70" applyFont="1" applyFill="1" applyBorder="1" applyAlignment="1">
      <alignment wrapText="1"/>
      <protection/>
    </xf>
    <xf numFmtId="0" fontId="2" fillId="0" borderId="0" xfId="63" applyFont="1" applyFill="1" applyBorder="1" applyAlignment="1">
      <alignment horizontal="left" wrapText="1" indent="1"/>
      <protection/>
    </xf>
    <xf numFmtId="0" fontId="30" fillId="0" borderId="0" xfId="67" applyFont="1" applyFill="1" applyBorder="1" applyAlignment="1">
      <alignment wrapText="1"/>
      <protection/>
    </xf>
    <xf numFmtId="3" fontId="19" fillId="0" borderId="0" xfId="0" applyNumberFormat="1" applyFont="1" applyFill="1" applyBorder="1" applyAlignment="1">
      <alignment horizontal="right" vertical="center"/>
    </xf>
    <xf numFmtId="0" fontId="2" fillId="0" borderId="0" xfId="67" applyFont="1" applyFill="1" applyBorder="1" applyAlignment="1">
      <alignment vertical="center" wrapText="1"/>
      <protection/>
    </xf>
    <xf numFmtId="3" fontId="4" fillId="0" borderId="46" xfId="0" applyNumberFormat="1" applyFont="1" applyBorder="1" applyAlignment="1">
      <alignment/>
    </xf>
    <xf numFmtId="3" fontId="15" fillId="0" borderId="142" xfId="0" applyNumberFormat="1" applyFont="1" applyBorder="1" applyAlignment="1">
      <alignment/>
    </xf>
    <xf numFmtId="3" fontId="15" fillId="0" borderId="142" xfId="0" applyNumberFormat="1" applyFont="1" applyBorder="1" applyAlignment="1">
      <alignment horizontal="center" vertical="center" textRotation="180"/>
    </xf>
    <xf numFmtId="3" fontId="15" fillId="0" borderId="142" xfId="0" applyNumberFormat="1" applyFont="1" applyBorder="1" applyAlignment="1">
      <alignment horizontal="right"/>
    </xf>
    <xf numFmtId="3" fontId="15" fillId="0" borderId="142" xfId="0" applyNumberFormat="1" applyFont="1" applyBorder="1" applyAlignment="1">
      <alignment vertical="center"/>
    </xf>
    <xf numFmtId="3" fontId="15" fillId="0" borderId="143" xfId="0" applyNumberFormat="1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15" fillId="0" borderId="0" xfId="66" applyNumberFormat="1" applyFont="1" applyFill="1" applyBorder="1" applyAlignment="1">
      <alignment horizontal="left" wrapText="1"/>
      <protection/>
    </xf>
    <xf numFmtId="3" fontId="15" fillId="0" borderId="39" xfId="0" applyNumberFormat="1" applyFont="1" applyFill="1" applyBorder="1" applyAlignment="1">
      <alignment horizontal="center" vertical="center" wrapText="1"/>
    </xf>
    <xf numFmtId="3" fontId="15" fillId="0" borderId="0" xfId="66" applyNumberFormat="1" applyFont="1" applyFill="1" applyBorder="1" applyAlignment="1">
      <alignment horizontal="left" vertical="center" wrapText="1"/>
      <protection/>
    </xf>
    <xf numFmtId="3" fontId="20" fillId="0" borderId="3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3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left" vertical="center" wrapText="1"/>
    </xf>
    <xf numFmtId="3" fontId="6" fillId="0" borderId="0" xfId="0" applyNumberFormat="1" applyFont="1" applyFill="1" applyBorder="1" applyAlignment="1">
      <alignment horizontal="left" vertical="top"/>
    </xf>
    <xf numFmtId="3" fontId="15" fillId="0" borderId="0" xfId="0" applyNumberFormat="1" applyFont="1" applyAlignment="1">
      <alignment horizontal="right"/>
    </xf>
    <xf numFmtId="3" fontId="15" fillId="0" borderId="144" xfId="0" applyNumberFormat="1" applyFont="1" applyFill="1" applyBorder="1" applyAlignment="1">
      <alignment horizontal="center" vertical="center"/>
    </xf>
    <xf numFmtId="3" fontId="15" fillId="0" borderId="0" xfId="0" applyNumberFormat="1" applyFont="1" applyFill="1" applyAlignment="1">
      <alignment horizontal="center" vertical="center"/>
    </xf>
    <xf numFmtId="3" fontId="2" fillId="0" borderId="0" xfId="62" applyNumberFormat="1" applyFont="1" applyFill="1" applyAlignment="1">
      <alignment horizontal="right"/>
      <protection/>
    </xf>
    <xf numFmtId="3" fontId="4" fillId="0" borderId="0" xfId="62" applyNumberFormat="1" applyFont="1" applyFill="1" applyAlignment="1">
      <alignment horizontal="center"/>
      <protection/>
    </xf>
    <xf numFmtId="0" fontId="4" fillId="0" borderId="17" xfId="68" applyFont="1" applyFill="1" applyBorder="1" applyAlignment="1">
      <alignment horizontal="right" vertical="center"/>
      <protection/>
    </xf>
    <xf numFmtId="0" fontId="4" fillId="0" borderId="14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3" fontId="2" fillId="0" borderId="46" xfId="0" applyNumberFormat="1" applyFont="1" applyFill="1" applyBorder="1" applyAlignment="1">
      <alignment vertical="top"/>
    </xf>
    <xf numFmtId="3" fontId="2" fillId="0" borderId="0" xfId="0" applyNumberFormat="1" applyFont="1" applyFill="1" applyAlignment="1">
      <alignment/>
    </xf>
    <xf numFmtId="0" fontId="19" fillId="0" borderId="0" xfId="70" applyFont="1" applyFill="1" applyBorder="1" applyAlignment="1">
      <alignment horizontal="right" wrapText="1"/>
      <protection/>
    </xf>
    <xf numFmtId="3" fontId="5" fillId="0" borderId="0" xfId="70" applyNumberFormat="1" applyFont="1" applyFill="1" applyBorder="1">
      <alignment/>
      <protection/>
    </xf>
    <xf numFmtId="0" fontId="15" fillId="0" borderId="0" xfId="70" applyFont="1" applyFill="1" applyBorder="1" applyAlignment="1">
      <alignment wrapText="1"/>
      <protection/>
    </xf>
    <xf numFmtId="3" fontId="15" fillId="0" borderId="0" xfId="63" applyNumberFormat="1" applyFont="1" applyFill="1" applyBorder="1" applyAlignment="1">
      <alignment wrapText="1"/>
      <protection/>
    </xf>
    <xf numFmtId="0" fontId="30" fillId="0" borderId="0" xfId="70" applyFont="1" applyFill="1" applyBorder="1" applyAlignment="1">
      <alignment wrapText="1"/>
      <protection/>
    </xf>
    <xf numFmtId="0" fontId="19" fillId="0" borderId="0" xfId="70" applyFont="1" applyFill="1" applyBorder="1" applyAlignment="1">
      <alignment horizontal="right" vertical="top" wrapText="1"/>
      <protection/>
    </xf>
    <xf numFmtId="3" fontId="5" fillId="0" borderId="0" xfId="70" applyNumberFormat="1" applyFont="1" applyFill="1" applyBorder="1" applyAlignment="1">
      <alignment vertical="top"/>
      <protection/>
    </xf>
    <xf numFmtId="0" fontId="15" fillId="0" borderId="0" xfId="0" applyFont="1" applyFill="1" applyAlignment="1">
      <alignment horizontal="left" wrapText="1" indent="2"/>
    </xf>
    <xf numFmtId="3" fontId="5" fillId="0" borderId="42" xfId="61" applyNumberFormat="1" applyFont="1" applyFill="1" applyBorder="1" applyAlignment="1">
      <alignment horizontal="center" vertical="center" wrapText="1"/>
      <protection/>
    </xf>
    <xf numFmtId="3" fontId="4" fillId="0" borderId="92" xfId="61" applyNumberFormat="1" applyFont="1" applyFill="1" applyBorder="1" applyAlignment="1">
      <alignment horizontal="center" vertical="center" wrapText="1"/>
      <protection/>
    </xf>
    <xf numFmtId="3" fontId="15" fillId="0" borderId="57" xfId="0" applyNumberFormat="1" applyFont="1" applyFill="1" applyBorder="1" applyAlignment="1">
      <alignment vertical="center"/>
    </xf>
    <xf numFmtId="3" fontId="23" fillId="0" borderId="46" xfId="0" applyNumberFormat="1" applyFont="1" applyFill="1" applyBorder="1" applyAlignment="1">
      <alignment vertical="center"/>
    </xf>
    <xf numFmtId="3" fontId="23" fillId="0" borderId="0" xfId="0" applyNumberFormat="1" applyFont="1" applyFill="1" applyBorder="1" applyAlignment="1">
      <alignment/>
    </xf>
    <xf numFmtId="3" fontId="23" fillId="0" borderId="36" xfId="0" applyNumberFormat="1" applyFont="1" applyFill="1" applyBorder="1" applyAlignment="1">
      <alignment vertical="top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 horizontal="center"/>
    </xf>
    <xf numFmtId="0" fontId="35" fillId="0" borderId="0" xfId="0" applyFont="1" applyFill="1" applyAlignment="1">
      <alignment/>
    </xf>
    <xf numFmtId="3" fontId="20" fillId="0" borderId="0" xfId="0" applyNumberFormat="1" applyFont="1" applyFill="1" applyBorder="1" applyAlignment="1">
      <alignment horizontal="center"/>
    </xf>
    <xf numFmtId="3" fontId="20" fillId="0" borderId="102" xfId="0" applyNumberFormat="1" applyFont="1" applyFill="1" applyBorder="1" applyAlignment="1">
      <alignment vertical="center"/>
    </xf>
    <xf numFmtId="3" fontId="15" fillId="0" borderId="0" xfId="66" applyNumberFormat="1" applyFont="1" applyFill="1" applyBorder="1" applyAlignment="1">
      <alignment horizontal="left" vertical="center"/>
      <protection/>
    </xf>
    <xf numFmtId="3" fontId="19" fillId="0" borderId="0" xfId="66" applyNumberFormat="1" applyFont="1" applyFill="1" applyBorder="1" applyAlignment="1">
      <alignment horizontal="left" vertical="center"/>
      <protection/>
    </xf>
    <xf numFmtId="3" fontId="20" fillId="0" borderId="46" xfId="66" applyNumberFormat="1" applyFont="1" applyFill="1" applyBorder="1" applyAlignment="1">
      <alignment horizontal="left" vertical="center"/>
      <protection/>
    </xf>
    <xf numFmtId="3" fontId="19" fillId="0" borderId="0" xfId="66" applyNumberFormat="1" applyFont="1" applyFill="1" applyBorder="1" applyAlignment="1">
      <alignment vertical="center" wrapText="1"/>
      <protection/>
    </xf>
    <xf numFmtId="3" fontId="19" fillId="0" borderId="0" xfId="66" applyNumberFormat="1" applyFont="1" applyFill="1" applyBorder="1" applyAlignment="1">
      <alignment horizontal="left" vertical="center" wrapText="1" indent="2"/>
      <protection/>
    </xf>
    <xf numFmtId="0" fontId="0" fillId="0" borderId="0" xfId="0" applyFill="1" applyAlignment="1">
      <alignment vertical="center"/>
    </xf>
    <xf numFmtId="3" fontId="20" fillId="0" borderId="36" xfId="66" applyNumberFormat="1" applyFont="1" applyFill="1" applyBorder="1" applyAlignment="1">
      <alignment horizontal="left" vertical="center"/>
      <protection/>
    </xf>
    <xf numFmtId="3" fontId="20" fillId="0" borderId="36" xfId="0" applyNumberFormat="1" applyFont="1" applyFill="1" applyBorder="1" applyAlignment="1">
      <alignment vertical="center"/>
    </xf>
    <xf numFmtId="3" fontId="23" fillId="0" borderId="36" xfId="0" applyNumberFormat="1" applyFont="1" applyFill="1" applyBorder="1" applyAlignment="1">
      <alignment vertical="center"/>
    </xf>
    <xf numFmtId="3" fontId="20" fillId="0" borderId="37" xfId="0" applyNumberFormat="1" applyFont="1" applyFill="1" applyBorder="1" applyAlignment="1">
      <alignment vertical="center"/>
    </xf>
    <xf numFmtId="3" fontId="15" fillId="0" borderId="0" xfId="66" applyNumberFormat="1" applyFont="1" applyFill="1" applyBorder="1" applyAlignment="1">
      <alignment horizontal="left" vertical="center" indent="2"/>
      <protection/>
    </xf>
    <xf numFmtId="3" fontId="20" fillId="0" borderId="36" xfId="66" applyNumberFormat="1" applyFont="1" applyFill="1" applyBorder="1" applyAlignment="1">
      <alignment horizontal="left" vertical="center" indent="2"/>
      <protection/>
    </xf>
    <xf numFmtId="3" fontId="6" fillId="0" borderId="0" xfId="66" applyNumberFormat="1" applyFont="1" applyFill="1" applyBorder="1" applyAlignment="1">
      <alignment horizontal="left" vertical="center" wrapText="1" indent="1"/>
      <protection/>
    </xf>
    <xf numFmtId="3" fontId="6" fillId="0" borderId="0" xfId="0" applyNumberFormat="1" applyFont="1" applyFill="1" applyBorder="1" applyAlignment="1">
      <alignment horizontal="center" vertical="top"/>
    </xf>
    <xf numFmtId="3" fontId="6" fillId="0" borderId="30" xfId="0" applyNumberFormat="1" applyFont="1" applyFill="1" applyBorder="1" applyAlignment="1">
      <alignment horizontal="center" vertical="center"/>
    </xf>
    <xf numFmtId="3" fontId="6" fillId="0" borderId="0" xfId="66" applyNumberFormat="1" applyFont="1" applyFill="1" applyBorder="1" applyAlignment="1">
      <alignment horizontal="right" vertical="center" wrapText="1" indent="1"/>
      <protection/>
    </xf>
    <xf numFmtId="3" fontId="18" fillId="0" borderId="58" xfId="0" applyNumberFormat="1" applyFont="1" applyBorder="1" applyAlignment="1">
      <alignment horizontal="right" vertical="center"/>
    </xf>
    <xf numFmtId="3" fontId="6" fillId="0" borderId="31" xfId="0" applyNumberFormat="1" applyFont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center"/>
    </xf>
    <xf numFmtId="3" fontId="6" fillId="0" borderId="58" xfId="0" applyNumberFormat="1" applyFont="1" applyBorder="1" applyAlignment="1">
      <alignment horizontal="right" vertical="center"/>
    </xf>
    <xf numFmtId="3" fontId="24" fillId="0" borderId="3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66" applyNumberFormat="1" applyFont="1" applyFill="1" applyBorder="1" applyAlignment="1">
      <alignment horizontal="left" vertical="center" wrapText="1" indent="1"/>
      <protection/>
    </xf>
    <xf numFmtId="3" fontId="24" fillId="0" borderId="0" xfId="66" applyNumberFormat="1" applyFont="1" applyFill="1" applyBorder="1" applyAlignment="1">
      <alignment horizontal="right" vertical="center" wrapText="1" indent="1"/>
      <protection/>
    </xf>
    <xf numFmtId="3" fontId="24" fillId="0" borderId="58" xfId="0" applyNumberFormat="1" applyFont="1" applyBorder="1" applyAlignment="1">
      <alignment horizontal="right" vertical="center"/>
    </xf>
    <xf numFmtId="3" fontId="24" fillId="0" borderId="31" xfId="0" applyNumberFormat="1" applyFont="1" applyBorder="1" applyAlignment="1">
      <alignment horizontal="right" vertical="center"/>
    </xf>
    <xf numFmtId="3" fontId="18" fillId="0" borderId="30" xfId="0" applyNumberFormat="1" applyFont="1" applyFill="1" applyBorder="1" applyAlignment="1">
      <alignment horizontal="center" vertical="center"/>
    </xf>
    <xf numFmtId="3" fontId="18" fillId="0" borderId="0" xfId="0" applyNumberFormat="1" applyFont="1" applyFill="1" applyBorder="1" applyAlignment="1">
      <alignment horizontal="center" vertical="center"/>
    </xf>
    <xf numFmtId="3" fontId="18" fillId="0" borderId="0" xfId="66" applyNumberFormat="1" applyFont="1" applyFill="1" applyBorder="1" applyAlignment="1">
      <alignment horizontal="left" vertical="center" wrapText="1" indent="1"/>
      <protection/>
    </xf>
    <xf numFmtId="3" fontId="18" fillId="0" borderId="0" xfId="66" applyNumberFormat="1" applyFont="1" applyFill="1" applyBorder="1" applyAlignment="1">
      <alignment horizontal="right" vertical="center" wrapText="1" indent="1"/>
      <protection/>
    </xf>
    <xf numFmtId="3" fontId="18" fillId="0" borderId="31" xfId="0" applyNumberFormat="1" applyFont="1" applyBorder="1" applyAlignment="1">
      <alignment horizontal="right" vertical="center"/>
    </xf>
    <xf numFmtId="3" fontId="20" fillId="0" borderId="58" xfId="0" applyNumberFormat="1" applyFont="1" applyBorder="1" applyAlignment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31" xfId="0" applyNumberFormat="1" applyFont="1" applyFill="1" applyBorder="1" applyAlignment="1">
      <alignment horizontal="right"/>
    </xf>
    <xf numFmtId="3" fontId="15" fillId="0" borderId="57" xfId="0" applyNumberFormat="1" applyFont="1" applyFill="1" applyBorder="1" applyAlignment="1">
      <alignment horizontal="right" vertical="center"/>
    </xf>
    <xf numFmtId="3" fontId="15" fillId="0" borderId="0" xfId="66" applyNumberFormat="1" applyFont="1" applyFill="1" applyBorder="1" applyAlignment="1">
      <alignment horizontal="right" vertical="center" wrapText="1"/>
      <protection/>
    </xf>
    <xf numFmtId="3" fontId="19" fillId="0" borderId="0" xfId="66" applyNumberFormat="1" applyFont="1" applyFill="1" applyBorder="1" applyAlignment="1">
      <alignment horizontal="right" vertical="center" wrapText="1"/>
      <protection/>
    </xf>
    <xf numFmtId="3" fontId="20" fillId="0" borderId="33" xfId="66" applyNumberFormat="1" applyFont="1" applyFill="1" applyBorder="1" applyAlignment="1">
      <alignment horizontal="right" vertical="center" wrapText="1"/>
      <protection/>
    </xf>
    <xf numFmtId="3" fontId="20" fillId="0" borderId="33" xfId="66" applyNumberFormat="1" applyFont="1" applyFill="1" applyBorder="1" applyAlignment="1">
      <alignment horizontal="left" vertical="center" wrapText="1" indent="2"/>
      <protection/>
    </xf>
    <xf numFmtId="3" fontId="6" fillId="0" borderId="0" xfId="66" applyNumberFormat="1" applyFont="1" applyBorder="1" applyAlignment="1">
      <alignment horizontal="center" vertical="center" wrapText="1"/>
      <protection/>
    </xf>
    <xf numFmtId="3" fontId="36" fillId="0" borderId="58" xfId="0" applyNumberFormat="1" applyFont="1" applyBorder="1" applyAlignment="1">
      <alignment horizontal="right"/>
    </xf>
    <xf numFmtId="3" fontId="6" fillId="0" borderId="31" xfId="0" applyNumberFormat="1" applyFont="1" applyBorder="1" applyAlignment="1">
      <alignment horizontal="right"/>
    </xf>
    <xf numFmtId="3" fontId="15" fillId="0" borderId="0" xfId="0" applyNumberFormat="1" applyFont="1" applyFill="1" applyBorder="1" applyAlignment="1">
      <alignment horizontal="left"/>
    </xf>
    <xf numFmtId="3" fontId="20" fillId="0" borderId="0" xfId="66" applyNumberFormat="1" applyFont="1" applyBorder="1" applyAlignment="1">
      <alignment horizontal="center"/>
      <protection/>
    </xf>
    <xf numFmtId="3" fontId="20" fillId="0" borderId="36" xfId="66" applyNumberFormat="1" applyFont="1" applyFill="1" applyBorder="1" applyAlignment="1">
      <alignment horizontal="right" vertical="center" wrapText="1"/>
      <protection/>
    </xf>
    <xf numFmtId="3" fontId="18" fillId="0" borderId="0" xfId="0" applyNumberFormat="1" applyFont="1" applyFill="1" applyBorder="1" applyAlignment="1">
      <alignment horizontal="right"/>
    </xf>
    <xf numFmtId="3" fontId="20" fillId="0" borderId="58" xfId="0" applyNumberFormat="1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20" fillId="0" borderId="31" xfId="0" applyNumberFormat="1" applyFont="1" applyFill="1" applyBorder="1" applyAlignment="1">
      <alignment horizontal="right"/>
    </xf>
    <xf numFmtId="3" fontId="20" fillId="0" borderId="0" xfId="0" applyNumberFormat="1" applyFont="1" applyFill="1" applyAlignment="1">
      <alignment horizontal="right"/>
    </xf>
    <xf numFmtId="3" fontId="20" fillId="0" borderId="0" xfId="66" applyNumberFormat="1" applyFont="1" applyFill="1" applyBorder="1" applyAlignment="1">
      <alignment horizontal="left" vertical="top" wrapText="1"/>
      <protection/>
    </xf>
    <xf numFmtId="3" fontId="20" fillId="0" borderId="0" xfId="66" applyNumberFormat="1" applyFont="1" applyFill="1" applyBorder="1" applyAlignment="1">
      <alignment horizontal="right" vertical="top" wrapText="1"/>
      <protection/>
    </xf>
    <xf numFmtId="3" fontId="18" fillId="0" borderId="0" xfId="0" applyNumberFormat="1" applyFont="1" applyFill="1" applyBorder="1" applyAlignment="1">
      <alignment horizontal="right" vertical="top"/>
    </xf>
    <xf numFmtId="3" fontId="20" fillId="0" borderId="58" xfId="0" applyNumberFormat="1" applyFont="1" applyBorder="1" applyAlignment="1">
      <alignment horizontal="right" vertical="top"/>
    </xf>
    <xf numFmtId="3" fontId="20" fillId="0" borderId="0" xfId="0" applyNumberFormat="1" applyFont="1" applyBorder="1" applyAlignment="1">
      <alignment horizontal="right" vertical="top"/>
    </xf>
    <xf numFmtId="3" fontId="20" fillId="0" borderId="31" xfId="0" applyNumberFormat="1" applyFont="1" applyBorder="1" applyAlignment="1">
      <alignment horizontal="right" vertical="top"/>
    </xf>
    <xf numFmtId="3" fontId="20" fillId="0" borderId="0" xfId="0" applyNumberFormat="1" applyFont="1" applyBorder="1" applyAlignment="1">
      <alignment vertical="top"/>
    </xf>
    <xf numFmtId="3" fontId="6" fillId="0" borderId="30" xfId="0" applyNumberFormat="1" applyFont="1" applyFill="1" applyBorder="1" applyAlignment="1">
      <alignment horizontal="center" vertical="top"/>
    </xf>
    <xf numFmtId="3" fontId="12" fillId="0" borderId="0" xfId="62" applyNumberFormat="1" applyFont="1" applyFill="1" applyBorder="1" applyAlignment="1">
      <alignment horizontal="center" vertical="center"/>
      <protection/>
    </xf>
    <xf numFmtId="3" fontId="2" fillId="0" borderId="0" xfId="62" applyNumberFormat="1" applyFont="1" applyFill="1" applyAlignment="1">
      <alignment horizontal="center" vertical="top"/>
      <protection/>
    </xf>
    <xf numFmtId="3" fontId="34" fillId="0" borderId="0" xfId="62" applyNumberFormat="1" applyFont="1" applyFill="1" applyBorder="1" applyAlignment="1">
      <alignment horizontal="center" vertical="center"/>
      <protection/>
    </xf>
    <xf numFmtId="3" fontId="2" fillId="0" borderId="11" xfId="62" applyNumberFormat="1" applyFont="1" applyFill="1" applyBorder="1" applyAlignment="1">
      <alignment horizontal="center" vertical="top"/>
      <protection/>
    </xf>
    <xf numFmtId="3" fontId="20" fillId="0" borderId="11" xfId="62" applyNumberFormat="1" applyFont="1" applyFill="1" applyBorder="1" applyAlignment="1">
      <alignment horizontal="center" vertical="center"/>
      <protection/>
    </xf>
    <xf numFmtId="3" fontId="19" fillId="0" borderId="11" xfId="62" applyNumberFormat="1" applyFont="1" applyFill="1" applyBorder="1" applyAlignment="1">
      <alignment horizontal="center" vertical="center"/>
      <protection/>
    </xf>
    <xf numFmtId="3" fontId="12" fillId="0" borderId="0" xfId="62" applyNumberFormat="1" applyFont="1" applyFill="1" applyBorder="1" applyAlignment="1">
      <alignment horizontal="center"/>
      <protection/>
    </xf>
    <xf numFmtId="3" fontId="2" fillId="0" borderId="83" xfId="62" applyNumberFormat="1" applyFont="1" applyFill="1" applyBorder="1" applyAlignment="1">
      <alignment horizontal="center" vertical="top"/>
      <protection/>
    </xf>
    <xf numFmtId="3" fontId="2" fillId="0" borderId="82" xfId="62" applyNumberFormat="1" applyFont="1" applyFill="1" applyBorder="1" applyAlignment="1">
      <alignment horizontal="center" vertical="top"/>
      <protection/>
    </xf>
    <xf numFmtId="3" fontId="12" fillId="0" borderId="0" xfId="62" applyNumberFormat="1" applyFont="1" applyFill="1" applyBorder="1" applyAlignment="1">
      <alignment horizontal="left" vertical="center"/>
      <protection/>
    </xf>
    <xf numFmtId="3" fontId="15" fillId="0" borderId="10" xfId="62" applyNumberFormat="1" applyFont="1" applyFill="1" applyBorder="1" applyAlignment="1">
      <alignment horizontal="center"/>
      <protection/>
    </xf>
    <xf numFmtId="3" fontId="15" fillId="0" borderId="11" xfId="62" applyNumberFormat="1" applyFont="1" applyFill="1" applyBorder="1" applyAlignment="1">
      <alignment horizontal="center"/>
      <protection/>
    </xf>
    <xf numFmtId="3" fontId="15" fillId="0" borderId="11" xfId="62" applyNumberFormat="1" applyFont="1" applyFill="1" applyBorder="1" applyAlignment="1">
      <alignment horizontal="right"/>
      <protection/>
    </xf>
    <xf numFmtId="3" fontId="15" fillId="0" borderId="22" xfId="62" applyNumberFormat="1" applyFont="1" applyFill="1" applyBorder="1" applyAlignment="1">
      <alignment horizontal="right"/>
      <protection/>
    </xf>
    <xf numFmtId="3" fontId="19" fillId="0" borderId="10" xfId="62" applyNumberFormat="1" applyFont="1" applyFill="1" applyBorder="1" applyAlignment="1">
      <alignment horizontal="center" vertical="center"/>
      <protection/>
    </xf>
    <xf numFmtId="3" fontId="19" fillId="0" borderId="11" xfId="62" applyNumberFormat="1" applyFont="1" applyFill="1" applyBorder="1" applyAlignment="1">
      <alignment horizontal="right" vertical="center"/>
      <protection/>
    </xf>
    <xf numFmtId="3" fontId="19" fillId="0" borderId="22" xfId="62" applyNumberFormat="1" applyFont="1" applyFill="1" applyBorder="1" applyAlignment="1">
      <alignment horizontal="right" vertical="center"/>
      <protection/>
    </xf>
    <xf numFmtId="3" fontId="15" fillId="0" borderId="11" xfId="62" applyNumberFormat="1" applyFont="1" applyFill="1" applyBorder="1" applyAlignment="1">
      <alignment horizontal="left" vertical="center" wrapText="1" indent="4"/>
      <protection/>
    </xf>
    <xf numFmtId="3" fontId="19" fillId="0" borderId="11" xfId="62" applyNumberFormat="1" applyFont="1" applyFill="1" applyBorder="1" applyAlignment="1">
      <alignment horizontal="left" vertical="center" wrapText="1" indent="4"/>
      <protection/>
    </xf>
    <xf numFmtId="3" fontId="20" fillId="0" borderId="11" xfId="62" applyNumberFormat="1" applyFont="1" applyFill="1" applyBorder="1" applyAlignment="1">
      <alignment horizontal="left" vertical="center" wrapText="1" indent="4"/>
      <protection/>
    </xf>
    <xf numFmtId="3" fontId="20" fillId="0" borderId="82" xfId="62" applyNumberFormat="1" applyFont="1" applyFill="1" applyBorder="1" applyAlignment="1">
      <alignment vertical="center" wrapText="1"/>
      <protection/>
    </xf>
    <xf numFmtId="3" fontId="12" fillId="0" borderId="0" xfId="0" applyNumberFormat="1" applyFont="1" applyFill="1" applyBorder="1" applyAlignment="1">
      <alignment/>
    </xf>
    <xf numFmtId="3" fontId="34" fillId="0" borderId="0" xfId="0" applyNumberFormat="1" applyFont="1" applyFill="1" applyBorder="1" applyAlignment="1">
      <alignment/>
    </xf>
    <xf numFmtId="3" fontId="12" fillId="0" borderId="0" xfId="62" applyNumberFormat="1" applyFont="1" applyFill="1" applyBorder="1">
      <alignment/>
      <protection/>
    </xf>
    <xf numFmtId="3" fontId="5" fillId="0" borderId="90" xfId="62" applyNumberFormat="1" applyFont="1" applyFill="1" applyBorder="1" applyAlignment="1">
      <alignment horizontal="right" vertical="center"/>
      <protection/>
    </xf>
    <xf numFmtId="3" fontId="12" fillId="0" borderId="0" xfId="62" applyNumberFormat="1" applyFont="1" applyFill="1" applyBorder="1" applyAlignment="1">
      <alignment horizontal="center" vertical="top"/>
      <protection/>
    </xf>
    <xf numFmtId="3" fontId="2" fillId="0" borderId="11" xfId="63" applyNumberFormat="1" applyFont="1" applyFill="1" applyBorder="1" applyAlignment="1">
      <alignment wrapText="1"/>
      <protection/>
    </xf>
    <xf numFmtId="3" fontId="5" fillId="0" borderId="0" xfId="69" applyNumberFormat="1" applyFont="1" applyFill="1" applyBorder="1" applyAlignment="1">
      <alignment vertical="center"/>
      <protection/>
    </xf>
    <xf numFmtId="3" fontId="4" fillId="0" borderId="0" xfId="69" applyNumberFormat="1" applyFont="1" applyFill="1" applyBorder="1" applyAlignment="1">
      <alignment vertical="center"/>
      <protection/>
    </xf>
    <xf numFmtId="0" fontId="2" fillId="0" borderId="0" xfId="69" applyFont="1" applyFill="1" applyBorder="1" applyAlignment="1">
      <alignment vertical="center" wrapText="1"/>
      <protection/>
    </xf>
    <xf numFmtId="3" fontId="2" fillId="0" borderId="0" xfId="69" applyNumberFormat="1" applyFont="1" applyFill="1" applyBorder="1" applyAlignment="1">
      <alignment horizontal="right" vertical="center"/>
      <protection/>
    </xf>
    <xf numFmtId="0" fontId="6" fillId="0" borderId="0" xfId="69" applyFont="1" applyFill="1" applyBorder="1" applyAlignment="1">
      <alignment horizontal="center" vertical="center"/>
      <protection/>
    </xf>
    <xf numFmtId="3" fontId="4" fillId="0" borderId="109" xfId="69" applyNumberFormat="1" applyFont="1" applyFill="1" applyBorder="1" applyAlignment="1">
      <alignment horizontal="center" vertical="center" wrapText="1"/>
      <protection/>
    </xf>
    <xf numFmtId="3" fontId="2" fillId="0" borderId="22" xfId="63" applyNumberFormat="1" applyFont="1" applyFill="1" applyBorder="1" applyAlignment="1">
      <alignment horizontal="right" vertical="center"/>
      <protection/>
    </xf>
    <xf numFmtId="3" fontId="2" fillId="0" borderId="11" xfId="63" applyNumberFormat="1" applyFont="1" applyFill="1" applyBorder="1" applyAlignment="1">
      <alignment vertical="center" wrapText="1"/>
      <protection/>
    </xf>
    <xf numFmtId="0" fontId="4" fillId="0" borderId="12" xfId="69" applyFont="1" applyFill="1" applyBorder="1" applyAlignment="1">
      <alignment horizontal="right" vertical="center"/>
      <protection/>
    </xf>
    <xf numFmtId="0" fontId="4" fillId="0" borderId="0" xfId="69" applyFont="1" applyFill="1" applyBorder="1" applyAlignment="1">
      <alignment vertical="center"/>
      <protection/>
    </xf>
    <xf numFmtId="0" fontId="2" fillId="0" borderId="0" xfId="69" applyFont="1" applyFill="1" applyBorder="1" applyAlignment="1">
      <alignment/>
      <protection/>
    </xf>
    <xf numFmtId="3" fontId="2" fillId="0" borderId="0" xfId="69" applyNumberFormat="1" applyFont="1" applyFill="1" applyBorder="1" applyAlignment="1">
      <alignment/>
      <protection/>
    </xf>
    <xf numFmtId="0" fontId="2" fillId="0" borderId="11" xfId="63" applyFont="1" applyFill="1" applyBorder="1" applyAlignment="1">
      <alignment vertical="center" wrapText="1"/>
      <protection/>
    </xf>
    <xf numFmtId="3" fontId="4" fillId="0" borderId="112" xfId="69" applyNumberFormat="1" applyFont="1" applyFill="1" applyBorder="1" applyAlignment="1">
      <alignment horizontal="right" vertical="center"/>
      <protection/>
    </xf>
    <xf numFmtId="0" fontId="2" fillId="0" borderId="20" xfId="69" applyFont="1" applyFill="1" applyBorder="1" applyAlignment="1">
      <alignment horizontal="center"/>
      <protection/>
    </xf>
    <xf numFmtId="0" fontId="13" fillId="0" borderId="21" xfId="69" applyFont="1" applyFill="1" applyBorder="1" applyAlignment="1">
      <alignment horizontal="left"/>
      <protection/>
    </xf>
    <xf numFmtId="3" fontId="4" fillId="0" borderId="21" xfId="69" applyNumberFormat="1" applyFont="1" applyFill="1" applyBorder="1" applyAlignment="1">
      <alignment horizontal="right"/>
      <protection/>
    </xf>
    <xf numFmtId="3" fontId="4" fillId="0" borderId="146" xfId="69" applyNumberFormat="1" applyFont="1" applyFill="1" applyBorder="1" applyAlignment="1">
      <alignment horizontal="right"/>
      <protection/>
    </xf>
    <xf numFmtId="3" fontId="4" fillId="0" borderId="140" xfId="69" applyNumberFormat="1" applyFont="1" applyFill="1" applyBorder="1" applyAlignment="1">
      <alignment horizontal="right"/>
      <protection/>
    </xf>
    <xf numFmtId="3" fontId="4" fillId="0" borderId="147" xfId="69" applyNumberFormat="1" applyFont="1" applyFill="1" applyBorder="1" applyAlignment="1">
      <alignment horizontal="right"/>
      <protection/>
    </xf>
    <xf numFmtId="3" fontId="4" fillId="0" borderId="148" xfId="69" applyNumberFormat="1" applyFont="1" applyFill="1" applyBorder="1" applyAlignment="1">
      <alignment horizontal="right"/>
      <protection/>
    </xf>
    <xf numFmtId="3" fontId="4" fillId="0" borderId="0" xfId="69" applyNumberFormat="1" applyFont="1" applyFill="1" applyBorder="1" applyAlignment="1">
      <alignment/>
      <protection/>
    </xf>
    <xf numFmtId="0" fontId="4" fillId="0" borderId="0" xfId="69" applyFont="1" applyFill="1" applyBorder="1" applyAlignment="1">
      <alignment/>
      <protection/>
    </xf>
    <xf numFmtId="0" fontId="2" fillId="0" borderId="10" xfId="69" applyFont="1" applyFill="1" applyBorder="1" applyAlignment="1">
      <alignment horizontal="center"/>
      <protection/>
    </xf>
    <xf numFmtId="3" fontId="2" fillId="0" borderId="11" xfId="67" applyNumberFormat="1" applyFont="1" applyFill="1" applyBorder="1" applyAlignment="1">
      <alignment/>
      <protection/>
    </xf>
    <xf numFmtId="3" fontId="4" fillId="0" borderId="90" xfId="67" applyNumberFormat="1" applyFont="1" applyFill="1" applyBorder="1" applyAlignment="1">
      <alignment horizontal="right"/>
      <protection/>
    </xf>
    <xf numFmtId="3" fontId="2" fillId="0" borderId="11" xfId="67" applyNumberFormat="1" applyFont="1" applyFill="1" applyBorder="1" applyAlignment="1">
      <alignment vertical="center"/>
      <protection/>
    </xf>
    <xf numFmtId="3" fontId="2" fillId="0" borderId="22" xfId="67" applyNumberFormat="1" applyFont="1" applyFill="1" applyBorder="1" applyAlignment="1">
      <alignment vertical="center"/>
      <protection/>
    </xf>
    <xf numFmtId="3" fontId="2" fillId="0" borderId="90" xfId="67" applyNumberFormat="1" applyFont="1" applyFill="1" applyBorder="1" applyAlignment="1">
      <alignment vertical="center"/>
      <protection/>
    </xf>
    <xf numFmtId="3" fontId="4" fillId="0" borderId="121" xfId="67" applyNumberFormat="1" applyFont="1" applyFill="1" applyBorder="1" applyAlignment="1">
      <alignment vertical="center"/>
      <protection/>
    </xf>
    <xf numFmtId="3" fontId="2" fillId="0" borderId="118" xfId="67" applyNumberFormat="1" applyFont="1" applyFill="1" applyBorder="1" applyAlignment="1">
      <alignment horizontal="right" vertical="center"/>
      <protection/>
    </xf>
    <xf numFmtId="0" fontId="2" fillId="0" borderId="11" xfId="69" applyFont="1" applyFill="1" applyBorder="1" applyAlignment="1">
      <alignment vertical="center"/>
      <protection/>
    </xf>
    <xf numFmtId="0" fontId="2" fillId="0" borderId="22" xfId="69" applyFont="1" applyFill="1" applyBorder="1" applyAlignment="1">
      <alignment vertical="center"/>
      <protection/>
    </xf>
    <xf numFmtId="0" fontId="2" fillId="0" borderId="90" xfId="69" applyFont="1" applyFill="1" applyBorder="1" applyAlignment="1">
      <alignment vertical="center"/>
      <protection/>
    </xf>
    <xf numFmtId="0" fontId="2" fillId="0" borderId="118" xfId="69" applyFont="1" applyFill="1" applyBorder="1" applyAlignment="1">
      <alignment vertical="center"/>
      <protection/>
    </xf>
    <xf numFmtId="0" fontId="4" fillId="0" borderId="11" xfId="67" applyFont="1" applyFill="1" applyBorder="1" applyAlignment="1">
      <alignment horizontal="left" wrapText="1"/>
      <protection/>
    </xf>
    <xf numFmtId="0" fontId="2" fillId="0" borderId="11" xfId="67" applyFont="1" applyFill="1" applyBorder="1" applyAlignment="1">
      <alignment horizontal="left" vertical="center" wrapText="1"/>
      <protection/>
    </xf>
    <xf numFmtId="0" fontId="2" fillId="0" borderId="11" xfId="69" applyFont="1" applyFill="1" applyBorder="1" applyAlignment="1">
      <alignment/>
      <protection/>
    </xf>
    <xf numFmtId="0" fontId="2" fillId="0" borderId="22" xfId="69" applyFont="1" applyFill="1" applyBorder="1" applyAlignment="1">
      <alignment/>
      <protection/>
    </xf>
    <xf numFmtId="0" fontId="4" fillId="0" borderId="12" xfId="67" applyFont="1" applyFill="1" applyBorder="1" applyAlignment="1">
      <alignment horizontal="left" vertical="center" wrapText="1"/>
      <protection/>
    </xf>
    <xf numFmtId="3" fontId="4" fillId="0" borderId="99" xfId="67" applyNumberFormat="1" applyFont="1" applyFill="1" applyBorder="1" applyAlignment="1">
      <alignment horizontal="right" vertical="center"/>
      <protection/>
    </xf>
    <xf numFmtId="0" fontId="4" fillId="0" borderId="89" xfId="69" applyFont="1" applyFill="1" applyBorder="1" applyAlignment="1">
      <alignment horizontal="right" vertical="center"/>
      <protection/>
    </xf>
    <xf numFmtId="3" fontId="4" fillId="0" borderId="89" xfId="69" applyNumberFormat="1" applyFont="1" applyFill="1" applyBorder="1" applyAlignment="1">
      <alignment horizontal="right" vertical="center"/>
      <protection/>
    </xf>
    <xf numFmtId="3" fontId="4" fillId="0" borderId="113" xfId="69" applyNumberFormat="1" applyFont="1" applyFill="1" applyBorder="1" applyAlignment="1">
      <alignment horizontal="right" vertical="center"/>
      <protection/>
    </xf>
    <xf numFmtId="3" fontId="4" fillId="0" borderId="126" xfId="69" applyNumberFormat="1" applyFont="1" applyFill="1" applyBorder="1" applyAlignment="1">
      <alignment horizontal="right" vertical="center"/>
      <protection/>
    </xf>
    <xf numFmtId="3" fontId="31" fillId="0" borderId="89" xfId="69" applyNumberFormat="1" applyFont="1" applyFill="1" applyBorder="1" applyAlignment="1">
      <alignment horizontal="right" vertical="center"/>
      <protection/>
    </xf>
    <xf numFmtId="3" fontId="4" fillId="0" borderId="127" xfId="69" applyNumberFormat="1" applyFont="1" applyFill="1" applyBorder="1" applyAlignment="1">
      <alignment horizontal="right" vertical="center"/>
      <protection/>
    </xf>
    <xf numFmtId="3" fontId="4" fillId="0" borderId="37" xfId="69" applyNumberFormat="1" applyFont="1" applyFill="1" applyBorder="1" applyAlignment="1">
      <alignment horizontal="right" vertical="center"/>
      <protection/>
    </xf>
    <xf numFmtId="3" fontId="12" fillId="0" borderId="0" xfId="69" applyNumberFormat="1" applyFont="1" applyFill="1" applyBorder="1" applyAlignment="1">
      <alignment vertical="center"/>
      <protection/>
    </xf>
    <xf numFmtId="3" fontId="33" fillId="0" borderId="0" xfId="69" applyNumberFormat="1" applyFont="1" applyFill="1" applyBorder="1" applyAlignment="1">
      <alignment vertical="center"/>
      <protection/>
    </xf>
    <xf numFmtId="3" fontId="34" fillId="0" borderId="0" xfId="69" applyNumberFormat="1" applyFont="1" applyFill="1" applyBorder="1" applyAlignment="1">
      <alignment vertical="center"/>
      <protection/>
    </xf>
    <xf numFmtId="0" fontId="12" fillId="0" borderId="0" xfId="69" applyFont="1" applyFill="1" applyBorder="1" applyAlignment="1">
      <alignment vertical="center"/>
      <protection/>
    </xf>
    <xf numFmtId="0" fontId="2" fillId="0" borderId="149" xfId="69" applyFont="1" applyFill="1" applyBorder="1" applyAlignment="1">
      <alignment horizontal="center" vertical="center"/>
      <protection/>
    </xf>
    <xf numFmtId="0" fontId="2" fillId="0" borderId="149" xfId="67" applyFont="1" applyFill="1" applyBorder="1" applyAlignment="1">
      <alignment horizontal="left" vertical="center" wrapText="1"/>
      <protection/>
    </xf>
    <xf numFmtId="0" fontId="2" fillId="0" borderId="149" xfId="67" applyFont="1" applyFill="1" applyBorder="1" applyAlignment="1">
      <alignment horizontal="center" vertical="center" wrapText="1"/>
      <protection/>
    </xf>
    <xf numFmtId="3" fontId="2" fillId="0" borderId="149" xfId="67" applyNumberFormat="1" applyFont="1" applyFill="1" applyBorder="1" applyAlignment="1">
      <alignment vertical="center"/>
      <protection/>
    </xf>
    <xf numFmtId="3" fontId="4" fillId="0" borderId="150" xfId="67" applyNumberFormat="1" applyFont="1" applyFill="1" applyBorder="1" applyAlignment="1">
      <alignment vertical="center"/>
      <protection/>
    </xf>
    <xf numFmtId="3" fontId="31" fillId="0" borderId="21" xfId="69" applyNumberFormat="1" applyFont="1" applyFill="1" applyBorder="1" applyAlignment="1">
      <alignment horizontal="right"/>
      <protection/>
    </xf>
    <xf numFmtId="3" fontId="31" fillId="0" borderId="11" xfId="67" applyNumberFormat="1" applyFont="1" applyFill="1" applyBorder="1" applyAlignment="1">
      <alignment horizontal="right"/>
      <protection/>
    </xf>
    <xf numFmtId="3" fontId="5" fillId="0" borderId="11" xfId="67" applyNumberFormat="1" applyFont="1" applyFill="1" applyBorder="1" applyAlignment="1">
      <alignment vertical="center"/>
      <protection/>
    </xf>
    <xf numFmtId="0" fontId="5" fillId="0" borderId="11" xfId="69" applyFont="1" applyFill="1" applyBorder="1" applyAlignment="1">
      <alignment vertical="center"/>
      <protection/>
    </xf>
    <xf numFmtId="3" fontId="5" fillId="0" borderId="11" xfId="67" applyNumberFormat="1" applyFont="1" applyFill="1" applyBorder="1" applyAlignment="1">
      <alignment horizontal="right"/>
      <protection/>
    </xf>
    <xf numFmtId="3" fontId="5" fillId="0" borderId="11" xfId="67" applyNumberFormat="1" applyFont="1" applyFill="1" applyBorder="1" applyAlignment="1">
      <alignment horizontal="right" vertical="center"/>
      <protection/>
    </xf>
    <xf numFmtId="3" fontId="2" fillId="0" borderId="151" xfId="67" applyNumberFormat="1" applyFont="1" applyFill="1" applyBorder="1" applyAlignment="1">
      <alignment vertical="center"/>
      <protection/>
    </xf>
    <xf numFmtId="3" fontId="5" fillId="0" borderId="149" xfId="67" applyNumberFormat="1" applyFont="1" applyFill="1" applyBorder="1" applyAlignment="1">
      <alignment vertical="center"/>
      <protection/>
    </xf>
    <xf numFmtId="3" fontId="4" fillId="0" borderId="152" xfId="67" applyNumberFormat="1" applyFont="1" applyFill="1" applyBorder="1" applyAlignment="1">
      <alignment vertical="center"/>
      <protection/>
    </xf>
    <xf numFmtId="0" fontId="2" fillId="0" borderId="11" xfId="70" applyFont="1" applyFill="1" applyBorder="1" applyAlignment="1">
      <alignment wrapText="1"/>
      <protection/>
    </xf>
    <xf numFmtId="0" fontId="2" fillId="0" borderId="11" xfId="70" applyFont="1" applyFill="1" applyBorder="1" applyAlignment="1">
      <alignment horizontal="right" wrapText="1"/>
      <protection/>
    </xf>
    <xf numFmtId="0" fontId="2" fillId="0" borderId="11" xfId="60" applyFont="1" applyFill="1" applyBorder="1" applyAlignment="1">
      <alignment vertical="center" wrapText="1"/>
      <protection/>
    </xf>
    <xf numFmtId="0" fontId="2" fillId="0" borderId="149" xfId="70" applyFont="1" applyFill="1" applyBorder="1" applyAlignment="1">
      <alignment wrapText="1"/>
      <protection/>
    </xf>
    <xf numFmtId="3" fontId="2" fillId="0" borderId="149" xfId="63" applyNumberFormat="1" applyFont="1" applyFill="1" applyBorder="1" applyAlignment="1">
      <alignment horizontal="right" vertical="center"/>
      <protection/>
    </xf>
    <xf numFmtId="3" fontId="2" fillId="0" borderId="153" xfId="63" applyNumberFormat="1" applyFont="1" applyFill="1" applyBorder="1" applyAlignment="1">
      <alignment horizontal="right" vertical="center"/>
      <protection/>
    </xf>
    <xf numFmtId="3" fontId="4" fillId="0" borderId="84" xfId="69" applyNumberFormat="1" applyFont="1" applyFill="1" applyBorder="1" applyAlignment="1">
      <alignment horizontal="right"/>
      <protection/>
    </xf>
    <xf numFmtId="3" fontId="4" fillId="0" borderId="105" xfId="69" applyNumberFormat="1" applyFont="1" applyFill="1" applyBorder="1" applyAlignment="1">
      <alignment horizontal="right"/>
      <protection/>
    </xf>
    <xf numFmtId="0" fontId="2" fillId="0" borderId="149" xfId="67" applyFont="1" applyFill="1" applyBorder="1" applyAlignment="1">
      <alignment wrapText="1"/>
      <protection/>
    </xf>
    <xf numFmtId="3" fontId="4" fillId="0" borderId="154" xfId="69" applyNumberFormat="1" applyFont="1" applyFill="1" applyBorder="1" applyAlignment="1">
      <alignment horizontal="right"/>
      <protection/>
    </xf>
    <xf numFmtId="3" fontId="31" fillId="0" borderId="84" xfId="69" applyNumberFormat="1" applyFont="1" applyFill="1" applyBorder="1" applyAlignment="1">
      <alignment horizontal="right"/>
      <protection/>
    </xf>
    <xf numFmtId="3" fontId="4" fillId="0" borderId="155" xfId="69" applyNumberFormat="1" applyFont="1" applyFill="1" applyBorder="1" applyAlignment="1">
      <alignment horizontal="right"/>
      <protection/>
    </xf>
    <xf numFmtId="3" fontId="2" fillId="0" borderId="151" xfId="62" applyNumberFormat="1" applyFont="1" applyFill="1" applyBorder="1" applyAlignment="1">
      <alignment horizontal="right" vertical="center"/>
      <protection/>
    </xf>
    <xf numFmtId="3" fontId="5" fillId="0" borderId="149" xfId="62" applyNumberFormat="1" applyFont="1" applyFill="1" applyBorder="1" applyAlignment="1">
      <alignment horizontal="right" vertical="center"/>
      <protection/>
    </xf>
    <xf numFmtId="3" fontId="4" fillId="0" borderId="152" xfId="62" applyNumberFormat="1" applyFont="1" applyFill="1" applyBorder="1" applyAlignment="1">
      <alignment horizontal="right" vertical="center"/>
      <protection/>
    </xf>
    <xf numFmtId="3" fontId="4" fillId="0" borderId="156" xfId="69" applyNumberFormat="1" applyFont="1" applyFill="1" applyBorder="1" applyAlignment="1">
      <alignment horizontal="right"/>
      <protection/>
    </xf>
    <xf numFmtId="3" fontId="2" fillId="0" borderId="157" xfId="65" applyNumberFormat="1" applyFont="1" applyFill="1" applyBorder="1" applyAlignment="1">
      <alignment horizontal="right" vertical="center"/>
      <protection/>
    </xf>
    <xf numFmtId="3" fontId="2" fillId="0" borderId="153" xfId="67" applyNumberFormat="1" applyFont="1" applyFill="1" applyBorder="1" applyAlignment="1">
      <alignment vertical="center"/>
      <protection/>
    </xf>
    <xf numFmtId="3" fontId="2" fillId="0" borderId="157" xfId="67" applyNumberFormat="1" applyFont="1" applyFill="1" applyBorder="1" applyAlignment="1">
      <alignment horizontal="right" vertical="center"/>
      <protection/>
    </xf>
    <xf numFmtId="3" fontId="4" fillId="0" borderId="150" xfId="69" applyNumberFormat="1" applyFont="1" applyFill="1" applyBorder="1" applyAlignment="1">
      <alignment horizontal="right" vertical="center"/>
      <protection/>
    </xf>
    <xf numFmtId="3" fontId="31" fillId="0" borderId="150" xfId="69" applyNumberFormat="1" applyFont="1" applyFill="1" applyBorder="1" applyAlignment="1">
      <alignment horizontal="right" vertical="center"/>
      <protection/>
    </xf>
    <xf numFmtId="3" fontId="2" fillId="0" borderId="86" xfId="62" applyNumberFormat="1" applyFont="1" applyFill="1" applyBorder="1" applyAlignment="1">
      <alignment horizontal="center"/>
      <protection/>
    </xf>
    <xf numFmtId="0" fontId="13" fillId="0" borderId="83" xfId="69" applyFont="1" applyFill="1" applyBorder="1" applyAlignment="1">
      <alignment horizontal="left" wrapText="1"/>
      <protection/>
    </xf>
    <xf numFmtId="0" fontId="2" fillId="0" borderId="83" xfId="67" applyFont="1" applyFill="1" applyBorder="1" applyAlignment="1">
      <alignment horizontal="center" textRotation="90" wrapText="1"/>
      <protection/>
    </xf>
    <xf numFmtId="3" fontId="4" fillId="0" borderId="83" xfId="69" applyNumberFormat="1" applyFont="1" applyFill="1" applyBorder="1" applyAlignment="1">
      <alignment horizontal="right" wrapText="1"/>
      <protection/>
    </xf>
    <xf numFmtId="3" fontId="4" fillId="0" borderId="111" xfId="69" applyNumberFormat="1" applyFont="1" applyFill="1" applyBorder="1" applyAlignment="1">
      <alignment horizontal="right" wrapText="1"/>
      <protection/>
    </xf>
    <xf numFmtId="3" fontId="4" fillId="0" borderId="119" xfId="69" applyNumberFormat="1" applyFont="1" applyFill="1" applyBorder="1" applyAlignment="1">
      <alignment horizontal="right" wrapText="1"/>
      <protection/>
    </xf>
    <xf numFmtId="3" fontId="31" fillId="0" borderId="83" xfId="69" applyNumberFormat="1" applyFont="1" applyFill="1" applyBorder="1" applyAlignment="1">
      <alignment horizontal="right" wrapText="1"/>
      <protection/>
    </xf>
    <xf numFmtId="3" fontId="4" fillId="0" borderId="120" xfId="69" applyNumberFormat="1" applyFont="1" applyFill="1" applyBorder="1" applyAlignment="1">
      <alignment horizontal="right" wrapText="1"/>
      <protection/>
    </xf>
    <xf numFmtId="3" fontId="4" fillId="0" borderId="117" xfId="69" applyNumberFormat="1" applyFont="1" applyFill="1" applyBorder="1" applyAlignment="1">
      <alignment horizontal="right" wrapText="1"/>
      <protection/>
    </xf>
    <xf numFmtId="0" fontId="2" fillId="0" borderId="0" xfId="69" applyFont="1" applyFill="1" applyBorder="1" applyAlignment="1">
      <alignment horizontal="center"/>
      <protection/>
    </xf>
    <xf numFmtId="0" fontId="6" fillId="0" borderId="0" xfId="69" applyFont="1" applyFill="1" applyBorder="1" applyAlignment="1">
      <alignment horizontal="center" wrapText="1"/>
      <protection/>
    </xf>
    <xf numFmtId="3" fontId="2" fillId="0" borderId="13" xfId="62" applyNumberFormat="1" applyFont="1" applyFill="1" applyBorder="1" applyAlignment="1">
      <alignment horizontal="center" textRotation="90"/>
      <protection/>
    </xf>
    <xf numFmtId="0" fontId="2" fillId="0" borderId="158" xfId="69" applyFont="1" applyFill="1" applyBorder="1" applyAlignment="1">
      <alignment horizontal="center"/>
      <protection/>
    </xf>
    <xf numFmtId="0" fontId="4" fillId="0" borderId="159" xfId="69" applyFont="1" applyFill="1" applyBorder="1" applyAlignment="1">
      <alignment horizontal="center"/>
      <protection/>
    </xf>
    <xf numFmtId="0" fontId="4" fillId="0" borderId="160" xfId="69" applyFont="1" applyFill="1" applyBorder="1" applyAlignment="1">
      <alignment horizontal="center"/>
      <protection/>
    </xf>
    <xf numFmtId="3" fontId="12" fillId="0" borderId="0" xfId="60" applyNumberFormat="1" applyFont="1" applyFill="1" applyBorder="1" applyAlignment="1">
      <alignment horizontal="left"/>
      <protection/>
    </xf>
    <xf numFmtId="0" fontId="2" fillId="0" borderId="84" xfId="69" applyFont="1" applyFill="1" applyBorder="1" applyAlignment="1">
      <alignment horizontal="center" vertical="center"/>
      <protection/>
    </xf>
    <xf numFmtId="0" fontId="2" fillId="0" borderId="21" xfId="69" applyFont="1" applyFill="1" applyBorder="1" applyAlignment="1">
      <alignment horizontal="center" vertical="center"/>
      <protection/>
    </xf>
    <xf numFmtId="3" fontId="4" fillId="0" borderId="14" xfId="67" applyNumberFormat="1" applyFont="1" applyFill="1" applyBorder="1" applyAlignment="1">
      <alignment horizontal="center" vertical="center" wrapText="1"/>
      <protection/>
    </xf>
    <xf numFmtId="3" fontId="2" fillId="0" borderId="22" xfId="67" applyNumberFormat="1" applyFont="1" applyFill="1" applyBorder="1" applyAlignment="1">
      <alignment vertical="top"/>
      <protection/>
    </xf>
    <xf numFmtId="3" fontId="2" fillId="0" borderId="90" xfId="67" applyNumberFormat="1" applyFont="1" applyFill="1" applyBorder="1" applyAlignment="1">
      <alignment vertical="top"/>
      <protection/>
    </xf>
    <xf numFmtId="3" fontId="4" fillId="0" borderId="118" xfId="67" applyNumberFormat="1" applyFont="1" applyFill="1" applyBorder="1" applyAlignment="1">
      <alignment vertical="center"/>
      <protection/>
    </xf>
    <xf numFmtId="3" fontId="2" fillId="0" borderId="118" xfId="67" applyNumberFormat="1" applyFont="1" applyFill="1" applyBorder="1" applyAlignment="1">
      <alignment vertical="center"/>
      <protection/>
    </xf>
    <xf numFmtId="3" fontId="2" fillId="0" borderId="161" xfId="67" applyNumberFormat="1" applyFont="1" applyFill="1" applyBorder="1" applyAlignment="1">
      <alignment/>
      <protection/>
    </xf>
    <xf numFmtId="3" fontId="5" fillId="0" borderId="83" xfId="67" applyNumberFormat="1" applyFont="1" applyFill="1" applyBorder="1" applyAlignment="1">
      <alignment vertical="center"/>
      <protection/>
    </xf>
    <xf numFmtId="3" fontId="5" fillId="0" borderId="83" xfId="67" applyNumberFormat="1" applyFont="1" applyFill="1" applyBorder="1">
      <alignment/>
      <protection/>
    </xf>
    <xf numFmtId="3" fontId="5" fillId="0" borderId="11" xfId="67" applyNumberFormat="1" applyFont="1" applyFill="1" applyBorder="1" applyAlignment="1">
      <alignment/>
      <protection/>
    </xf>
    <xf numFmtId="3" fontId="5" fillId="0" borderId="11" xfId="67" applyNumberFormat="1" applyFont="1" applyFill="1" applyBorder="1">
      <alignment/>
      <protection/>
    </xf>
    <xf numFmtId="3" fontId="5" fillId="0" borderId="11" xfId="63" applyNumberFormat="1" applyFont="1" applyFill="1" applyBorder="1" applyAlignment="1">
      <alignment vertical="center"/>
      <protection/>
    </xf>
    <xf numFmtId="3" fontId="5" fillId="0" borderId="11" xfId="67" applyNumberFormat="1" applyFont="1" applyFill="1" applyBorder="1" applyAlignment="1">
      <alignment vertical="top"/>
      <protection/>
    </xf>
    <xf numFmtId="3" fontId="5" fillId="0" borderId="88" xfId="67" applyNumberFormat="1" applyFont="1" applyFill="1" applyBorder="1" applyAlignment="1">
      <alignment horizontal="right"/>
      <protection/>
    </xf>
    <xf numFmtId="3" fontId="6" fillId="0" borderId="0" xfId="0" applyNumberFormat="1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/>
    </xf>
    <xf numFmtId="3" fontId="6" fillId="0" borderId="0" xfId="67" applyNumberFormat="1" applyFont="1" applyFill="1" applyBorder="1" applyAlignment="1">
      <alignment/>
      <protection/>
    </xf>
    <xf numFmtId="3" fontId="24" fillId="0" borderId="0" xfId="67" applyNumberFormat="1" applyFont="1" applyFill="1" applyBorder="1" applyAlignment="1">
      <alignment/>
      <protection/>
    </xf>
    <xf numFmtId="3" fontId="18" fillId="0" borderId="0" xfId="67" applyNumberFormat="1" applyFont="1" applyFill="1" applyBorder="1" applyAlignment="1">
      <alignment/>
      <protection/>
    </xf>
    <xf numFmtId="0" fontId="6" fillId="0" borderId="0" xfId="67" applyFont="1" applyFill="1" applyBorder="1" applyAlignment="1">
      <alignment/>
      <protection/>
    </xf>
    <xf numFmtId="3" fontId="6" fillId="0" borderId="0" xfId="67" applyNumberFormat="1" applyFont="1" applyFill="1" applyBorder="1">
      <alignment/>
      <protection/>
    </xf>
    <xf numFmtId="3" fontId="24" fillId="0" borderId="0" xfId="67" applyNumberFormat="1" applyFont="1" applyFill="1" applyBorder="1">
      <alignment/>
      <protection/>
    </xf>
    <xf numFmtId="3" fontId="18" fillId="0" borderId="0" xfId="67" applyNumberFormat="1" applyFont="1" applyFill="1" applyBorder="1">
      <alignment/>
      <protection/>
    </xf>
    <xf numFmtId="0" fontId="6" fillId="0" borderId="0" xfId="67" applyFont="1" applyFill="1" applyBorder="1">
      <alignment/>
      <protection/>
    </xf>
    <xf numFmtId="0" fontId="4" fillId="0" borderId="30" xfId="0" applyFont="1" applyBorder="1" applyAlignment="1">
      <alignment/>
    </xf>
    <xf numFmtId="3" fontId="2" fillId="0" borderId="31" xfId="0" applyNumberFormat="1" applyFont="1" applyFill="1" applyBorder="1" applyAlignment="1">
      <alignment horizontal="right"/>
    </xf>
    <xf numFmtId="3" fontId="4" fillId="0" borderId="38" xfId="0" applyNumberFormat="1" applyFont="1" applyFill="1" applyBorder="1" applyAlignment="1">
      <alignment horizontal="right"/>
    </xf>
    <xf numFmtId="0" fontId="4" fillId="0" borderId="30" xfId="0" applyFont="1" applyBorder="1" applyAlignment="1">
      <alignment vertical="top"/>
    </xf>
    <xf numFmtId="3" fontId="4" fillId="0" borderId="31" xfId="0" applyNumberFormat="1" applyFont="1" applyFill="1" applyBorder="1" applyAlignment="1">
      <alignment horizontal="right" vertical="top"/>
    </xf>
    <xf numFmtId="0" fontId="4" fillId="0" borderId="144" xfId="0" applyFont="1" applyBorder="1" applyAlignment="1">
      <alignment vertical="center"/>
    </xf>
    <xf numFmtId="0" fontId="2" fillId="0" borderId="40" xfId="0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horizontal="right" vertical="center"/>
    </xf>
    <xf numFmtId="3" fontId="2" fillId="0" borderId="80" xfId="0" applyNumberFormat="1" applyFont="1" applyFill="1" applyBorder="1" applyAlignment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31" fillId="0" borderId="30" xfId="0" applyFont="1" applyBorder="1" applyAlignment="1">
      <alignment vertical="center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31" xfId="0" applyNumberFormat="1" applyFont="1" applyFill="1" applyBorder="1" applyAlignment="1">
      <alignment horizontal="right" vertical="center"/>
    </xf>
    <xf numFmtId="0" fontId="4" fillId="0" borderId="35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3" fontId="4" fillId="0" borderId="36" xfId="0" applyNumberFormat="1" applyFont="1" applyBorder="1" applyAlignment="1">
      <alignment horizontal="right" vertical="center"/>
    </xf>
    <xf numFmtId="3" fontId="4" fillId="0" borderId="37" xfId="0" applyNumberFormat="1" applyFont="1" applyFill="1" applyBorder="1" applyAlignment="1">
      <alignment horizontal="right" vertical="center"/>
    </xf>
    <xf numFmtId="166" fontId="15" fillId="0" borderId="142" xfId="77" applyNumberFormat="1" applyFont="1" applyBorder="1" applyAlignment="1">
      <alignment horizontal="center"/>
    </xf>
    <xf numFmtId="166" fontId="15" fillId="0" borderId="162" xfId="77" applyNumberFormat="1" applyFont="1" applyBorder="1" applyAlignment="1">
      <alignment horizontal="center"/>
    </xf>
    <xf numFmtId="0" fontId="20" fillId="0" borderId="76" xfId="0" applyFont="1" applyFill="1" applyBorder="1" applyAlignment="1">
      <alignment horizontal="left" vertical="center" wrapText="1"/>
    </xf>
    <xf numFmtId="0" fontId="6" fillId="0" borderId="0" xfId="67" applyFont="1" applyFill="1" applyBorder="1" applyAlignment="1">
      <alignment horizontal="center" vertical="center"/>
      <protection/>
    </xf>
    <xf numFmtId="0" fontId="2" fillId="0" borderId="11" xfId="63" applyFont="1" applyFill="1" applyBorder="1" applyAlignment="1">
      <alignment horizontal="center" vertical="center" wrapText="1"/>
      <protection/>
    </xf>
    <xf numFmtId="3" fontId="2" fillId="0" borderId="11" xfId="63" applyNumberFormat="1" applyFont="1" applyFill="1" applyBorder="1" applyAlignment="1">
      <alignment vertical="center"/>
      <protection/>
    </xf>
    <xf numFmtId="164" fontId="5" fillId="0" borderId="0" xfId="0" applyNumberFormat="1" applyFont="1" applyFill="1" applyBorder="1" applyAlignment="1">
      <alignment horizontal="left" vertical="top" wrapText="1"/>
    </xf>
    <xf numFmtId="3" fontId="20" fillId="0" borderId="163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3" fontId="15" fillId="0" borderId="0" xfId="66" applyNumberFormat="1" applyFont="1" applyFill="1" applyBorder="1" applyAlignment="1">
      <alignment horizontal="left" wrapText="1"/>
      <protection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1" fontId="4" fillId="0" borderId="0" xfId="61" applyNumberFormat="1" applyFont="1" applyFill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3" fontId="6" fillId="0" borderId="0" xfId="61" applyNumberFormat="1" applyFont="1" applyFill="1" applyBorder="1" applyAlignment="1">
      <alignment horizontal="right"/>
      <protection/>
    </xf>
    <xf numFmtId="3" fontId="2" fillId="0" borderId="0" xfId="61" applyNumberFormat="1" applyFont="1" applyFill="1" applyAlignment="1">
      <alignment horizontal="left"/>
      <protection/>
    </xf>
    <xf numFmtId="3" fontId="4" fillId="0" borderId="0" xfId="61" applyNumberFormat="1" applyFont="1" applyFill="1" applyAlignment="1">
      <alignment horizontal="center" vertical="center"/>
      <protection/>
    </xf>
    <xf numFmtId="3" fontId="2" fillId="0" borderId="0" xfId="61" applyNumberFormat="1" applyFont="1" applyFill="1" applyAlignment="1">
      <alignment horizontal="center" vertical="center"/>
      <protection/>
    </xf>
    <xf numFmtId="3" fontId="15" fillId="0" borderId="0" xfId="0" applyNumberFormat="1" applyFont="1" applyFill="1" applyAlignment="1">
      <alignment horizontal="left" vertical="center"/>
    </xf>
    <xf numFmtId="3" fontId="20" fillId="0" borderId="0" xfId="0" applyNumberFormat="1" applyFont="1" applyFill="1" applyAlignment="1">
      <alignment horizontal="center" vertical="center"/>
    </xf>
    <xf numFmtId="3" fontId="19" fillId="0" borderId="0" xfId="0" applyNumberFormat="1" applyFont="1" applyFill="1" applyAlignment="1">
      <alignment horizontal="right" vertical="center"/>
    </xf>
    <xf numFmtId="3" fontId="6" fillId="0" borderId="164" xfId="0" applyNumberFormat="1" applyFont="1" applyFill="1" applyBorder="1" applyAlignment="1">
      <alignment horizontal="center" vertical="center" textRotation="90"/>
    </xf>
    <xf numFmtId="3" fontId="6" fillId="0" borderId="165" xfId="0" applyNumberFormat="1" applyFont="1" applyFill="1" applyBorder="1" applyAlignment="1">
      <alignment horizontal="center" vertical="center" textRotation="90"/>
    </xf>
    <xf numFmtId="3" fontId="6" fillId="0" borderId="166" xfId="0" applyNumberFormat="1" applyFont="1" applyFill="1" applyBorder="1" applyAlignment="1">
      <alignment horizontal="center" vertical="center" textRotation="90"/>
    </xf>
    <xf numFmtId="0" fontId="21" fillId="0" borderId="74" xfId="0" applyFont="1" applyFill="1" applyBorder="1" applyAlignment="1">
      <alignment horizontal="center" vertical="center"/>
    </xf>
    <xf numFmtId="3" fontId="18" fillId="0" borderId="166" xfId="0" applyNumberFormat="1" applyFont="1" applyFill="1" applyBorder="1" applyAlignment="1">
      <alignment horizontal="center" vertical="center"/>
    </xf>
    <xf numFmtId="3" fontId="18" fillId="0" borderId="74" xfId="0" applyNumberFormat="1" applyFont="1" applyFill="1" applyBorder="1" applyAlignment="1">
      <alignment horizontal="center" vertical="center"/>
    </xf>
    <xf numFmtId="3" fontId="15" fillId="0" borderId="145" xfId="0" applyNumberFormat="1" applyFont="1" applyFill="1" applyBorder="1" applyAlignment="1">
      <alignment horizontal="center" vertical="center"/>
    </xf>
    <xf numFmtId="3" fontId="15" fillId="0" borderId="145" xfId="0" applyNumberFormat="1" applyFont="1" applyFill="1" applyBorder="1" applyAlignment="1">
      <alignment horizontal="center" vertical="center" wrapText="1"/>
    </xf>
    <xf numFmtId="3" fontId="15" fillId="0" borderId="39" xfId="0" applyNumberFormat="1" applyFont="1" applyFill="1" applyBorder="1" applyAlignment="1">
      <alignment horizontal="center" vertical="center" wrapText="1"/>
    </xf>
    <xf numFmtId="3" fontId="15" fillId="0" borderId="167" xfId="0" applyNumberFormat="1" applyFont="1" applyFill="1" applyBorder="1" applyAlignment="1">
      <alignment horizontal="center" vertical="center" wrapText="1"/>
    </xf>
    <xf numFmtId="3" fontId="15" fillId="0" borderId="162" xfId="0" applyNumberFormat="1" applyFont="1" applyFill="1" applyBorder="1" applyAlignment="1">
      <alignment horizontal="center" vertical="center" wrapText="1"/>
    </xf>
    <xf numFmtId="3" fontId="15" fillId="0" borderId="0" xfId="66" applyNumberFormat="1" applyFont="1" applyFill="1" applyBorder="1" applyAlignment="1">
      <alignment horizontal="left" wrapText="1" indent="2"/>
      <protection/>
    </xf>
    <xf numFmtId="3" fontId="20" fillId="0" borderId="40" xfId="0" applyNumberFormat="1" applyFont="1" applyFill="1" applyBorder="1" applyAlignment="1">
      <alignment horizontal="left" vertical="center"/>
    </xf>
    <xf numFmtId="3" fontId="15" fillId="0" borderId="0" xfId="66" applyNumberFormat="1" applyFont="1" applyFill="1" applyBorder="1" applyAlignment="1">
      <alignment horizontal="left" wrapText="1"/>
      <protection/>
    </xf>
    <xf numFmtId="3" fontId="15" fillId="0" borderId="0" xfId="0" applyNumberFormat="1" applyFont="1" applyFill="1" applyAlignment="1">
      <alignment horizontal="center" vertical="center"/>
    </xf>
    <xf numFmtId="3" fontId="20" fillId="0" borderId="57" xfId="0" applyNumberFormat="1" applyFont="1" applyFill="1" applyBorder="1" applyAlignment="1">
      <alignment horizontal="left" vertical="center" wrapText="1"/>
    </xf>
    <xf numFmtId="3" fontId="20" fillId="0" borderId="0" xfId="0" applyNumberFormat="1" applyFont="1" applyFill="1" applyBorder="1" applyAlignment="1">
      <alignment horizontal="left"/>
    </xf>
    <xf numFmtId="3" fontId="15" fillId="0" borderId="0" xfId="66" applyNumberFormat="1" applyFont="1" applyFill="1" applyBorder="1" applyAlignment="1">
      <alignment horizontal="left" vertical="top" wrapText="1" indent="1"/>
      <protection/>
    </xf>
    <xf numFmtId="3" fontId="15" fillId="0" borderId="78" xfId="66" applyNumberFormat="1" applyFont="1" applyFill="1" applyBorder="1" applyAlignment="1">
      <alignment horizontal="left" vertical="top" wrapText="1" indent="1"/>
      <protection/>
    </xf>
    <xf numFmtId="3" fontId="15" fillId="0" borderId="0" xfId="0" applyNumberFormat="1" applyFont="1" applyAlignment="1">
      <alignment horizontal="left" vertical="center"/>
    </xf>
    <xf numFmtId="3" fontId="15" fillId="0" borderId="0" xfId="0" applyNumberFormat="1" applyFont="1" applyAlignment="1">
      <alignment horizontal="right"/>
    </xf>
    <xf numFmtId="3" fontId="6" fillId="0" borderId="145" xfId="0" applyNumberFormat="1" applyFont="1" applyFill="1" applyBorder="1" applyAlignment="1">
      <alignment horizontal="center" vertical="center" textRotation="90"/>
    </xf>
    <xf numFmtId="3" fontId="6" fillId="0" borderId="39" xfId="0" applyNumberFormat="1" applyFont="1" applyFill="1" applyBorder="1" applyAlignment="1">
      <alignment horizontal="center" vertical="center" textRotation="90"/>
    </xf>
    <xf numFmtId="3" fontId="18" fillId="0" borderId="145" xfId="0" applyNumberFormat="1" applyFont="1" applyFill="1" applyBorder="1" applyAlignment="1">
      <alignment horizontal="center" vertical="center"/>
    </xf>
    <xf numFmtId="3" fontId="18" fillId="0" borderId="39" xfId="0" applyNumberFormat="1" applyFont="1" applyFill="1" applyBorder="1" applyAlignment="1">
      <alignment horizontal="center" vertical="center"/>
    </xf>
    <xf numFmtId="3" fontId="6" fillId="0" borderId="145" xfId="0" applyNumberFormat="1" applyFont="1" applyBorder="1" applyAlignment="1">
      <alignment horizontal="center" vertical="center" textRotation="90" wrapText="1"/>
    </xf>
    <xf numFmtId="0" fontId="21" fillId="0" borderId="39" xfId="0" applyFont="1" applyBorder="1" applyAlignment="1">
      <alignment horizontal="center" vertical="center" textRotation="90" wrapText="1"/>
    </xf>
    <xf numFmtId="3" fontId="6" fillId="0" borderId="145" xfId="0" applyNumberFormat="1" applyFont="1" applyBorder="1" applyAlignment="1">
      <alignment horizontal="center" vertical="center" wrapText="1"/>
    </xf>
    <xf numFmtId="3" fontId="6" fillId="0" borderId="39" xfId="0" applyNumberFormat="1" applyFont="1" applyBorder="1" applyAlignment="1">
      <alignment horizontal="center" vertical="center" wrapText="1"/>
    </xf>
    <xf numFmtId="3" fontId="6" fillId="0" borderId="144" xfId="0" applyNumberFormat="1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3" fontId="20" fillId="0" borderId="168" xfId="0" applyNumberFormat="1" applyFont="1" applyBorder="1" applyAlignment="1">
      <alignment horizontal="center" vertical="center" wrapText="1"/>
    </xf>
    <xf numFmtId="3" fontId="20" fillId="0" borderId="169" xfId="0" applyNumberFormat="1" applyFont="1" applyBorder="1" applyAlignment="1">
      <alignment horizontal="center" vertical="center" wrapText="1"/>
    </xf>
    <xf numFmtId="3" fontId="15" fillId="0" borderId="145" xfId="61" applyNumberFormat="1" applyFont="1" applyFill="1" applyBorder="1" applyAlignment="1">
      <alignment horizontal="center" vertical="center" wrapText="1"/>
      <protection/>
    </xf>
    <xf numFmtId="3" fontId="15" fillId="0" borderId="144" xfId="0" applyNumberFormat="1" applyFont="1" applyFill="1" applyBorder="1" applyAlignment="1">
      <alignment horizontal="center" vertical="center"/>
    </xf>
    <xf numFmtId="3" fontId="15" fillId="0" borderId="40" xfId="0" applyNumberFormat="1" applyFont="1" applyFill="1" applyBorder="1" applyAlignment="1">
      <alignment horizontal="center" vertical="center"/>
    </xf>
    <xf numFmtId="3" fontId="15" fillId="0" borderId="8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horizontal="left" vertical="top"/>
    </xf>
    <xf numFmtId="3" fontId="20" fillId="0" borderId="30" xfId="0" applyNumberFormat="1" applyFont="1" applyFill="1" applyBorder="1" applyAlignment="1">
      <alignment horizontal="center" vertical="center"/>
    </xf>
    <xf numFmtId="3" fontId="20" fillId="0" borderId="0" xfId="0" applyNumberFormat="1" applyFont="1" applyFill="1" applyBorder="1" applyAlignment="1">
      <alignment horizontal="center" vertical="center"/>
    </xf>
    <xf numFmtId="3" fontId="19" fillId="0" borderId="144" xfId="0" applyNumberFormat="1" applyFont="1" applyFill="1" applyBorder="1" applyAlignment="1">
      <alignment horizontal="left" vertical="center"/>
    </xf>
    <xf numFmtId="3" fontId="19" fillId="0" borderId="40" xfId="0" applyNumberFormat="1" applyFont="1" applyFill="1" applyBorder="1" applyAlignment="1">
      <alignment horizontal="left" vertical="center"/>
    </xf>
    <xf numFmtId="3" fontId="19" fillId="0" borderId="30" xfId="0" applyNumberFormat="1" applyFont="1" applyBorder="1" applyAlignment="1">
      <alignment horizontal="left" vertical="center" wrapText="1"/>
    </xf>
    <xf numFmtId="3" fontId="19" fillId="0" borderId="0" xfId="0" applyNumberFormat="1" applyFont="1" applyBorder="1" applyAlignment="1">
      <alignment horizontal="left" vertical="center" wrapText="1"/>
    </xf>
    <xf numFmtId="3" fontId="19" fillId="0" borderId="30" xfId="0" applyNumberFormat="1" applyFont="1" applyFill="1" applyBorder="1" applyAlignment="1">
      <alignment horizontal="left" vertical="center" wrapText="1"/>
    </xf>
    <xf numFmtId="3" fontId="19" fillId="0" borderId="0" xfId="0" applyNumberFormat="1" applyFont="1" applyFill="1" applyBorder="1" applyAlignment="1">
      <alignment horizontal="left" vertical="center" wrapText="1"/>
    </xf>
    <xf numFmtId="3" fontId="19" fillId="0" borderId="30" xfId="0" applyNumberFormat="1" applyFont="1" applyFill="1" applyBorder="1" applyAlignment="1">
      <alignment horizontal="left" vertical="top" wrapText="1"/>
    </xf>
    <xf numFmtId="3" fontId="19" fillId="0" borderId="0" xfId="0" applyNumberFormat="1" applyFont="1" applyFill="1" applyBorder="1" applyAlignment="1">
      <alignment horizontal="left" vertical="top" wrapText="1"/>
    </xf>
    <xf numFmtId="3" fontId="6" fillId="0" borderId="0" xfId="0" applyNumberFormat="1" applyFont="1" applyFill="1" applyBorder="1" applyAlignment="1">
      <alignment horizontal="left" vertical="top"/>
    </xf>
    <xf numFmtId="3" fontId="6" fillId="0" borderId="0" xfId="0" applyNumberFormat="1" applyFont="1" applyAlignment="1">
      <alignment horizontal="left" vertical="top"/>
    </xf>
    <xf numFmtId="3" fontId="2" fillId="0" borderId="83" xfId="0" applyNumberFormat="1" applyFont="1" applyFill="1" applyBorder="1" applyAlignment="1">
      <alignment horizontal="center" vertical="center"/>
    </xf>
    <xf numFmtId="3" fontId="2" fillId="0" borderId="139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left" vertical="top"/>
    </xf>
    <xf numFmtId="3" fontId="2" fillId="0" borderId="0" xfId="62" applyNumberFormat="1" applyFont="1" applyFill="1" applyAlignment="1">
      <alignment horizontal="left"/>
      <protection/>
    </xf>
    <xf numFmtId="3" fontId="2" fillId="0" borderId="0" xfId="62" applyNumberFormat="1" applyFont="1" applyFill="1" applyAlignment="1">
      <alignment horizontal="right"/>
      <protection/>
    </xf>
    <xf numFmtId="3" fontId="4" fillId="0" borderId="0" xfId="62" applyNumberFormat="1" applyFont="1" applyFill="1" applyAlignment="1">
      <alignment horizontal="center"/>
      <protection/>
    </xf>
    <xf numFmtId="3" fontId="4" fillId="0" borderId="0" xfId="61" applyNumberFormat="1" applyFont="1" applyFill="1" applyAlignment="1">
      <alignment horizontal="center"/>
      <protection/>
    </xf>
    <xf numFmtId="3" fontId="2" fillId="0" borderId="170" xfId="62" applyNumberFormat="1" applyFont="1" applyFill="1" applyBorder="1" applyAlignment="1">
      <alignment horizontal="center" vertical="center" textRotation="90"/>
      <protection/>
    </xf>
    <xf numFmtId="3" fontId="2" fillId="0" borderId="171" xfId="62" applyNumberFormat="1" applyFont="1" applyFill="1" applyBorder="1" applyAlignment="1">
      <alignment horizontal="center" vertical="center" textRotation="90"/>
      <protection/>
    </xf>
    <xf numFmtId="3" fontId="2" fillId="0" borderId="172" xfId="62" applyNumberFormat="1" applyFont="1" applyFill="1" applyBorder="1" applyAlignment="1">
      <alignment horizontal="center" vertical="center" textRotation="90"/>
      <protection/>
    </xf>
    <xf numFmtId="3" fontId="2" fillId="0" borderId="173" xfId="62" applyNumberFormat="1" applyFont="1" applyFill="1" applyBorder="1" applyAlignment="1">
      <alignment horizontal="center" vertical="center" textRotation="90"/>
      <protection/>
    </xf>
    <xf numFmtId="0" fontId="4" fillId="0" borderId="172" xfId="62" applyFont="1" applyFill="1" applyBorder="1" applyAlignment="1">
      <alignment horizontal="center" vertical="center" wrapText="1"/>
      <protection/>
    </xf>
    <xf numFmtId="0" fontId="4" fillId="0" borderId="173" xfId="62" applyFont="1" applyFill="1" applyBorder="1" applyAlignment="1">
      <alignment horizontal="center" vertical="center" wrapText="1"/>
      <protection/>
    </xf>
    <xf numFmtId="3" fontId="2" fillId="0" borderId="172" xfId="0" applyNumberFormat="1" applyFont="1" applyFill="1" applyBorder="1" applyAlignment="1">
      <alignment horizontal="center" vertical="center" textRotation="90" wrapText="1"/>
    </xf>
    <xf numFmtId="0" fontId="2" fillId="0" borderId="173" xfId="0" applyFont="1" applyFill="1" applyBorder="1" applyAlignment="1">
      <alignment horizontal="center" vertical="center" textRotation="90" wrapText="1"/>
    </xf>
    <xf numFmtId="3" fontId="2" fillId="0" borderId="172" xfId="62" applyNumberFormat="1" applyFont="1" applyFill="1" applyBorder="1" applyAlignment="1">
      <alignment horizontal="center" vertical="center" wrapText="1"/>
      <protection/>
    </xf>
    <xf numFmtId="3" fontId="2" fillId="0" borderId="173" xfId="62" applyNumberFormat="1" applyFont="1" applyFill="1" applyBorder="1" applyAlignment="1">
      <alignment horizontal="center" vertical="center" wrapText="1"/>
      <protection/>
    </xf>
    <xf numFmtId="3" fontId="2" fillId="0" borderId="174" xfId="62" applyNumberFormat="1" applyFont="1" applyFill="1" applyBorder="1" applyAlignment="1">
      <alignment horizontal="center" vertical="center" wrapText="1"/>
      <protection/>
    </xf>
    <xf numFmtId="3" fontId="2" fillId="0" borderId="175" xfId="62" applyNumberFormat="1" applyFont="1" applyFill="1" applyBorder="1" applyAlignment="1">
      <alignment horizontal="center" vertical="center" wrapText="1"/>
      <protection/>
    </xf>
    <xf numFmtId="3" fontId="4" fillId="0" borderId="176" xfId="62" applyNumberFormat="1" applyFont="1" applyFill="1" applyBorder="1" applyAlignment="1">
      <alignment horizontal="center" vertical="center" wrapText="1"/>
      <protection/>
    </xf>
    <xf numFmtId="3" fontId="4" fillId="0" borderId="177" xfId="62" applyNumberFormat="1" applyFont="1" applyFill="1" applyBorder="1" applyAlignment="1">
      <alignment horizontal="center" vertical="center" wrapText="1"/>
      <protection/>
    </xf>
    <xf numFmtId="0" fontId="2" fillId="0" borderId="0" xfId="69" applyFont="1" applyFill="1" applyBorder="1" applyAlignment="1">
      <alignment horizontal="left" vertical="center"/>
      <protection/>
    </xf>
    <xf numFmtId="0" fontId="4" fillId="0" borderId="0" xfId="69" applyFont="1" applyFill="1" applyBorder="1" applyAlignment="1">
      <alignment horizontal="center" vertical="center"/>
      <protection/>
    </xf>
    <xf numFmtId="0" fontId="4" fillId="0" borderId="0" xfId="68" applyFont="1" applyFill="1" applyBorder="1" applyAlignment="1">
      <alignment horizontal="center" vertical="center"/>
      <protection/>
    </xf>
    <xf numFmtId="0" fontId="20" fillId="0" borderId="0" xfId="67" applyFont="1" applyFill="1" applyBorder="1" applyAlignment="1">
      <alignment horizontal="left"/>
      <protection/>
    </xf>
    <xf numFmtId="3" fontId="2" fillId="0" borderId="0" xfId="67" applyNumberFormat="1" applyFont="1" applyFill="1" applyBorder="1" applyAlignment="1">
      <alignment horizontal="right"/>
      <protection/>
    </xf>
    <xf numFmtId="0" fontId="4" fillId="0" borderId="16" xfId="68" applyFont="1" applyFill="1" applyBorder="1" applyAlignment="1">
      <alignment horizontal="right" vertical="center"/>
      <protection/>
    </xf>
    <xf numFmtId="0" fontId="4" fillId="0" borderId="17" xfId="68" applyFont="1" applyFill="1" applyBorder="1" applyAlignment="1">
      <alignment horizontal="right" vertical="center"/>
      <protection/>
    </xf>
    <xf numFmtId="0" fontId="2" fillId="0" borderId="0" xfId="67" applyFont="1" applyFill="1" applyBorder="1" applyAlignment="1">
      <alignment horizontal="left" vertical="top"/>
      <protection/>
    </xf>
    <xf numFmtId="0" fontId="4" fillId="0" borderId="0" xfId="67" applyFont="1" applyFill="1" applyBorder="1" applyAlignment="1">
      <alignment horizontal="center"/>
      <protection/>
    </xf>
    <xf numFmtId="0" fontId="4" fillId="0" borderId="159" xfId="68" applyFont="1" applyFill="1" applyBorder="1" applyAlignment="1">
      <alignment horizontal="right" vertical="center"/>
      <protection/>
    </xf>
    <xf numFmtId="0" fontId="4" fillId="0" borderId="12" xfId="68" applyFont="1" applyFill="1" applyBorder="1" applyAlignment="1">
      <alignment horizontal="right" vertical="center"/>
      <protection/>
    </xf>
    <xf numFmtId="0" fontId="15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0" fontId="15" fillId="0" borderId="36" xfId="0" applyFont="1" applyBorder="1" applyAlignment="1">
      <alignment horizontal="right" vertical="center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left" vertical="top"/>
    </xf>
    <xf numFmtId="0" fontId="4" fillId="0" borderId="145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0" fontId="4" fillId="0" borderId="144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18" fillId="0" borderId="145" xfId="0" applyFont="1" applyFill="1" applyBorder="1" applyAlignment="1">
      <alignment horizontal="center" vertical="center" wrapText="1"/>
    </xf>
    <xf numFmtId="0" fontId="18" fillId="0" borderId="39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</cellXfs>
  <cellStyles count="66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Ezres 3" xfId="43"/>
    <cellStyle name="Ezres 4" xfId="44"/>
    <cellStyle name="Figyelmeztetés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Magyarázó szöveg" xfId="56"/>
    <cellStyle name="Normál 2" xfId="57"/>
    <cellStyle name="Normál 3" xfId="58"/>
    <cellStyle name="Normál 4" xfId="59"/>
    <cellStyle name="Normál 5" xfId="60"/>
    <cellStyle name="Normál_2007.évi konc. összefoglaló bevétel" xfId="61"/>
    <cellStyle name="Normál_2007.évi konc. összefoglaló bevétel 2" xfId="62"/>
    <cellStyle name="Normál_Beruházási tábla 2007" xfId="63"/>
    <cellStyle name="Normál_Beruházási tábla 2007_Koltsegvetes_modositas_aprilis_tablazatai" xfId="64"/>
    <cellStyle name="Normál_EU-s tábla kv-hez" xfId="65"/>
    <cellStyle name="Normál_Intézményi bevétel-kiadás" xfId="66"/>
    <cellStyle name="Normál_Városfejlesztési Iroda - 2008. kv. tervezés" xfId="67"/>
    <cellStyle name="Normál_Városfejlesztési Iroda - 2008. kv. tervezés_2014.évi eredeti előirányzat" xfId="68"/>
    <cellStyle name="Normál_Városfejlesztési Iroda - 2008. kv. tervezés_2014.évi eredeti előirányzat 2" xfId="69"/>
    <cellStyle name="Normál_Városfejlesztési Iroda - 2008. kv. tervezés_Koltsegvetes_modositas_aprilis_tablazatai" xfId="70"/>
    <cellStyle name="Összesen" xfId="71"/>
    <cellStyle name="Currency" xfId="72"/>
    <cellStyle name="Currency [0]" xfId="73"/>
    <cellStyle name="Rossz" xfId="74"/>
    <cellStyle name="Semleges" xfId="75"/>
    <cellStyle name="Számítás" xfId="76"/>
    <cellStyle name="Percent" xfId="77"/>
    <cellStyle name="Százalék 2" xfId="78"/>
    <cellStyle name="Százalék 3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14"/>
  <sheetViews>
    <sheetView tabSelected="1" view="pageBreakPreview" zoomScaleSheetLayoutView="100" zoomScalePageLayoutView="0" workbookViewId="0" topLeftCell="A544">
      <selection activeCell="D549" sqref="D549"/>
    </sheetView>
  </sheetViews>
  <sheetFormatPr defaultColWidth="9.125" defaultRowHeight="12.75"/>
  <cols>
    <col min="1" max="1" width="3.625" style="611" bestFit="1" customWidth="1"/>
    <col min="2" max="2" width="3.75390625" style="612" customWidth="1"/>
    <col min="3" max="3" width="4.125" style="521" customWidth="1"/>
    <col min="4" max="4" width="81.25390625" style="613" bestFit="1" customWidth="1"/>
    <col min="5" max="5" width="15.25390625" style="324" bestFit="1" customWidth="1"/>
    <col min="6" max="6" width="10.25390625" style="612" hidden="1" customWidth="1"/>
    <col min="7" max="7" width="0" style="612" hidden="1" customWidth="1"/>
    <col min="8" max="8" width="11.25390625" style="612" hidden="1" customWidth="1"/>
    <col min="9" max="11" width="0" style="612" hidden="1" customWidth="1"/>
    <col min="12" max="12" width="10.125" style="612" bestFit="1" customWidth="1"/>
    <col min="13" max="13" width="9.75390625" style="612" bestFit="1" customWidth="1"/>
    <col min="14" max="16384" width="9.125" style="612" customWidth="1"/>
  </cols>
  <sheetData>
    <row r="1" spans="1:5" s="517" customFormat="1" ht="39.75" customHeight="1">
      <c r="A1" s="611"/>
      <c r="B1" s="1377" t="s">
        <v>604</v>
      </c>
      <c r="C1" s="1377"/>
      <c r="D1" s="1377"/>
      <c r="E1" s="1377"/>
    </row>
    <row r="2" spans="1:5" s="108" customFormat="1" ht="16.5">
      <c r="A2" s="611"/>
      <c r="B2" s="1378" t="s">
        <v>605</v>
      </c>
      <c r="C2" s="1378"/>
      <c r="D2" s="1378"/>
      <c r="E2" s="1378"/>
    </row>
    <row r="3" spans="1:5" s="108" customFormat="1" ht="16.5">
      <c r="A3" s="611"/>
      <c r="B3" s="1378" t="s">
        <v>603</v>
      </c>
      <c r="C3" s="1378"/>
      <c r="D3" s="1378"/>
      <c r="E3" s="1378"/>
    </row>
    <row r="4" spans="3:5" ht="16.5">
      <c r="C4" s="521" t="s">
        <v>606</v>
      </c>
      <c r="E4" s="614" t="s">
        <v>0</v>
      </c>
    </row>
    <row r="5" spans="1:5" s="615" customFormat="1" ht="17.25" thickBot="1">
      <c r="A5" s="611"/>
      <c r="C5" s="616"/>
      <c r="D5" s="617" t="s">
        <v>1</v>
      </c>
      <c r="E5" s="618" t="s">
        <v>3</v>
      </c>
    </row>
    <row r="6" spans="1:5" s="117" customFormat="1" ht="30" customHeight="1" thickBot="1">
      <c r="A6" s="611"/>
      <c r="B6" s="619"/>
      <c r="C6" s="620"/>
      <c r="D6" s="621" t="s">
        <v>6</v>
      </c>
      <c r="E6" s="622" t="s">
        <v>363</v>
      </c>
    </row>
    <row r="7" spans="1:4" ht="39.75" customHeight="1">
      <c r="A7" s="611">
        <v>1</v>
      </c>
      <c r="B7" s="623" t="s">
        <v>554</v>
      </c>
      <c r="C7" s="624"/>
      <c r="D7" s="625" t="s">
        <v>607</v>
      </c>
    </row>
    <row r="8" spans="1:5" s="517" customFormat="1" ht="34.5">
      <c r="A8" s="611">
        <v>2</v>
      </c>
      <c r="C8" s="626" t="s">
        <v>364</v>
      </c>
      <c r="D8" s="627" t="s">
        <v>447</v>
      </c>
      <c r="E8" s="628"/>
    </row>
    <row r="9" spans="1:5" ht="17.25">
      <c r="A9" s="611">
        <v>3</v>
      </c>
      <c r="D9" s="647" t="s">
        <v>983</v>
      </c>
      <c r="E9" s="629">
        <v>32050</v>
      </c>
    </row>
    <row r="10" spans="1:5" ht="17.25">
      <c r="A10" s="611">
        <v>4</v>
      </c>
      <c r="D10" s="647" t="s">
        <v>794</v>
      </c>
      <c r="E10" s="629">
        <v>5950</v>
      </c>
    </row>
    <row r="11" spans="1:8" ht="17.25">
      <c r="A11" s="611">
        <v>5</v>
      </c>
      <c r="D11" s="647" t="s">
        <v>680</v>
      </c>
      <c r="E11" s="629">
        <v>11234</v>
      </c>
      <c r="H11" s="324"/>
    </row>
    <row r="12" spans="1:8" s="517" customFormat="1" ht="24.75" customHeight="1">
      <c r="A12" s="611">
        <v>6</v>
      </c>
      <c r="C12" s="626" t="s">
        <v>371</v>
      </c>
      <c r="D12" s="627" t="s">
        <v>448</v>
      </c>
      <c r="E12" s="628"/>
      <c r="H12" s="517">
        <f>E9+E12</f>
        <v>32050</v>
      </c>
    </row>
    <row r="13" spans="1:8" ht="17.25">
      <c r="A13" s="611">
        <v>7</v>
      </c>
      <c r="D13" s="647" t="s">
        <v>795</v>
      </c>
      <c r="E13" s="629">
        <v>14231</v>
      </c>
      <c r="H13" s="324"/>
    </row>
    <row r="14" spans="1:8" ht="17.25">
      <c r="A14" s="611">
        <v>8</v>
      </c>
      <c r="D14" s="647" t="s">
        <v>756</v>
      </c>
      <c r="E14" s="629">
        <v>1332</v>
      </c>
      <c r="H14" s="324"/>
    </row>
    <row r="15" spans="1:5" s="517" customFormat="1" ht="24.75" customHeight="1">
      <c r="A15" s="611">
        <v>9</v>
      </c>
      <c r="C15" s="626" t="s">
        <v>372</v>
      </c>
      <c r="D15" s="627" t="s">
        <v>967</v>
      </c>
      <c r="E15" s="628"/>
    </row>
    <row r="16" spans="1:5" ht="16.5">
      <c r="A16" s="611">
        <v>10</v>
      </c>
      <c r="D16" s="647" t="s">
        <v>983</v>
      </c>
      <c r="E16" s="324">
        <v>-32050</v>
      </c>
    </row>
    <row r="17" spans="1:5" ht="16.5">
      <c r="A17" s="611">
        <v>11</v>
      </c>
      <c r="D17" s="647" t="s">
        <v>132</v>
      </c>
      <c r="E17" s="324">
        <v>16662</v>
      </c>
    </row>
    <row r="18" spans="1:5" ht="33">
      <c r="A18" s="630">
        <v>12</v>
      </c>
      <c r="D18" s="647" t="s">
        <v>920</v>
      </c>
      <c r="E18" s="324">
        <v>4395</v>
      </c>
    </row>
    <row r="19" spans="1:5" ht="33">
      <c r="A19" s="630">
        <v>13</v>
      </c>
      <c r="D19" s="647" t="s">
        <v>974</v>
      </c>
      <c r="E19" s="324">
        <v>24651</v>
      </c>
    </row>
    <row r="20" spans="1:8" ht="33">
      <c r="A20" s="611">
        <v>14</v>
      </c>
      <c r="D20" s="647" t="s">
        <v>975</v>
      </c>
      <c r="E20" s="324">
        <v>1207</v>
      </c>
      <c r="H20" s="612">
        <v>7500</v>
      </c>
    </row>
    <row r="21" spans="1:5" ht="33">
      <c r="A21" s="630">
        <v>15</v>
      </c>
      <c r="D21" s="647" t="s">
        <v>314</v>
      </c>
      <c r="E21" s="324">
        <v>925</v>
      </c>
    </row>
    <row r="22" spans="1:5" ht="16.5">
      <c r="A22" s="611">
        <v>16</v>
      </c>
      <c r="D22" s="647" t="s">
        <v>965</v>
      </c>
      <c r="E22" s="324">
        <v>657</v>
      </c>
    </row>
    <row r="23" spans="1:8" ht="16.5" customHeight="1">
      <c r="A23" s="611">
        <v>17</v>
      </c>
      <c r="D23" s="647" t="s">
        <v>322</v>
      </c>
      <c r="E23" s="324">
        <v>30000</v>
      </c>
      <c r="H23" s="612">
        <v>34732</v>
      </c>
    </row>
    <row r="24" spans="1:8" ht="16.5">
      <c r="A24" s="611">
        <v>18</v>
      </c>
      <c r="D24" s="647" t="s">
        <v>324</v>
      </c>
      <c r="E24" s="314">
        <v>19629</v>
      </c>
      <c r="H24" s="612">
        <v>57473</v>
      </c>
    </row>
    <row r="25" spans="1:8" s="521" customFormat="1" ht="17.25">
      <c r="A25" s="611">
        <v>19</v>
      </c>
      <c r="D25" s="632"/>
      <c r="E25" s="633">
        <f>SUM(E16:E24)</f>
        <v>66076</v>
      </c>
      <c r="F25" s="633">
        <f>SUM(F16:F24)</f>
        <v>0</v>
      </c>
      <c r="G25" s="633">
        <f>SUM(G16:G24)</f>
        <v>0</v>
      </c>
      <c r="H25" s="633">
        <f>SUM(H16:H24)</f>
        <v>99705</v>
      </c>
    </row>
    <row r="26" spans="1:5" s="517" customFormat="1" ht="24.75" customHeight="1">
      <c r="A26" s="611">
        <v>20</v>
      </c>
      <c r="C26" s="626" t="s">
        <v>373</v>
      </c>
      <c r="D26" s="627" t="s">
        <v>1178</v>
      </c>
      <c r="E26" s="628"/>
    </row>
    <row r="27" spans="1:8" s="521" customFormat="1" ht="16.5">
      <c r="A27" s="611">
        <v>21</v>
      </c>
      <c r="D27" s="634" t="s">
        <v>914</v>
      </c>
      <c r="E27" s="634"/>
      <c r="F27" s="634"/>
      <c r="G27" s="634"/>
      <c r="H27" s="634"/>
    </row>
    <row r="28" spans="1:8" s="521" customFormat="1" ht="18" customHeight="1">
      <c r="A28" s="611">
        <v>22</v>
      </c>
      <c r="D28" s="647" t="s">
        <v>1167</v>
      </c>
      <c r="E28" s="634">
        <v>600</v>
      </c>
      <c r="F28" s="634"/>
      <c r="G28" s="634"/>
      <c r="H28" s="634"/>
    </row>
    <row r="29" spans="1:8" s="521" customFormat="1" ht="32.25" customHeight="1">
      <c r="A29" s="630">
        <v>23</v>
      </c>
      <c r="D29" s="647" t="s">
        <v>976</v>
      </c>
      <c r="E29" s="634">
        <v>440</v>
      </c>
      <c r="F29" s="634"/>
      <c r="G29" s="634"/>
      <c r="H29" s="634"/>
    </row>
    <row r="30" spans="1:8" s="521" customFormat="1" ht="16.5">
      <c r="A30" s="611">
        <v>24</v>
      </c>
      <c r="D30" s="634" t="s">
        <v>692</v>
      </c>
      <c r="E30" s="634"/>
      <c r="F30" s="634"/>
      <c r="G30" s="634"/>
      <c r="H30" s="634"/>
    </row>
    <row r="31" spans="1:8" s="521" customFormat="1" ht="16.5">
      <c r="A31" s="611">
        <v>25</v>
      </c>
      <c r="D31" s="647" t="s">
        <v>693</v>
      </c>
      <c r="E31" s="634">
        <v>801</v>
      </c>
      <c r="F31" s="634">
        <v>2500</v>
      </c>
      <c r="G31" s="634"/>
      <c r="H31" s="634">
        <v>2500</v>
      </c>
    </row>
    <row r="32" spans="1:9" s="521" customFormat="1" ht="16.5">
      <c r="A32" s="611">
        <v>26</v>
      </c>
      <c r="D32" s="634" t="s">
        <v>695</v>
      </c>
      <c r="E32" s="634"/>
      <c r="F32" s="634">
        <v>11250</v>
      </c>
      <c r="G32" s="634"/>
      <c r="H32" s="634">
        <v>11250</v>
      </c>
      <c r="I32" s="634"/>
    </row>
    <row r="33" spans="1:8" s="521" customFormat="1" ht="16.5">
      <c r="A33" s="611">
        <v>27</v>
      </c>
      <c r="D33" s="647" t="s">
        <v>693</v>
      </c>
      <c r="E33" s="634">
        <v>360</v>
      </c>
      <c r="F33" s="634">
        <v>405</v>
      </c>
      <c r="G33" s="634">
        <v>405</v>
      </c>
      <c r="H33" s="634"/>
    </row>
    <row r="34" spans="1:8" s="521" customFormat="1" ht="16.5">
      <c r="A34" s="611">
        <v>28</v>
      </c>
      <c r="D34" s="647" t="s">
        <v>696</v>
      </c>
      <c r="E34" s="634">
        <v>11620</v>
      </c>
      <c r="F34" s="634"/>
      <c r="G34" s="634"/>
      <c r="H34" s="634"/>
    </row>
    <row r="35" spans="1:8" s="521" customFormat="1" ht="16.5">
      <c r="A35" s="611">
        <v>29</v>
      </c>
      <c r="D35" s="634" t="s">
        <v>97</v>
      </c>
      <c r="E35" s="634"/>
      <c r="F35" s="634"/>
      <c r="G35" s="634"/>
      <c r="H35" s="634"/>
    </row>
    <row r="36" spans="1:8" s="521" customFormat="1" ht="33">
      <c r="A36" s="630">
        <v>30</v>
      </c>
      <c r="D36" s="647" t="s">
        <v>702</v>
      </c>
      <c r="E36" s="634">
        <v>491</v>
      </c>
      <c r="F36" s="634"/>
      <c r="G36" s="634"/>
      <c r="H36" s="634"/>
    </row>
    <row r="37" spans="1:8" s="521" customFormat="1" ht="16.5">
      <c r="A37" s="611">
        <v>31</v>
      </c>
      <c r="D37" s="634" t="s">
        <v>357</v>
      </c>
      <c r="E37" s="634"/>
      <c r="F37" s="634"/>
      <c r="G37" s="634"/>
      <c r="H37" s="634"/>
    </row>
    <row r="38" spans="1:8" s="521" customFormat="1" ht="16.5">
      <c r="A38" s="611">
        <v>32</v>
      </c>
      <c r="D38" s="647" t="s">
        <v>735</v>
      </c>
      <c r="E38" s="634">
        <v>5827</v>
      </c>
      <c r="F38" s="634"/>
      <c r="G38" s="634"/>
      <c r="H38" s="634"/>
    </row>
    <row r="39" spans="1:8" s="521" customFormat="1" ht="16.5">
      <c r="A39" s="611">
        <v>33</v>
      </c>
      <c r="D39" s="634" t="s">
        <v>94</v>
      </c>
      <c r="E39" s="634"/>
      <c r="F39" s="634"/>
      <c r="G39" s="634"/>
      <c r="H39" s="634"/>
    </row>
    <row r="40" spans="1:8" s="521" customFormat="1" ht="16.5">
      <c r="A40" s="611">
        <v>34</v>
      </c>
      <c r="D40" s="647" t="s">
        <v>396</v>
      </c>
      <c r="E40" s="634">
        <v>7908</v>
      </c>
      <c r="F40" s="634"/>
      <c r="G40" s="634"/>
      <c r="H40" s="634"/>
    </row>
    <row r="41" spans="1:8" s="521" customFormat="1" ht="33">
      <c r="A41" s="611">
        <v>35</v>
      </c>
      <c r="D41" s="647" t="s">
        <v>8</v>
      </c>
      <c r="E41" s="635">
        <v>3382</v>
      </c>
      <c r="F41" s="635">
        <v>9207</v>
      </c>
      <c r="G41" s="635">
        <v>9207</v>
      </c>
      <c r="H41" s="635"/>
    </row>
    <row r="42" spans="1:8" s="521" customFormat="1" ht="19.5" customHeight="1">
      <c r="A42" s="611">
        <v>36</v>
      </c>
      <c r="D42" s="634"/>
      <c r="E42" s="636">
        <f>SUM(E28:E41)</f>
        <v>31429</v>
      </c>
      <c r="F42" s="636">
        <f>SUM(F30:F41)</f>
        <v>23362</v>
      </c>
      <c r="G42" s="636">
        <f>SUM(G30:G41)</f>
        <v>9612</v>
      </c>
      <c r="H42" s="636">
        <f>SUM(H30:H41)</f>
        <v>13750</v>
      </c>
    </row>
    <row r="43" spans="1:5" s="517" customFormat="1" ht="24.75" customHeight="1">
      <c r="A43" s="611">
        <v>37</v>
      </c>
      <c r="C43" s="626" t="s">
        <v>374</v>
      </c>
      <c r="D43" s="627" t="s">
        <v>464</v>
      </c>
      <c r="E43" s="628"/>
    </row>
    <row r="44" spans="1:8" s="521" customFormat="1" ht="17.25">
      <c r="A44" s="611">
        <v>38</v>
      </c>
      <c r="D44" s="647" t="s">
        <v>954</v>
      </c>
      <c r="E44" s="636">
        <v>8810</v>
      </c>
      <c r="F44" s="634"/>
      <c r="G44" s="634"/>
      <c r="H44" s="634"/>
    </row>
    <row r="45" spans="1:5" s="517" customFormat="1" ht="24.75" customHeight="1">
      <c r="A45" s="611">
        <v>39</v>
      </c>
      <c r="C45" s="626" t="s">
        <v>519</v>
      </c>
      <c r="D45" s="627" t="s">
        <v>467</v>
      </c>
      <c r="E45" s="628"/>
    </row>
    <row r="46" spans="1:8" s="108" customFormat="1" ht="17.25">
      <c r="A46" s="611">
        <v>40</v>
      </c>
      <c r="C46" s="13"/>
      <c r="D46" s="647" t="s">
        <v>903</v>
      </c>
      <c r="E46" s="51">
        <v>-150000</v>
      </c>
      <c r="F46" s="51">
        <v>119555</v>
      </c>
      <c r="G46" s="51"/>
      <c r="H46" s="51">
        <v>119555</v>
      </c>
    </row>
    <row r="47" spans="1:8" s="108" customFormat="1" ht="33">
      <c r="A47" s="611">
        <v>41</v>
      </c>
      <c r="C47" s="13"/>
      <c r="D47" s="647" t="s">
        <v>8</v>
      </c>
      <c r="E47" s="51">
        <v>455629</v>
      </c>
      <c r="F47" s="51">
        <v>250057</v>
      </c>
      <c r="G47" s="51"/>
      <c r="H47" s="51">
        <v>250057</v>
      </c>
    </row>
    <row r="48" spans="1:8" s="108" customFormat="1" ht="33">
      <c r="A48" s="630">
        <v>42</v>
      </c>
      <c r="C48" s="13"/>
      <c r="D48" s="647" t="s">
        <v>9</v>
      </c>
      <c r="E48" s="51">
        <v>428531</v>
      </c>
      <c r="F48" s="51">
        <v>39476</v>
      </c>
      <c r="G48" s="51"/>
      <c r="H48" s="51">
        <v>39476</v>
      </c>
    </row>
    <row r="49" spans="1:8" s="108" customFormat="1" ht="33">
      <c r="A49" s="630">
        <v>43</v>
      </c>
      <c r="C49" s="13"/>
      <c r="D49" s="647" t="s">
        <v>878</v>
      </c>
      <c r="E49" s="51">
        <v>283693</v>
      </c>
      <c r="F49" s="51">
        <v>73812</v>
      </c>
      <c r="G49" s="51"/>
      <c r="H49" s="51">
        <v>73812</v>
      </c>
    </row>
    <row r="50" spans="1:8" s="108" customFormat="1" ht="17.25">
      <c r="A50" s="611">
        <v>44</v>
      </c>
      <c r="C50" s="13"/>
      <c r="D50" s="647" t="s">
        <v>132</v>
      </c>
      <c r="E50" s="51">
        <v>467432</v>
      </c>
      <c r="F50" s="51">
        <v>89895</v>
      </c>
      <c r="G50" s="51"/>
      <c r="H50" s="51">
        <v>89895</v>
      </c>
    </row>
    <row r="51" spans="1:8" s="108" customFormat="1" ht="33">
      <c r="A51" s="630">
        <v>45</v>
      </c>
      <c r="C51" s="13"/>
      <c r="D51" s="647" t="s">
        <v>920</v>
      </c>
      <c r="E51" s="51">
        <v>498770</v>
      </c>
      <c r="F51" s="51">
        <v>158500</v>
      </c>
      <c r="G51" s="51"/>
      <c r="H51" s="51">
        <v>158500</v>
      </c>
    </row>
    <row r="52" spans="1:8" s="108" customFormat="1" ht="49.5">
      <c r="A52" s="630">
        <v>46</v>
      </c>
      <c r="C52" s="13"/>
      <c r="D52" s="647" t="s">
        <v>879</v>
      </c>
      <c r="E52" s="51">
        <v>455257</v>
      </c>
      <c r="F52" s="51">
        <v>31138</v>
      </c>
      <c r="G52" s="51"/>
      <c r="H52" s="51">
        <v>31138</v>
      </c>
    </row>
    <row r="53" spans="1:8" s="108" customFormat="1" ht="17.25">
      <c r="A53" s="611">
        <v>47</v>
      </c>
      <c r="C53" s="13"/>
      <c r="D53" s="647" t="s">
        <v>955</v>
      </c>
      <c r="E53" s="51">
        <v>1972</v>
      </c>
      <c r="F53" s="51">
        <v>80770</v>
      </c>
      <c r="G53" s="51"/>
      <c r="H53" s="51">
        <v>80770</v>
      </c>
    </row>
    <row r="54" spans="1:8" s="108" customFormat="1" ht="33">
      <c r="A54" s="630">
        <v>48</v>
      </c>
      <c r="C54" s="13"/>
      <c r="D54" s="647" t="s">
        <v>881</v>
      </c>
      <c r="E54" s="637">
        <v>244115</v>
      </c>
      <c r="F54" s="51"/>
      <c r="G54" s="51"/>
      <c r="H54" s="51"/>
    </row>
    <row r="55" spans="1:12" s="108" customFormat="1" ht="17.25">
      <c r="A55" s="611">
        <v>49</v>
      </c>
      <c r="C55" s="13"/>
      <c r="D55" s="613"/>
      <c r="E55" s="638">
        <f>SUM(E46:E54)</f>
        <v>2685399</v>
      </c>
      <c r="F55" s="638">
        <f>SUM(F45:F54)</f>
        <v>843203</v>
      </c>
      <c r="G55" s="638">
        <f>SUM(G45:G54)</f>
        <v>0</v>
      </c>
      <c r="H55" s="638">
        <f>SUM(H45:H54)</f>
        <v>843203</v>
      </c>
      <c r="L55" s="639"/>
    </row>
    <row r="56" spans="1:5" s="517" customFormat="1" ht="24.75" customHeight="1">
      <c r="A56" s="611">
        <v>50</v>
      </c>
      <c r="C56" s="626" t="s">
        <v>984</v>
      </c>
      <c r="D56" s="627" t="s">
        <v>471</v>
      </c>
      <c r="E56" s="628"/>
    </row>
    <row r="57" spans="1:12" s="108" customFormat="1" ht="17.25">
      <c r="A57" s="611">
        <v>51</v>
      </c>
      <c r="C57" s="13"/>
      <c r="D57" s="647" t="s">
        <v>699</v>
      </c>
      <c r="E57" s="638">
        <v>2383</v>
      </c>
      <c r="F57" s="638"/>
      <c r="G57" s="638"/>
      <c r="H57" s="638"/>
      <c r="L57" s="639"/>
    </row>
    <row r="58" spans="1:5" s="517" customFormat="1" ht="24.75" customHeight="1">
      <c r="A58" s="611">
        <v>52</v>
      </c>
      <c r="C58" s="626" t="s">
        <v>623</v>
      </c>
      <c r="D58" s="627" t="s">
        <v>700</v>
      </c>
      <c r="E58" s="628"/>
    </row>
    <row r="59" spans="1:12" s="108" customFormat="1" ht="17.25">
      <c r="A59" s="611">
        <v>53</v>
      </c>
      <c r="C59" s="13"/>
      <c r="D59" s="647" t="s">
        <v>701</v>
      </c>
      <c r="E59" s="638">
        <v>10000</v>
      </c>
      <c r="F59" s="638"/>
      <c r="G59" s="638"/>
      <c r="H59" s="638"/>
      <c r="L59" s="639"/>
    </row>
    <row r="60" spans="1:5" s="517" customFormat="1" ht="24.75" customHeight="1">
      <c r="A60" s="611">
        <v>54</v>
      </c>
      <c r="C60" s="626" t="s">
        <v>608</v>
      </c>
      <c r="D60" s="627" t="s">
        <v>478</v>
      </c>
      <c r="E60" s="628"/>
    </row>
    <row r="61" spans="1:5" s="521" customFormat="1" ht="17.25">
      <c r="A61" s="611">
        <v>55</v>
      </c>
      <c r="C61" s="640"/>
      <c r="D61" s="647" t="s">
        <v>691</v>
      </c>
      <c r="E61" s="629">
        <v>722728</v>
      </c>
    </row>
    <row r="62" spans="1:5" s="521" customFormat="1" ht="17.25">
      <c r="A62" s="611">
        <v>56</v>
      </c>
      <c r="C62" s="640"/>
      <c r="D62" s="647" t="s">
        <v>689</v>
      </c>
      <c r="E62" s="629">
        <v>145507</v>
      </c>
    </row>
    <row r="63" spans="1:5" s="521" customFormat="1" ht="17.25">
      <c r="A63" s="611">
        <v>57</v>
      </c>
      <c r="C63" s="640"/>
      <c r="D63" s="647" t="s">
        <v>690</v>
      </c>
      <c r="E63" s="629">
        <v>216837</v>
      </c>
    </row>
    <row r="64" spans="1:8" s="521" customFormat="1" ht="18" thickBot="1">
      <c r="A64" s="611">
        <v>58</v>
      </c>
      <c r="C64" s="640"/>
      <c r="D64" s="647" t="s">
        <v>485</v>
      </c>
      <c r="E64" s="629">
        <v>760595</v>
      </c>
      <c r="H64" s="641">
        <f>E62+E63+E64</f>
        <v>1122939</v>
      </c>
    </row>
    <row r="65" spans="1:5" s="108" customFormat="1" ht="27.75" customHeight="1" thickBot="1">
      <c r="A65" s="642">
        <v>59</v>
      </c>
      <c r="B65" s="619" t="s">
        <v>554</v>
      </c>
      <c r="C65" s="643"/>
      <c r="D65" s="644" t="s">
        <v>609</v>
      </c>
      <c r="E65" s="645">
        <f>E63+E59+E57+E55+E42+E25+E13+E11+E9+E14+E10+E62+E61+E64+E44</f>
        <v>4714561</v>
      </c>
    </row>
    <row r="66" spans="1:4" ht="27.75" customHeight="1">
      <c r="A66" s="611">
        <v>60</v>
      </c>
      <c r="B66" s="623" t="s">
        <v>610</v>
      </c>
      <c r="C66" s="624"/>
      <c r="D66" s="625" t="s">
        <v>611</v>
      </c>
    </row>
    <row r="67" spans="1:4" ht="17.25">
      <c r="A67" s="611">
        <v>61</v>
      </c>
      <c r="C67" s="640" t="s">
        <v>364</v>
      </c>
      <c r="D67" s="627" t="s">
        <v>1202</v>
      </c>
    </row>
    <row r="68" spans="1:5" ht="25.5" customHeight="1">
      <c r="A68" s="611">
        <v>62</v>
      </c>
      <c r="C68" s="640"/>
      <c r="D68" s="623" t="s">
        <v>1002</v>
      </c>
      <c r="E68" s="41"/>
    </row>
    <row r="69" spans="1:4" ht="17.25">
      <c r="A69" s="611">
        <v>63</v>
      </c>
      <c r="C69" s="640"/>
      <c r="D69" s="646" t="s">
        <v>259</v>
      </c>
    </row>
    <row r="70" spans="1:5" ht="17.25">
      <c r="A70" s="611">
        <v>64</v>
      </c>
      <c r="C70" s="640"/>
      <c r="D70" s="647" t="s">
        <v>680</v>
      </c>
      <c r="E70" s="324">
        <v>1500</v>
      </c>
    </row>
    <row r="71" spans="1:5" ht="17.25">
      <c r="A71" s="611">
        <v>65</v>
      </c>
      <c r="C71" s="640"/>
      <c r="D71" s="647" t="s">
        <v>682</v>
      </c>
      <c r="E71" s="324">
        <v>1535</v>
      </c>
    </row>
    <row r="72" spans="1:5" ht="17.25">
      <c r="A72" s="611">
        <v>66</v>
      </c>
      <c r="C72" s="640"/>
      <c r="D72" s="647" t="s">
        <v>758</v>
      </c>
      <c r="E72" s="324">
        <v>-6865</v>
      </c>
    </row>
    <row r="73" spans="1:5" ht="17.25">
      <c r="A73" s="611">
        <v>67</v>
      </c>
      <c r="C73" s="640"/>
      <c r="D73" s="647" t="s">
        <v>985</v>
      </c>
      <c r="E73" s="324">
        <v>208</v>
      </c>
    </row>
    <row r="74" spans="1:4" ht="17.25">
      <c r="A74" s="611">
        <v>68</v>
      </c>
      <c r="C74" s="640"/>
      <c r="D74" s="646" t="s">
        <v>986</v>
      </c>
    </row>
    <row r="75" spans="1:5" ht="17.25">
      <c r="A75" s="611">
        <v>69</v>
      </c>
      <c r="C75" s="640"/>
      <c r="D75" s="647" t="s">
        <v>680</v>
      </c>
      <c r="E75" s="41">
        <v>4137</v>
      </c>
    </row>
    <row r="76" spans="1:5" ht="17.25">
      <c r="A76" s="611">
        <v>70</v>
      </c>
      <c r="C76" s="640"/>
      <c r="D76" s="647" t="s">
        <v>682</v>
      </c>
      <c r="E76" s="41">
        <v>2551</v>
      </c>
    </row>
    <row r="77" spans="1:5" ht="17.25">
      <c r="A77" s="611">
        <v>71</v>
      </c>
      <c r="C77" s="640"/>
      <c r="D77" s="647" t="s">
        <v>758</v>
      </c>
      <c r="E77" s="41">
        <v>7342</v>
      </c>
    </row>
    <row r="78" spans="1:5" ht="17.25">
      <c r="A78" s="611">
        <v>72</v>
      </c>
      <c r="C78" s="640"/>
      <c r="D78" s="647" t="s">
        <v>985</v>
      </c>
      <c r="E78" s="41">
        <v>608</v>
      </c>
    </row>
    <row r="79" spans="1:5" ht="17.25">
      <c r="A79" s="611">
        <v>73</v>
      </c>
      <c r="C79" s="640"/>
      <c r="D79" s="646" t="s">
        <v>1162</v>
      </c>
      <c r="E79" s="41">
        <v>-5000</v>
      </c>
    </row>
    <row r="80" spans="1:5" ht="17.25">
      <c r="A80" s="611">
        <v>74</v>
      </c>
      <c r="C80" s="640"/>
      <c r="D80" s="646" t="s">
        <v>1163</v>
      </c>
      <c r="E80" s="41">
        <v>5000</v>
      </c>
    </row>
    <row r="81" spans="1:5" ht="17.25">
      <c r="A81" s="611">
        <v>75</v>
      </c>
      <c r="C81" s="640"/>
      <c r="D81" s="647" t="s">
        <v>987</v>
      </c>
      <c r="E81" s="41">
        <v>-5000</v>
      </c>
    </row>
    <row r="82" spans="1:5" ht="19.5" customHeight="1">
      <c r="A82" s="611">
        <v>76</v>
      </c>
      <c r="C82" s="640"/>
      <c r="D82" s="646" t="s">
        <v>226</v>
      </c>
      <c r="E82" s="41"/>
    </row>
    <row r="83" spans="1:5" ht="33">
      <c r="A83" s="630">
        <v>77</v>
      </c>
      <c r="C83" s="640"/>
      <c r="D83" s="647" t="s">
        <v>1168</v>
      </c>
      <c r="E83" s="41">
        <v>-400</v>
      </c>
    </row>
    <row r="84" spans="1:5" ht="17.25">
      <c r="A84" s="611">
        <v>78</v>
      </c>
      <c r="C84" s="640"/>
      <c r="D84" s="647" t="s">
        <v>713</v>
      </c>
      <c r="E84" s="41">
        <v>-80</v>
      </c>
    </row>
    <row r="85" spans="1:5" ht="17.25">
      <c r="A85" s="611">
        <v>79</v>
      </c>
      <c r="C85" s="640"/>
      <c r="D85" s="647" t="s">
        <v>723</v>
      </c>
      <c r="E85" s="41">
        <v>-500</v>
      </c>
    </row>
    <row r="86" spans="1:5" ht="33">
      <c r="A86" s="630">
        <v>80</v>
      </c>
      <c r="C86" s="640"/>
      <c r="D86" s="647" t="s">
        <v>988</v>
      </c>
      <c r="E86" s="41">
        <v>-250</v>
      </c>
    </row>
    <row r="87" spans="1:5" ht="17.25">
      <c r="A87" s="611">
        <v>81</v>
      </c>
      <c r="C87" s="640"/>
      <c r="D87" s="647" t="s">
        <v>714</v>
      </c>
      <c r="E87" s="41">
        <v>-490</v>
      </c>
    </row>
    <row r="88" spans="1:5" ht="33">
      <c r="A88" s="630">
        <v>82</v>
      </c>
      <c r="C88" s="640"/>
      <c r="D88" s="647" t="s">
        <v>989</v>
      </c>
      <c r="E88" s="41">
        <v>-75</v>
      </c>
    </row>
    <row r="89" spans="1:5" ht="17.25">
      <c r="A89" s="611">
        <v>83</v>
      </c>
      <c r="C89" s="640"/>
      <c r="D89" s="647" t="s">
        <v>990</v>
      </c>
      <c r="E89" s="41">
        <v>-100</v>
      </c>
    </row>
    <row r="90" spans="1:5" ht="17.25">
      <c r="A90" s="611">
        <v>84</v>
      </c>
      <c r="C90" s="640"/>
      <c r="D90" s="647" t="s">
        <v>991</v>
      </c>
      <c r="E90" s="41">
        <v>-500</v>
      </c>
    </row>
    <row r="91" spans="1:5" ht="19.5" customHeight="1">
      <c r="A91" s="611">
        <v>85</v>
      </c>
      <c r="C91" s="640"/>
      <c r="D91" s="646" t="s">
        <v>992</v>
      </c>
      <c r="E91" s="41">
        <v>500</v>
      </c>
    </row>
    <row r="92" spans="1:5" ht="19.5" customHeight="1">
      <c r="A92" s="611">
        <v>86</v>
      </c>
      <c r="C92" s="640"/>
      <c r="D92" s="646" t="s">
        <v>715</v>
      </c>
      <c r="E92" s="41"/>
    </row>
    <row r="93" spans="1:5" ht="17.25">
      <c r="A93" s="611">
        <v>87</v>
      </c>
      <c r="C93" s="640"/>
      <c r="D93" s="647" t="s">
        <v>993</v>
      </c>
      <c r="E93" s="41">
        <v>-2500</v>
      </c>
    </row>
    <row r="94" spans="1:5" ht="19.5" customHeight="1">
      <c r="A94" s="611">
        <v>88</v>
      </c>
      <c r="C94" s="640"/>
      <c r="D94" s="646" t="s">
        <v>246</v>
      </c>
      <c r="E94" s="41"/>
    </row>
    <row r="95" spans="1:5" ht="33">
      <c r="A95" s="630">
        <v>89</v>
      </c>
      <c r="C95" s="640"/>
      <c r="D95" s="647" t="s">
        <v>994</v>
      </c>
      <c r="E95" s="41">
        <v>-100</v>
      </c>
    </row>
    <row r="96" spans="1:5" ht="17.25">
      <c r="A96" s="611">
        <v>90</v>
      </c>
      <c r="C96" s="640"/>
      <c r="D96" s="647" t="s">
        <v>995</v>
      </c>
      <c r="E96" s="41">
        <v>-200</v>
      </c>
    </row>
    <row r="97" spans="1:5" ht="19.5" customHeight="1">
      <c r="A97" s="611">
        <v>91</v>
      </c>
      <c r="C97" s="640"/>
      <c r="D97" s="646" t="s">
        <v>718</v>
      </c>
      <c r="E97" s="41"/>
    </row>
    <row r="98" spans="1:5" ht="33">
      <c r="A98" s="630">
        <v>92</v>
      </c>
      <c r="C98" s="640"/>
      <c r="D98" s="647" t="s">
        <v>996</v>
      </c>
      <c r="E98" s="41">
        <v>-50</v>
      </c>
    </row>
    <row r="99" spans="1:5" ht="17.25">
      <c r="A99" s="611">
        <v>93</v>
      </c>
      <c r="C99" s="640"/>
      <c r="D99" s="647" t="s">
        <v>997</v>
      </c>
      <c r="E99" s="41">
        <v>490</v>
      </c>
    </row>
    <row r="100" spans="1:5" ht="19.5" customHeight="1">
      <c r="A100" s="611">
        <v>94</v>
      </c>
      <c r="C100" s="640"/>
      <c r="D100" s="646" t="s">
        <v>749</v>
      </c>
      <c r="E100" s="41">
        <v>-2000</v>
      </c>
    </row>
    <row r="101" spans="1:5" ht="19.5" customHeight="1">
      <c r="A101" s="611">
        <v>95</v>
      </c>
      <c r="C101" s="640"/>
      <c r="D101" s="646" t="s">
        <v>998</v>
      </c>
      <c r="E101" s="41">
        <v>2000</v>
      </c>
    </row>
    <row r="102" spans="1:5" ht="19.5" customHeight="1">
      <c r="A102" s="611">
        <v>96</v>
      </c>
      <c r="C102" s="640"/>
      <c r="D102" s="646" t="s">
        <v>999</v>
      </c>
      <c r="E102" s="41">
        <v>-5000</v>
      </c>
    </row>
    <row r="103" spans="1:5" ht="19.5" customHeight="1">
      <c r="A103" s="611">
        <v>97</v>
      </c>
      <c r="C103" s="640"/>
      <c r="D103" s="646" t="s">
        <v>748</v>
      </c>
      <c r="E103" s="41">
        <v>5000</v>
      </c>
    </row>
    <row r="104" spans="1:5" ht="19.5" customHeight="1">
      <c r="A104" s="611">
        <v>98</v>
      </c>
      <c r="C104" s="640"/>
      <c r="D104" s="646" t="s">
        <v>16</v>
      </c>
      <c r="E104" s="41"/>
    </row>
    <row r="105" spans="1:5" ht="17.25">
      <c r="A105" s="611">
        <v>99</v>
      </c>
      <c r="C105" s="640"/>
      <c r="D105" s="647" t="s">
        <v>960</v>
      </c>
      <c r="E105" s="41">
        <v>-5000</v>
      </c>
    </row>
    <row r="106" spans="1:5" ht="17.25">
      <c r="A106" s="611">
        <v>100</v>
      </c>
      <c r="C106" s="640"/>
      <c r="D106" s="647" t="s">
        <v>1000</v>
      </c>
      <c r="E106" s="41">
        <v>5000</v>
      </c>
    </row>
    <row r="107" spans="1:5" ht="17.25">
      <c r="A107" s="611">
        <v>101</v>
      </c>
      <c r="C107" s="640"/>
      <c r="D107" s="647" t="s">
        <v>962</v>
      </c>
      <c r="E107" s="41">
        <v>-2000</v>
      </c>
    </row>
    <row r="108" spans="1:5" ht="17.25">
      <c r="A108" s="611">
        <v>102</v>
      </c>
      <c r="C108" s="640"/>
      <c r="D108" s="647" t="s">
        <v>1000</v>
      </c>
      <c r="E108" s="41">
        <v>2000</v>
      </c>
    </row>
    <row r="109" spans="1:5" ht="19.5" customHeight="1">
      <c r="A109" s="611">
        <v>103</v>
      </c>
      <c r="C109" s="640"/>
      <c r="D109" s="646" t="s">
        <v>757</v>
      </c>
      <c r="E109" s="41"/>
    </row>
    <row r="110" spans="1:5" ht="17.25">
      <c r="A110" s="611">
        <v>105</v>
      </c>
      <c r="C110" s="640"/>
      <c r="D110" s="647" t="s">
        <v>1197</v>
      </c>
      <c r="E110" s="41">
        <v>53594</v>
      </c>
    </row>
    <row r="111" spans="1:5" ht="19.5" customHeight="1">
      <c r="A111" s="611">
        <v>106</v>
      </c>
      <c r="C111" s="640"/>
      <c r="D111" s="646" t="s">
        <v>956</v>
      </c>
      <c r="E111" s="41">
        <v>80000</v>
      </c>
    </row>
    <row r="112" spans="1:5" ht="19.5" customHeight="1">
      <c r="A112" s="611">
        <v>107</v>
      </c>
      <c r="C112" s="640"/>
      <c r="D112" s="646" t="s">
        <v>957</v>
      </c>
      <c r="E112" s="41">
        <v>300000</v>
      </c>
    </row>
    <row r="113" spans="1:5" ht="36" customHeight="1">
      <c r="A113" s="630">
        <v>108</v>
      </c>
      <c r="C113" s="640"/>
      <c r="D113" s="650" t="s">
        <v>1001</v>
      </c>
      <c r="E113" s="41">
        <v>-1582</v>
      </c>
    </row>
    <row r="114" spans="1:5" ht="30" customHeight="1">
      <c r="A114" s="611">
        <v>109</v>
      </c>
      <c r="C114" s="640"/>
      <c r="D114" s="623" t="s">
        <v>977</v>
      </c>
      <c r="E114" s="41"/>
    </row>
    <row r="115" spans="1:5" ht="17.25">
      <c r="A115" s="611">
        <v>110</v>
      </c>
      <c r="C115" s="640"/>
      <c r="D115" s="631" t="s">
        <v>828</v>
      </c>
      <c r="E115" s="41">
        <v>243</v>
      </c>
    </row>
    <row r="116" spans="1:5" ht="17.25">
      <c r="A116" s="611">
        <v>111</v>
      </c>
      <c r="C116" s="640"/>
      <c r="D116" s="631" t="s">
        <v>829</v>
      </c>
      <c r="E116" s="41">
        <v>4096</v>
      </c>
    </row>
    <row r="117" spans="1:5" ht="17.25">
      <c r="A117" s="611">
        <v>112</v>
      </c>
      <c r="C117" s="640"/>
      <c r="D117" s="631" t="s">
        <v>830</v>
      </c>
      <c r="E117" s="41">
        <v>4500</v>
      </c>
    </row>
    <row r="118" spans="1:5" ht="17.25">
      <c r="A118" s="611">
        <v>113</v>
      </c>
      <c r="C118" s="640"/>
      <c r="D118" s="613" t="s">
        <v>1003</v>
      </c>
      <c r="E118" s="41">
        <v>1309</v>
      </c>
    </row>
    <row r="119" spans="1:5" ht="16.5" customHeight="1">
      <c r="A119" s="611">
        <v>114</v>
      </c>
      <c r="C119" s="640"/>
      <c r="D119" s="613" t="s">
        <v>718</v>
      </c>
      <c r="E119" s="41">
        <v>587</v>
      </c>
    </row>
    <row r="120" spans="1:5" ht="17.25">
      <c r="A120" s="611">
        <v>115</v>
      </c>
      <c r="C120" s="640"/>
      <c r="D120" s="613" t="s">
        <v>831</v>
      </c>
      <c r="E120" s="41">
        <v>1377</v>
      </c>
    </row>
    <row r="121" spans="1:5" ht="17.25">
      <c r="A121" s="611">
        <v>116</v>
      </c>
      <c r="C121" s="640"/>
      <c r="D121" s="613" t="s">
        <v>16</v>
      </c>
      <c r="E121" s="41"/>
    </row>
    <row r="122" spans="1:5" ht="17.25">
      <c r="A122" s="611">
        <v>117</v>
      </c>
      <c r="C122" s="640"/>
      <c r="D122" s="647" t="s">
        <v>832</v>
      </c>
      <c r="E122" s="41">
        <v>990</v>
      </c>
    </row>
    <row r="123" spans="1:5" ht="17.25">
      <c r="A123" s="611">
        <v>118</v>
      </c>
      <c r="C123" s="640"/>
      <c r="D123" s="647" t="s">
        <v>963</v>
      </c>
      <c r="E123" s="41">
        <v>2000</v>
      </c>
    </row>
    <row r="124" spans="1:5" ht="17.25">
      <c r="A124" s="611">
        <v>119</v>
      </c>
      <c r="C124" s="640"/>
      <c r="D124" s="613" t="s">
        <v>833</v>
      </c>
      <c r="E124" s="41">
        <v>2745</v>
      </c>
    </row>
    <row r="125" spans="1:5" ht="17.25">
      <c r="A125" s="611">
        <v>120</v>
      </c>
      <c r="C125" s="640"/>
      <c r="D125" s="613" t="s">
        <v>834</v>
      </c>
      <c r="E125" s="41">
        <v>1139</v>
      </c>
    </row>
    <row r="126" spans="1:5" ht="33">
      <c r="A126" s="630">
        <v>121</v>
      </c>
      <c r="C126" s="640"/>
      <c r="D126" s="613" t="s">
        <v>1004</v>
      </c>
      <c r="E126" s="41">
        <v>1347</v>
      </c>
    </row>
    <row r="127" spans="1:5" ht="17.25">
      <c r="A127" s="611">
        <v>122</v>
      </c>
      <c r="C127" s="640"/>
      <c r="D127" s="613" t="s">
        <v>835</v>
      </c>
      <c r="E127" s="41">
        <v>2077</v>
      </c>
    </row>
    <row r="128" spans="1:5" ht="17.25">
      <c r="A128" s="611">
        <v>123</v>
      </c>
      <c r="C128" s="640"/>
      <c r="D128" s="613" t="s">
        <v>836</v>
      </c>
      <c r="E128" s="41">
        <v>100</v>
      </c>
    </row>
    <row r="129" spans="1:5" ht="17.25">
      <c r="A129" s="611">
        <v>124</v>
      </c>
      <c r="C129" s="640"/>
      <c r="D129" s="380" t="s">
        <v>837</v>
      </c>
      <c r="E129" s="41">
        <v>1102</v>
      </c>
    </row>
    <row r="130" spans="1:5" ht="17.25">
      <c r="A130" s="611">
        <v>125</v>
      </c>
      <c r="C130" s="640"/>
      <c r="D130" s="380" t="s">
        <v>838</v>
      </c>
      <c r="E130" s="41">
        <v>1093</v>
      </c>
    </row>
    <row r="131" spans="1:5" ht="17.25">
      <c r="A131" s="611">
        <v>126</v>
      </c>
      <c r="C131" s="640"/>
      <c r="D131" s="380" t="s">
        <v>839</v>
      </c>
      <c r="E131" s="41">
        <v>2083</v>
      </c>
    </row>
    <row r="132" spans="1:5" ht="17.25">
      <c r="A132" s="611">
        <v>127</v>
      </c>
      <c r="C132" s="640"/>
      <c r="D132" s="380" t="s">
        <v>840</v>
      </c>
      <c r="E132" s="41">
        <v>659</v>
      </c>
    </row>
    <row r="133" spans="1:5" ht="17.25">
      <c r="A133" s="611">
        <v>128</v>
      </c>
      <c r="C133" s="640"/>
      <c r="D133" s="380" t="s">
        <v>841</v>
      </c>
      <c r="E133" s="41">
        <v>1000</v>
      </c>
    </row>
    <row r="134" spans="1:5" ht="17.25">
      <c r="A134" s="611">
        <v>129</v>
      </c>
      <c r="C134" s="640"/>
      <c r="D134" s="380" t="s">
        <v>842</v>
      </c>
      <c r="E134" s="41">
        <v>2087</v>
      </c>
    </row>
    <row r="135" spans="1:5" ht="33">
      <c r="A135" s="630">
        <v>130</v>
      </c>
      <c r="C135" s="640"/>
      <c r="D135" s="631" t="s">
        <v>1005</v>
      </c>
      <c r="E135" s="41">
        <v>5768</v>
      </c>
    </row>
    <row r="136" spans="1:5" ht="33">
      <c r="A136" s="611">
        <v>131</v>
      </c>
      <c r="C136" s="640"/>
      <c r="D136" s="631" t="s">
        <v>1006</v>
      </c>
      <c r="E136" s="41">
        <v>159</v>
      </c>
    </row>
    <row r="137" spans="1:5" ht="17.25">
      <c r="A137" s="611">
        <v>132</v>
      </c>
      <c r="C137" s="640"/>
      <c r="D137" s="380" t="s">
        <v>843</v>
      </c>
      <c r="E137" s="41">
        <v>1905</v>
      </c>
    </row>
    <row r="138" spans="1:5" ht="17.25">
      <c r="A138" s="611">
        <v>133</v>
      </c>
      <c r="C138" s="640"/>
      <c r="D138" s="380" t="s">
        <v>274</v>
      </c>
      <c r="E138" s="41">
        <v>13358</v>
      </c>
    </row>
    <row r="139" spans="1:5" ht="33">
      <c r="A139" s="630">
        <v>134</v>
      </c>
      <c r="C139" s="640"/>
      <c r="D139" s="631" t="s">
        <v>1007</v>
      </c>
      <c r="E139" s="41">
        <v>8000</v>
      </c>
    </row>
    <row r="140" spans="1:5" ht="17.25">
      <c r="A140" s="611">
        <v>135</v>
      </c>
      <c r="C140" s="640"/>
      <c r="D140" s="380" t="s">
        <v>844</v>
      </c>
      <c r="E140" s="41">
        <v>3440</v>
      </c>
    </row>
    <row r="141" spans="1:5" ht="17.25">
      <c r="A141" s="611">
        <v>136</v>
      </c>
      <c r="C141" s="640"/>
      <c r="D141" s="380" t="s">
        <v>1008</v>
      </c>
      <c r="E141" s="41">
        <v>50000</v>
      </c>
    </row>
    <row r="142" spans="1:5" ht="33">
      <c r="A142" s="630">
        <v>137</v>
      </c>
      <c r="C142" s="640"/>
      <c r="D142" s="631" t="s">
        <v>845</v>
      </c>
      <c r="E142" s="41">
        <v>13184</v>
      </c>
    </row>
    <row r="143" spans="1:5" ht="17.25">
      <c r="A143" s="611">
        <v>138</v>
      </c>
      <c r="C143" s="640"/>
      <c r="D143" s="380" t="s">
        <v>867</v>
      </c>
      <c r="E143" s="41">
        <v>10000</v>
      </c>
    </row>
    <row r="144" spans="1:5" ht="17.25">
      <c r="A144" s="611">
        <v>139</v>
      </c>
      <c r="C144" s="640"/>
      <c r="D144" s="380" t="s">
        <v>868</v>
      </c>
      <c r="E144" s="41">
        <v>52</v>
      </c>
    </row>
    <row r="145" spans="1:5" ht="17.25">
      <c r="A145" s="611">
        <v>140</v>
      </c>
      <c r="C145" s="640"/>
      <c r="D145" s="631" t="s">
        <v>846</v>
      </c>
      <c r="E145" s="41">
        <v>1500</v>
      </c>
    </row>
    <row r="146" spans="1:5" ht="17.25">
      <c r="A146" s="611">
        <v>141</v>
      </c>
      <c r="C146" s="640"/>
      <c r="D146" s="380" t="s">
        <v>289</v>
      </c>
      <c r="E146" s="41">
        <v>199</v>
      </c>
    </row>
    <row r="147" spans="1:5" ht="33">
      <c r="A147" s="630">
        <v>142</v>
      </c>
      <c r="C147" s="640"/>
      <c r="D147" s="631" t="s">
        <v>847</v>
      </c>
      <c r="E147" s="41">
        <v>500</v>
      </c>
    </row>
    <row r="148" spans="1:5" ht="33">
      <c r="A148" s="630">
        <v>143</v>
      </c>
      <c r="C148" s="640"/>
      <c r="D148" s="631" t="s">
        <v>848</v>
      </c>
      <c r="E148" s="41">
        <v>159</v>
      </c>
    </row>
    <row r="149" spans="1:5" ht="17.25">
      <c r="A149" s="611">
        <v>144</v>
      </c>
      <c r="C149" s="640"/>
      <c r="D149" s="631" t="s">
        <v>850</v>
      </c>
      <c r="E149" s="41">
        <v>1530</v>
      </c>
    </row>
    <row r="150" spans="1:5" ht="17.25">
      <c r="A150" s="611">
        <v>145</v>
      </c>
      <c r="C150" s="640"/>
      <c r="D150" s="380" t="s">
        <v>849</v>
      </c>
      <c r="E150" s="41">
        <v>4556</v>
      </c>
    </row>
    <row r="151" spans="1:5" ht="17.25">
      <c r="A151" s="611">
        <v>146</v>
      </c>
      <c r="C151" s="640"/>
      <c r="D151" s="380" t="s">
        <v>851</v>
      </c>
      <c r="E151" s="41">
        <v>44127</v>
      </c>
    </row>
    <row r="152" spans="1:5" ht="17.25">
      <c r="A152" s="611">
        <v>147</v>
      </c>
      <c r="C152" s="640"/>
      <c r="D152" s="380" t="s">
        <v>852</v>
      </c>
      <c r="E152" s="41">
        <v>14297</v>
      </c>
    </row>
    <row r="153" spans="1:5" ht="17.25">
      <c r="A153" s="611">
        <v>148</v>
      </c>
      <c r="C153" s="640"/>
      <c r="D153" s="380" t="s">
        <v>853</v>
      </c>
      <c r="E153" s="41">
        <v>3428</v>
      </c>
    </row>
    <row r="154" spans="1:5" ht="17.25">
      <c r="A154" s="611">
        <v>149</v>
      </c>
      <c r="C154" s="640"/>
      <c r="D154" s="380" t="s">
        <v>854</v>
      </c>
      <c r="E154" s="41">
        <v>24292</v>
      </c>
    </row>
    <row r="155" spans="1:5" ht="17.25">
      <c r="A155" s="611">
        <v>150</v>
      </c>
      <c r="C155" s="640"/>
      <c r="D155" s="380" t="s">
        <v>855</v>
      </c>
      <c r="E155" s="41">
        <v>10473</v>
      </c>
    </row>
    <row r="156" spans="1:5" ht="17.25">
      <c r="A156" s="611">
        <v>151</v>
      </c>
      <c r="C156" s="640"/>
      <c r="D156" s="380" t="s">
        <v>1009</v>
      </c>
      <c r="E156" s="41">
        <v>1000</v>
      </c>
    </row>
    <row r="157" spans="1:5" ht="17.25">
      <c r="A157" s="611">
        <v>152</v>
      </c>
      <c r="C157" s="640"/>
      <c r="D157" s="380" t="s">
        <v>856</v>
      </c>
      <c r="E157" s="41">
        <v>2835</v>
      </c>
    </row>
    <row r="158" spans="1:5" ht="17.25">
      <c r="A158" s="611">
        <v>153</v>
      </c>
      <c r="C158" s="640"/>
      <c r="D158" s="380" t="s">
        <v>857</v>
      </c>
      <c r="E158" s="41">
        <v>8481</v>
      </c>
    </row>
    <row r="159" spans="1:5" ht="17.25">
      <c r="A159" s="611">
        <v>154</v>
      </c>
      <c r="C159" s="640"/>
      <c r="D159" s="380" t="s">
        <v>858</v>
      </c>
      <c r="E159" s="41">
        <v>3211</v>
      </c>
    </row>
    <row r="160" spans="1:5" ht="17.25">
      <c r="A160" s="611">
        <v>155</v>
      </c>
      <c r="C160" s="640"/>
      <c r="D160" s="380" t="s">
        <v>859</v>
      </c>
      <c r="E160" s="41">
        <v>698</v>
      </c>
    </row>
    <row r="161" spans="1:6" ht="17.25">
      <c r="A161" s="611">
        <v>156</v>
      </c>
      <c r="C161" s="640"/>
      <c r="D161" s="380" t="s">
        <v>860</v>
      </c>
      <c r="E161" s="41">
        <v>3212</v>
      </c>
      <c r="F161" s="324">
        <f>SUM(E129:E161,E110,E115)</f>
        <v>292225</v>
      </c>
    </row>
    <row r="162" spans="1:6" ht="17.25">
      <c r="A162" s="611">
        <v>157</v>
      </c>
      <c r="C162" s="640"/>
      <c r="D162" s="380" t="s">
        <v>861</v>
      </c>
      <c r="E162" s="41">
        <v>1666</v>
      </c>
      <c r="F162" s="324"/>
    </row>
    <row r="163" spans="1:6" ht="17.25">
      <c r="A163" s="611">
        <v>158</v>
      </c>
      <c r="C163" s="640"/>
      <c r="D163" s="380" t="s">
        <v>1169</v>
      </c>
      <c r="E163" s="41">
        <v>4396</v>
      </c>
      <c r="F163" s="324"/>
    </row>
    <row r="164" spans="1:6" ht="17.25">
      <c r="A164" s="611">
        <v>159</v>
      </c>
      <c r="C164" s="640"/>
      <c r="D164" s="380" t="s">
        <v>862</v>
      </c>
      <c r="E164" s="41">
        <v>2200</v>
      </c>
      <c r="F164" s="324"/>
    </row>
    <row r="165" spans="1:6" ht="17.25">
      <c r="A165" s="611">
        <v>160</v>
      </c>
      <c r="C165" s="640"/>
      <c r="D165" s="380" t="s">
        <v>869</v>
      </c>
      <c r="E165" s="41">
        <v>1962</v>
      </c>
      <c r="F165" s="324"/>
    </row>
    <row r="166" spans="1:6" ht="17.25">
      <c r="A166" s="611">
        <v>161</v>
      </c>
      <c r="C166" s="640"/>
      <c r="D166" s="380" t="s">
        <v>1010</v>
      </c>
      <c r="E166" s="41">
        <v>90</v>
      </c>
      <c r="F166" s="324"/>
    </row>
    <row r="167" spans="1:6" ht="17.25">
      <c r="A167" s="611">
        <v>162</v>
      </c>
      <c r="C167" s="640"/>
      <c r="D167" s="380" t="s">
        <v>863</v>
      </c>
      <c r="E167" s="41">
        <v>5359</v>
      </c>
      <c r="F167" s="324"/>
    </row>
    <row r="168" spans="1:6" ht="17.25">
      <c r="A168" s="611">
        <v>163</v>
      </c>
      <c r="C168" s="640"/>
      <c r="D168" s="380" t="s">
        <v>864</v>
      </c>
      <c r="E168" s="41">
        <v>1630</v>
      </c>
      <c r="F168" s="324"/>
    </row>
    <row r="169" spans="1:6" ht="17.25">
      <c r="A169" s="611">
        <v>164</v>
      </c>
      <c r="C169" s="640"/>
      <c r="D169" s="380" t="s">
        <v>865</v>
      </c>
      <c r="E169" s="41">
        <v>1202</v>
      </c>
      <c r="F169" s="324"/>
    </row>
    <row r="170" spans="1:6" ht="17.25">
      <c r="A170" s="611">
        <v>165</v>
      </c>
      <c r="C170" s="640"/>
      <c r="D170" s="380" t="s">
        <v>866</v>
      </c>
      <c r="E170" s="41">
        <v>9860</v>
      </c>
      <c r="F170" s="324"/>
    </row>
    <row r="171" spans="1:6" ht="49.5">
      <c r="A171" s="630">
        <v>166</v>
      </c>
      <c r="C171" s="640"/>
      <c r="D171" s="631" t="s">
        <v>1011</v>
      </c>
      <c r="E171" s="41">
        <v>5071</v>
      </c>
      <c r="F171" s="324"/>
    </row>
    <row r="172" spans="1:6" ht="33">
      <c r="A172" s="630">
        <v>167</v>
      </c>
      <c r="C172" s="640"/>
      <c r="D172" s="631" t="s">
        <v>947</v>
      </c>
      <c r="E172" s="41">
        <v>16662</v>
      </c>
      <c r="F172" s="324"/>
    </row>
    <row r="173" spans="1:6" ht="49.5">
      <c r="A173" s="630">
        <v>168</v>
      </c>
      <c r="C173" s="640"/>
      <c r="D173" s="631" t="s">
        <v>1012</v>
      </c>
      <c r="E173" s="41">
        <v>3634</v>
      </c>
      <c r="F173" s="324"/>
    </row>
    <row r="174" spans="1:6" ht="49.5">
      <c r="A174" s="630">
        <v>169</v>
      </c>
      <c r="C174" s="640"/>
      <c r="D174" s="631" t="s">
        <v>948</v>
      </c>
      <c r="E174" s="41">
        <v>56951</v>
      </c>
      <c r="F174" s="324"/>
    </row>
    <row r="175" spans="1:6" ht="33">
      <c r="A175" s="630">
        <v>170</v>
      </c>
      <c r="C175" s="640"/>
      <c r="D175" s="631" t="s">
        <v>949</v>
      </c>
      <c r="E175" s="41">
        <v>1000</v>
      </c>
      <c r="F175" s="324"/>
    </row>
    <row r="176" spans="1:6" ht="33">
      <c r="A176" s="630">
        <v>171</v>
      </c>
      <c r="C176" s="640"/>
      <c r="D176" s="631" t="s">
        <v>950</v>
      </c>
      <c r="E176" s="41">
        <v>1207</v>
      </c>
      <c r="F176" s="324"/>
    </row>
    <row r="177" spans="1:6" ht="33">
      <c r="A177" s="630">
        <v>172</v>
      </c>
      <c r="C177" s="640"/>
      <c r="D177" s="631" t="s">
        <v>951</v>
      </c>
      <c r="E177" s="41">
        <v>762</v>
      </c>
      <c r="F177" s="324"/>
    </row>
    <row r="178" spans="1:6" ht="17.25">
      <c r="A178" s="611">
        <v>173</v>
      </c>
      <c r="C178" s="640"/>
      <c r="D178" s="631" t="s">
        <v>322</v>
      </c>
      <c r="E178" s="41">
        <v>15178</v>
      </c>
      <c r="F178" s="324"/>
    </row>
    <row r="179" spans="1:6" ht="33">
      <c r="A179" s="630">
        <v>174</v>
      </c>
      <c r="C179" s="640"/>
      <c r="D179" s="631" t="s">
        <v>314</v>
      </c>
      <c r="E179" s="41">
        <v>1413</v>
      </c>
      <c r="F179" s="324"/>
    </row>
    <row r="180" spans="1:6" ht="17.25">
      <c r="A180" s="611">
        <v>175</v>
      </c>
      <c r="C180" s="640"/>
      <c r="D180" s="631" t="s">
        <v>324</v>
      </c>
      <c r="E180" s="314">
        <v>17698</v>
      </c>
      <c r="F180" s="324"/>
    </row>
    <row r="181" spans="1:5" s="640" customFormat="1" ht="19.5" customHeight="1">
      <c r="A181" s="630">
        <v>176</v>
      </c>
      <c r="D181" s="654" t="s">
        <v>612</v>
      </c>
      <c r="E181" s="633">
        <f>SUM(E69:E180)</f>
        <v>842612</v>
      </c>
    </row>
    <row r="182" spans="1:4" ht="30" customHeight="1">
      <c r="A182" s="611">
        <v>177</v>
      </c>
      <c r="C182" s="640"/>
      <c r="D182" s="649" t="s">
        <v>613</v>
      </c>
    </row>
    <row r="183" spans="1:5" ht="17.25">
      <c r="A183" s="611">
        <v>178</v>
      </c>
      <c r="C183" s="640"/>
      <c r="D183" s="612" t="s">
        <v>1013</v>
      </c>
      <c r="E183" s="324">
        <v>200</v>
      </c>
    </row>
    <row r="184" spans="1:5" ht="17.25">
      <c r="A184" s="611">
        <v>179</v>
      </c>
      <c r="C184" s="640"/>
      <c r="D184" s="612" t="s">
        <v>1014</v>
      </c>
      <c r="E184" s="324">
        <v>100</v>
      </c>
    </row>
    <row r="185" spans="1:5" ht="17.25">
      <c r="A185" s="611">
        <v>180</v>
      </c>
      <c r="C185" s="640"/>
      <c r="D185" s="612" t="s">
        <v>1015</v>
      </c>
      <c r="E185" s="324">
        <v>172</v>
      </c>
    </row>
    <row r="186" spans="1:5" ht="17.25">
      <c r="A186" s="611">
        <v>181</v>
      </c>
      <c r="C186" s="640"/>
      <c r="D186" s="612" t="s">
        <v>1016</v>
      </c>
      <c r="E186" s="324">
        <v>51</v>
      </c>
    </row>
    <row r="187" spans="1:5" ht="17.25">
      <c r="A187" s="611">
        <v>182</v>
      </c>
      <c r="C187" s="640"/>
      <c r="D187" s="612" t="s">
        <v>1017</v>
      </c>
      <c r="E187" s="324">
        <v>100</v>
      </c>
    </row>
    <row r="188" spans="1:5" ht="17.25">
      <c r="A188" s="611">
        <v>183</v>
      </c>
      <c r="C188" s="640"/>
      <c r="D188" s="612" t="s">
        <v>1018</v>
      </c>
      <c r="E188" s="324">
        <v>150</v>
      </c>
    </row>
    <row r="189" spans="1:5" ht="17.25">
      <c r="A189" s="611">
        <v>184</v>
      </c>
      <c r="C189" s="640"/>
      <c r="D189" s="612" t="s">
        <v>1019</v>
      </c>
      <c r="E189" s="324">
        <v>100</v>
      </c>
    </row>
    <row r="190" spans="1:5" ht="17.25">
      <c r="A190" s="611">
        <v>185</v>
      </c>
      <c r="C190" s="640"/>
      <c r="D190" s="612" t="s">
        <v>1020</v>
      </c>
      <c r="E190" s="324">
        <v>110</v>
      </c>
    </row>
    <row r="191" spans="1:5" ht="17.25">
      <c r="A191" s="611">
        <v>186</v>
      </c>
      <c r="C191" s="640"/>
      <c r="D191" s="612" t="s">
        <v>1021</v>
      </c>
      <c r="E191" s="324">
        <v>100</v>
      </c>
    </row>
    <row r="192" spans="1:5" ht="17.25">
      <c r="A192" s="611">
        <v>187</v>
      </c>
      <c r="C192" s="640"/>
      <c r="D192" s="612" t="s">
        <v>1022</v>
      </c>
      <c r="E192" s="324">
        <v>141</v>
      </c>
    </row>
    <row r="193" spans="1:5" ht="17.25">
      <c r="A193" s="611">
        <v>188</v>
      </c>
      <c r="C193" s="640"/>
      <c r="D193" s="612" t="s">
        <v>1023</v>
      </c>
      <c r="E193" s="314">
        <v>80</v>
      </c>
    </row>
    <row r="194" spans="1:5" s="640" customFormat="1" ht="19.5" customHeight="1">
      <c r="A194" s="630">
        <v>189</v>
      </c>
      <c r="D194" s="654" t="s">
        <v>614</v>
      </c>
      <c r="E194" s="633">
        <f>SUM(E183:E193)</f>
        <v>1304</v>
      </c>
    </row>
    <row r="195" spans="1:4" ht="30" customHeight="1">
      <c r="A195" s="611">
        <v>190</v>
      </c>
      <c r="C195" s="640"/>
      <c r="D195" s="649" t="s">
        <v>615</v>
      </c>
    </row>
    <row r="196" spans="1:5" ht="17.25">
      <c r="A196" s="611">
        <v>191</v>
      </c>
      <c r="C196" s="640"/>
      <c r="D196" s="612" t="s">
        <v>1029</v>
      </c>
      <c r="E196" s="324">
        <v>50</v>
      </c>
    </row>
    <row r="197" spans="1:5" ht="17.25">
      <c r="A197" s="611">
        <v>192</v>
      </c>
      <c r="C197" s="640"/>
      <c r="D197" s="612" t="s">
        <v>1030</v>
      </c>
      <c r="E197" s="324">
        <v>100</v>
      </c>
    </row>
    <row r="198" spans="1:5" ht="17.25">
      <c r="A198" s="611">
        <v>193</v>
      </c>
      <c r="C198" s="640"/>
      <c r="D198" s="612" t="s">
        <v>1031</v>
      </c>
      <c r="E198" s="324">
        <v>10</v>
      </c>
    </row>
    <row r="199" spans="1:5" ht="17.25">
      <c r="A199" s="611">
        <v>194</v>
      </c>
      <c r="C199" s="640"/>
      <c r="D199" s="612" t="s">
        <v>1032</v>
      </c>
      <c r="E199" s="324">
        <v>100</v>
      </c>
    </row>
    <row r="200" spans="1:5" ht="17.25">
      <c r="A200" s="611">
        <v>195</v>
      </c>
      <c r="C200" s="640"/>
      <c r="D200" s="612" t="s">
        <v>1033</v>
      </c>
      <c r="E200" s="324">
        <v>40</v>
      </c>
    </row>
    <row r="201" spans="1:5" ht="17.25">
      <c r="A201" s="611">
        <v>196</v>
      </c>
      <c r="C201" s="640"/>
      <c r="D201" s="612" t="s">
        <v>1034</v>
      </c>
      <c r="E201" s="324">
        <v>40</v>
      </c>
    </row>
    <row r="202" spans="1:5" ht="17.25">
      <c r="A202" s="611">
        <v>197</v>
      </c>
      <c r="C202" s="640"/>
      <c r="D202" s="612" t="s">
        <v>1024</v>
      </c>
      <c r="E202" s="324">
        <v>140</v>
      </c>
    </row>
    <row r="203" spans="1:5" ht="17.25">
      <c r="A203" s="611">
        <v>198</v>
      </c>
      <c r="C203" s="640"/>
      <c r="D203" s="612" t="s">
        <v>1035</v>
      </c>
      <c r="E203" s="324">
        <v>35</v>
      </c>
    </row>
    <row r="204" spans="1:5" ht="17.25">
      <c r="A204" s="611">
        <v>199</v>
      </c>
      <c r="C204" s="640"/>
      <c r="D204" s="612" t="s">
        <v>1025</v>
      </c>
      <c r="E204" s="314">
        <v>20</v>
      </c>
    </row>
    <row r="205" spans="1:5" s="640" customFormat="1" ht="19.5" customHeight="1">
      <c r="A205" s="630">
        <v>200</v>
      </c>
      <c r="D205" s="654" t="s">
        <v>616</v>
      </c>
      <c r="E205" s="633">
        <f>SUM(E196:E204)</f>
        <v>535</v>
      </c>
    </row>
    <row r="206" spans="1:4" ht="30" customHeight="1">
      <c r="A206" s="611">
        <v>201</v>
      </c>
      <c r="C206" s="640"/>
      <c r="D206" s="649" t="s">
        <v>327</v>
      </c>
    </row>
    <row r="207" spans="1:5" s="640" customFormat="1" ht="17.25">
      <c r="A207" s="611">
        <v>202</v>
      </c>
      <c r="D207" s="612" t="s">
        <v>1036</v>
      </c>
      <c r="E207" s="633">
        <v>50</v>
      </c>
    </row>
    <row r="208" spans="1:5" s="640" customFormat="1" ht="17.25">
      <c r="A208" s="611">
        <v>203</v>
      </c>
      <c r="D208" s="612" t="s">
        <v>1037</v>
      </c>
      <c r="E208" s="633">
        <v>50</v>
      </c>
    </row>
    <row r="209" spans="1:5" s="640" customFormat="1" ht="19.5" customHeight="1">
      <c r="A209" s="611">
        <v>204</v>
      </c>
      <c r="D209" s="655" t="s">
        <v>617</v>
      </c>
      <c r="E209" s="633"/>
    </row>
    <row r="210" spans="1:5" s="640" customFormat="1" ht="17.25">
      <c r="A210" s="611">
        <v>205</v>
      </c>
      <c r="D210" s="612" t="s">
        <v>1038</v>
      </c>
      <c r="E210" s="641">
        <v>100</v>
      </c>
    </row>
    <row r="211" spans="1:5" s="640" customFormat="1" ht="17.25">
      <c r="A211" s="611">
        <v>206</v>
      </c>
      <c r="D211" s="612" t="s">
        <v>1039</v>
      </c>
      <c r="E211" s="641">
        <v>50</v>
      </c>
    </row>
    <row r="212" spans="1:5" s="640" customFormat="1" ht="17.25">
      <c r="A212" s="611">
        <v>207</v>
      </c>
      <c r="D212" s="612" t="s">
        <v>1051</v>
      </c>
      <c r="E212" s="641">
        <v>20</v>
      </c>
    </row>
    <row r="213" spans="1:5" s="640" customFormat="1" ht="17.25">
      <c r="A213" s="611">
        <v>208</v>
      </c>
      <c r="D213" s="612" t="s">
        <v>1040</v>
      </c>
      <c r="E213" s="641">
        <v>300</v>
      </c>
    </row>
    <row r="214" spans="1:5" s="640" customFormat="1" ht="17.25">
      <c r="A214" s="611">
        <v>209</v>
      </c>
      <c r="D214" s="612" t="s">
        <v>1041</v>
      </c>
      <c r="E214" s="641">
        <v>300</v>
      </c>
    </row>
    <row r="215" spans="1:5" s="640" customFormat="1" ht="17.25">
      <c r="A215" s="611">
        <v>210</v>
      </c>
      <c r="D215" s="612" t="s">
        <v>1042</v>
      </c>
      <c r="E215" s="641">
        <v>130</v>
      </c>
    </row>
    <row r="216" spans="1:5" s="640" customFormat="1" ht="17.25">
      <c r="A216" s="611">
        <v>211</v>
      </c>
      <c r="D216" s="612" t="s">
        <v>1043</v>
      </c>
      <c r="E216" s="641">
        <v>20</v>
      </c>
    </row>
    <row r="217" spans="1:5" s="640" customFormat="1" ht="33">
      <c r="A217" s="630">
        <v>212</v>
      </c>
      <c r="D217" s="613" t="s">
        <v>1052</v>
      </c>
      <c r="E217" s="1115">
        <v>80</v>
      </c>
    </row>
    <row r="218" spans="1:5" s="640" customFormat="1" ht="17.25">
      <c r="A218" s="611">
        <v>213</v>
      </c>
      <c r="D218" s="612" t="s">
        <v>1053</v>
      </c>
      <c r="E218" s="641">
        <v>50</v>
      </c>
    </row>
    <row r="219" spans="1:5" s="640" customFormat="1" ht="17.25">
      <c r="A219" s="611">
        <v>214</v>
      </c>
      <c r="D219" s="612" t="s">
        <v>1054</v>
      </c>
      <c r="E219" s="641">
        <v>100</v>
      </c>
    </row>
    <row r="220" spans="1:5" s="640" customFormat="1" ht="33">
      <c r="A220" s="630">
        <v>215</v>
      </c>
      <c r="D220" s="613" t="s">
        <v>1055</v>
      </c>
      <c r="E220" s="1115">
        <v>100</v>
      </c>
    </row>
    <row r="221" spans="1:5" s="640" customFormat="1" ht="33">
      <c r="A221" s="630">
        <v>216</v>
      </c>
      <c r="D221" s="613" t="s">
        <v>1056</v>
      </c>
      <c r="E221" s="1115">
        <v>100</v>
      </c>
    </row>
    <row r="222" spans="1:5" s="640" customFormat="1" ht="17.25">
      <c r="A222" s="611">
        <v>217</v>
      </c>
      <c r="D222" s="612" t="s">
        <v>1057</v>
      </c>
      <c r="E222" s="641">
        <v>100</v>
      </c>
    </row>
    <row r="223" spans="1:5" s="640" customFormat="1" ht="17.25">
      <c r="A223" s="611">
        <v>218</v>
      </c>
      <c r="D223" s="612" t="s">
        <v>1058</v>
      </c>
      <c r="E223" s="641">
        <v>130</v>
      </c>
    </row>
    <row r="224" spans="1:5" s="640" customFormat="1" ht="17.25">
      <c r="A224" s="611">
        <v>219</v>
      </c>
      <c r="D224" s="612" t="s">
        <v>1170</v>
      </c>
      <c r="E224" s="641">
        <v>50</v>
      </c>
    </row>
    <row r="225" spans="1:5" s="640" customFormat="1" ht="17.25">
      <c r="A225" s="611">
        <v>220</v>
      </c>
      <c r="D225" s="612" t="s">
        <v>1171</v>
      </c>
      <c r="E225" s="641">
        <v>200</v>
      </c>
    </row>
    <row r="226" spans="1:5" s="640" customFormat="1" ht="17.25">
      <c r="A226" s="611">
        <v>221</v>
      </c>
      <c r="D226" s="612" t="s">
        <v>1059</v>
      </c>
      <c r="E226" s="641">
        <v>50</v>
      </c>
    </row>
    <row r="227" spans="1:5" s="640" customFormat="1" ht="17.25">
      <c r="A227" s="611">
        <v>222</v>
      </c>
      <c r="D227" s="612" t="s">
        <v>1179</v>
      </c>
      <c r="E227" s="641">
        <v>80</v>
      </c>
    </row>
    <row r="228" spans="1:5" s="640" customFormat="1" ht="17.25">
      <c r="A228" s="611">
        <v>223</v>
      </c>
      <c r="D228" s="612" t="s">
        <v>1044</v>
      </c>
      <c r="E228" s="641">
        <v>30</v>
      </c>
    </row>
    <row r="229" spans="1:5" s="640" customFormat="1" ht="17.25">
      <c r="A229" s="611">
        <v>224</v>
      </c>
      <c r="D229" s="612" t="s">
        <v>1045</v>
      </c>
      <c r="E229" s="641">
        <v>120</v>
      </c>
    </row>
    <row r="230" spans="1:5" s="640" customFormat="1" ht="33">
      <c r="A230" s="630">
        <v>225</v>
      </c>
      <c r="D230" s="613" t="s">
        <v>1046</v>
      </c>
      <c r="E230" s="1115">
        <v>100</v>
      </c>
    </row>
    <row r="231" spans="1:5" s="640" customFormat="1" ht="17.25">
      <c r="A231" s="611">
        <v>226</v>
      </c>
      <c r="D231" s="612" t="s">
        <v>1060</v>
      </c>
      <c r="E231" s="641">
        <v>50</v>
      </c>
    </row>
    <row r="232" spans="1:5" s="640" customFormat="1" ht="17.25">
      <c r="A232" s="611">
        <v>227</v>
      </c>
      <c r="D232" s="612" t="s">
        <v>1172</v>
      </c>
      <c r="E232" s="641">
        <v>100</v>
      </c>
    </row>
    <row r="233" spans="1:5" s="640" customFormat="1" ht="17.25">
      <c r="A233" s="611">
        <v>228</v>
      </c>
      <c r="D233" s="612" t="s">
        <v>1061</v>
      </c>
      <c r="E233" s="641">
        <v>50</v>
      </c>
    </row>
    <row r="234" spans="1:5" s="640" customFormat="1" ht="17.25">
      <c r="A234" s="611">
        <v>229</v>
      </c>
      <c r="D234" s="612" t="s">
        <v>1062</v>
      </c>
      <c r="E234" s="641">
        <v>100</v>
      </c>
    </row>
    <row r="235" spans="1:5" s="640" customFormat="1" ht="17.25">
      <c r="A235" s="611">
        <v>230</v>
      </c>
      <c r="D235" s="612" t="s">
        <v>1063</v>
      </c>
      <c r="E235" s="1114">
        <v>100</v>
      </c>
    </row>
    <row r="236" spans="1:5" s="640" customFormat="1" ht="17.25">
      <c r="A236" s="611">
        <v>231</v>
      </c>
      <c r="D236" s="655"/>
      <c r="E236" s="633">
        <f>SUM(E210:E235)</f>
        <v>2610</v>
      </c>
    </row>
    <row r="237" spans="1:5" s="640" customFormat="1" ht="19.5" customHeight="1">
      <c r="A237" s="611">
        <v>232</v>
      </c>
      <c r="D237" s="655" t="s">
        <v>12</v>
      </c>
      <c r="E237" s="633"/>
    </row>
    <row r="238" spans="1:5" s="640" customFormat="1" ht="17.25">
      <c r="A238" s="611">
        <v>233</v>
      </c>
      <c r="D238" s="612" t="s">
        <v>1026</v>
      </c>
      <c r="E238" s="641">
        <v>224</v>
      </c>
    </row>
    <row r="239" spans="1:5" s="640" customFormat="1" ht="17.25">
      <c r="A239" s="611">
        <v>234</v>
      </c>
      <c r="D239" s="612" t="s">
        <v>1064</v>
      </c>
      <c r="E239" s="641">
        <v>150</v>
      </c>
    </row>
    <row r="240" spans="1:5" s="640" customFormat="1" ht="17.25">
      <c r="A240" s="611">
        <v>235</v>
      </c>
      <c r="D240" s="612" t="s">
        <v>1027</v>
      </c>
      <c r="E240" s="641">
        <v>96</v>
      </c>
    </row>
    <row r="241" spans="1:5" s="640" customFormat="1" ht="17.25">
      <c r="A241" s="611">
        <v>236</v>
      </c>
      <c r="D241" s="612" t="s">
        <v>1028</v>
      </c>
      <c r="E241" s="1114">
        <v>300</v>
      </c>
    </row>
    <row r="242" spans="1:5" s="640" customFormat="1" ht="21.75" customHeight="1">
      <c r="A242" s="630">
        <v>237</v>
      </c>
      <c r="D242" s="654"/>
      <c r="E242" s="633">
        <f>SUM(E238:E241)</f>
        <v>770</v>
      </c>
    </row>
    <row r="243" spans="1:5" s="108" customFormat="1" ht="21.75" customHeight="1" thickBot="1">
      <c r="A243" s="642">
        <v>238</v>
      </c>
      <c r="B243" s="656"/>
      <c r="C243" s="657"/>
      <c r="D243" s="658" t="s">
        <v>618</v>
      </c>
      <c r="E243" s="659">
        <f>E205+E194+E208+E207+E242+E236</f>
        <v>5319</v>
      </c>
    </row>
    <row r="244" spans="1:5" s="13" customFormat="1" ht="21.75" customHeight="1" thickBot="1" thickTop="1">
      <c r="A244" s="642">
        <v>239</v>
      </c>
      <c r="B244" s="657"/>
      <c r="C244" s="657"/>
      <c r="D244" s="660" t="s">
        <v>619</v>
      </c>
      <c r="E244" s="661">
        <f>E243+E181</f>
        <v>847931</v>
      </c>
    </row>
    <row r="245" spans="1:4" ht="21.75" customHeight="1" thickTop="1">
      <c r="A245" s="611">
        <v>240</v>
      </c>
      <c r="C245" s="626" t="s">
        <v>371</v>
      </c>
      <c r="D245" s="627" t="s">
        <v>620</v>
      </c>
    </row>
    <row r="246" spans="1:4" ht="17.25">
      <c r="A246" s="611">
        <v>241</v>
      </c>
      <c r="C246" s="626"/>
      <c r="D246" s="627" t="s">
        <v>978</v>
      </c>
    </row>
    <row r="247" spans="1:5" ht="33.75">
      <c r="A247" s="611">
        <v>242</v>
      </c>
      <c r="C247" s="626"/>
      <c r="D247" s="662" t="s">
        <v>1065</v>
      </c>
      <c r="E247" s="663">
        <v>600</v>
      </c>
    </row>
    <row r="248" spans="1:5" ht="17.25">
      <c r="A248" s="611">
        <v>243</v>
      </c>
      <c r="C248" s="626"/>
      <c r="D248" s="662" t="s">
        <v>1066</v>
      </c>
      <c r="E248" s="663">
        <v>387</v>
      </c>
    </row>
    <row r="249" spans="1:5" ht="17.25">
      <c r="A249" s="611">
        <v>244</v>
      </c>
      <c r="C249" s="626"/>
      <c r="D249" s="662" t="s">
        <v>873</v>
      </c>
      <c r="E249" s="663">
        <v>-490</v>
      </c>
    </row>
    <row r="250" spans="1:5" ht="33.75">
      <c r="A250" s="630">
        <v>245</v>
      </c>
      <c r="C250" s="626"/>
      <c r="D250" s="662" t="s">
        <v>1180</v>
      </c>
      <c r="E250" s="663">
        <v>-37500</v>
      </c>
    </row>
    <row r="251" spans="1:5" ht="17.25">
      <c r="A251" s="611">
        <v>246</v>
      </c>
      <c r="C251" s="626"/>
      <c r="D251" s="1089" t="s">
        <v>165</v>
      </c>
      <c r="E251" s="663">
        <v>-6200</v>
      </c>
    </row>
    <row r="252" spans="1:5" ht="33.75">
      <c r="A252" s="630">
        <v>247</v>
      </c>
      <c r="C252" s="626"/>
      <c r="D252" s="662" t="s">
        <v>939</v>
      </c>
      <c r="E252" s="663">
        <v>5500</v>
      </c>
    </row>
    <row r="253" spans="1:5" ht="17.25">
      <c r="A253" s="611">
        <v>248</v>
      </c>
      <c r="C253" s="626"/>
      <c r="D253" s="662" t="s">
        <v>940</v>
      </c>
      <c r="E253" s="663">
        <v>3587</v>
      </c>
    </row>
    <row r="254" spans="1:5" ht="17.25">
      <c r="A254" s="611">
        <v>249</v>
      </c>
      <c r="C254" s="626"/>
      <c r="D254" s="662" t="s">
        <v>941</v>
      </c>
      <c r="E254" s="663">
        <v>3390</v>
      </c>
    </row>
    <row r="255" spans="1:5" ht="15.75" customHeight="1">
      <c r="A255" s="611">
        <v>250</v>
      </c>
      <c r="C255" s="626"/>
      <c r="D255" s="662" t="s">
        <v>1067</v>
      </c>
      <c r="E255" s="663">
        <v>4369</v>
      </c>
    </row>
    <row r="256" spans="1:5" ht="17.25">
      <c r="A256" s="611">
        <v>251</v>
      </c>
      <c r="C256" s="626"/>
      <c r="D256" s="662" t="s">
        <v>1068</v>
      </c>
      <c r="E256" s="663">
        <v>5000</v>
      </c>
    </row>
    <row r="257" spans="1:5" ht="17.25">
      <c r="A257" s="611">
        <v>252</v>
      </c>
      <c r="C257" s="626"/>
      <c r="D257" s="662" t="s">
        <v>903</v>
      </c>
      <c r="E257" s="663">
        <v>-195000</v>
      </c>
    </row>
    <row r="258" spans="1:5" ht="17.25">
      <c r="A258" s="611">
        <v>253</v>
      </c>
      <c r="C258" s="626"/>
      <c r="D258" s="662" t="s">
        <v>953</v>
      </c>
      <c r="E258" s="663">
        <v>45000</v>
      </c>
    </row>
    <row r="259" spans="1:5" ht="25.5" customHeight="1">
      <c r="A259" s="611">
        <v>254</v>
      </c>
      <c r="C259" s="626"/>
      <c r="D259" s="1085" t="s">
        <v>981</v>
      </c>
      <c r="E259" s="663"/>
    </row>
    <row r="260" spans="1:5" s="653" customFormat="1" ht="30.75">
      <c r="A260" s="630">
        <v>255</v>
      </c>
      <c r="C260" s="664"/>
      <c r="D260" s="1119" t="s">
        <v>752</v>
      </c>
      <c r="E260" s="663">
        <v>250</v>
      </c>
    </row>
    <row r="261" spans="1:8" s="653" customFormat="1" ht="17.25">
      <c r="A261" s="611">
        <v>256</v>
      </c>
      <c r="B261" s="616"/>
      <c r="C261" s="664"/>
      <c r="D261" s="662" t="s">
        <v>900</v>
      </c>
      <c r="E261" s="663">
        <v>1000</v>
      </c>
      <c r="F261" s="665"/>
      <c r="G261" s="665"/>
      <c r="H261" s="665"/>
    </row>
    <row r="262" spans="1:5" s="653" customFormat="1" ht="17.25">
      <c r="A262" s="611">
        <v>257</v>
      </c>
      <c r="C262" s="664"/>
      <c r="D262" s="662" t="s">
        <v>901</v>
      </c>
      <c r="E262" s="663">
        <v>150</v>
      </c>
    </row>
    <row r="263" spans="1:8" s="653" customFormat="1" ht="15.75" customHeight="1">
      <c r="A263" s="611">
        <v>258</v>
      </c>
      <c r="C263" s="664"/>
      <c r="D263" s="662" t="s">
        <v>753</v>
      </c>
      <c r="E263" s="663">
        <v>340</v>
      </c>
      <c r="F263" s="665"/>
      <c r="G263" s="665"/>
      <c r="H263" s="665"/>
    </row>
    <row r="264" spans="1:5" s="653" customFormat="1" ht="33.75">
      <c r="A264" s="611">
        <v>259</v>
      </c>
      <c r="C264" s="664"/>
      <c r="D264" s="662" t="s">
        <v>8</v>
      </c>
      <c r="E264" s="663">
        <v>442761</v>
      </c>
    </row>
    <row r="265" spans="1:5" s="653" customFormat="1" ht="30.75">
      <c r="A265" s="630">
        <v>260</v>
      </c>
      <c r="C265" s="664"/>
      <c r="D265" s="1118" t="s">
        <v>9</v>
      </c>
      <c r="E265" s="663">
        <v>459338</v>
      </c>
    </row>
    <row r="266" spans="1:5" s="653" customFormat="1" ht="30.75">
      <c r="A266" s="630">
        <v>261</v>
      </c>
      <c r="C266" s="664"/>
      <c r="D266" s="1118" t="s">
        <v>878</v>
      </c>
      <c r="E266" s="663">
        <v>350100</v>
      </c>
    </row>
    <row r="267" spans="1:5" s="653" customFormat="1" ht="17.25">
      <c r="A267" s="611">
        <v>262</v>
      </c>
      <c r="C267" s="664"/>
      <c r="D267" s="662" t="s">
        <v>132</v>
      </c>
      <c r="E267" s="663">
        <v>534155</v>
      </c>
    </row>
    <row r="268" spans="1:5" s="653" customFormat="1" ht="30.75">
      <c r="A268" s="630">
        <v>263</v>
      </c>
      <c r="C268" s="664"/>
      <c r="D268" s="1118" t="s">
        <v>920</v>
      </c>
      <c r="E268" s="663">
        <v>489949</v>
      </c>
    </row>
    <row r="269" spans="1:5" s="653" customFormat="1" ht="30.75">
      <c r="A269" s="630">
        <v>264</v>
      </c>
      <c r="C269" s="664"/>
      <c r="D269" s="1118" t="s">
        <v>879</v>
      </c>
      <c r="E269" s="663">
        <v>466355</v>
      </c>
    </row>
    <row r="270" spans="1:5" s="653" customFormat="1" ht="17.25">
      <c r="A270" s="611">
        <v>265</v>
      </c>
      <c r="C270" s="664"/>
      <c r="D270" s="1084" t="s">
        <v>880</v>
      </c>
      <c r="E270" s="663">
        <v>4100</v>
      </c>
    </row>
    <row r="271" spans="1:5" s="653" customFormat="1" ht="30.75">
      <c r="A271" s="630">
        <v>266</v>
      </c>
      <c r="C271" s="664"/>
      <c r="D271" s="1118" t="s">
        <v>134</v>
      </c>
      <c r="E271" s="663">
        <v>8</v>
      </c>
    </row>
    <row r="272" spans="1:5" s="653" customFormat="1" ht="30.75">
      <c r="A272" s="630">
        <v>267</v>
      </c>
      <c r="C272" s="664"/>
      <c r="D272" s="1118" t="s">
        <v>881</v>
      </c>
      <c r="E272" s="663">
        <v>230702</v>
      </c>
    </row>
    <row r="273" spans="1:5" s="653" customFormat="1" ht="17.25">
      <c r="A273" s="611">
        <v>268</v>
      </c>
      <c r="C273" s="664"/>
      <c r="D273" s="662" t="s">
        <v>136</v>
      </c>
      <c r="E273" s="663">
        <v>2</v>
      </c>
    </row>
    <row r="274" spans="1:5" s="653" customFormat="1" ht="30.75">
      <c r="A274" s="630">
        <v>269</v>
      </c>
      <c r="C274" s="664"/>
      <c r="D274" s="1118" t="s">
        <v>137</v>
      </c>
      <c r="E274" s="663">
        <v>29</v>
      </c>
    </row>
    <row r="275" spans="1:5" s="653" customFormat="1" ht="17.25">
      <c r="A275" s="611">
        <v>270</v>
      </c>
      <c r="C275" s="664"/>
      <c r="D275" s="662" t="s">
        <v>142</v>
      </c>
      <c r="E275" s="663">
        <v>53</v>
      </c>
    </row>
    <row r="276" spans="1:5" s="653" customFormat="1" ht="30.75">
      <c r="A276" s="630">
        <v>271</v>
      </c>
      <c r="C276" s="664"/>
      <c r="D276" s="1118" t="s">
        <v>902</v>
      </c>
      <c r="E276" s="663">
        <v>3387</v>
      </c>
    </row>
    <row r="277" spans="1:5" s="653" customFormat="1" ht="33" customHeight="1">
      <c r="A277" s="630">
        <v>272</v>
      </c>
      <c r="C277" s="664"/>
      <c r="D277" s="1118" t="s">
        <v>882</v>
      </c>
      <c r="E277" s="663">
        <v>7000</v>
      </c>
    </row>
    <row r="278" spans="1:5" s="653" customFormat="1" ht="17.25">
      <c r="A278" s="611">
        <v>273</v>
      </c>
      <c r="C278" s="664"/>
      <c r="D278" s="662" t="s">
        <v>143</v>
      </c>
      <c r="E278" s="663">
        <v>4500</v>
      </c>
    </row>
    <row r="279" spans="1:5" s="653" customFormat="1" ht="17.25">
      <c r="A279" s="611">
        <v>274</v>
      </c>
      <c r="C279" s="664"/>
      <c r="D279" s="662" t="s">
        <v>144</v>
      </c>
      <c r="E279" s="663">
        <v>4700</v>
      </c>
    </row>
    <row r="280" spans="1:5" s="653" customFormat="1" ht="30.75">
      <c r="A280" s="630">
        <v>275</v>
      </c>
      <c r="C280" s="664"/>
      <c r="D280" s="1118" t="s">
        <v>883</v>
      </c>
      <c r="E280" s="663">
        <v>15290</v>
      </c>
    </row>
    <row r="281" spans="1:5" s="653" customFormat="1" ht="17.25">
      <c r="A281" s="611">
        <v>276</v>
      </c>
      <c r="C281" s="664"/>
      <c r="D281" s="662" t="s">
        <v>884</v>
      </c>
      <c r="E281" s="663">
        <v>1200</v>
      </c>
    </row>
    <row r="282" spans="1:5" s="653" customFormat="1" ht="17.25">
      <c r="A282" s="611">
        <v>277</v>
      </c>
      <c r="C282" s="664"/>
      <c r="D282" s="662" t="s">
        <v>148</v>
      </c>
      <c r="E282" s="663">
        <v>19210</v>
      </c>
    </row>
    <row r="283" spans="1:5" s="653" customFormat="1" ht="17.25">
      <c r="A283" s="611">
        <v>278</v>
      </c>
      <c r="C283" s="664"/>
      <c r="D283" s="662" t="s">
        <v>885</v>
      </c>
      <c r="E283" s="663">
        <v>3000</v>
      </c>
    </row>
    <row r="284" spans="1:5" s="653" customFormat="1" ht="17.25">
      <c r="A284" s="611">
        <v>279</v>
      </c>
      <c r="C284" s="664"/>
      <c r="D284" s="662" t="s">
        <v>149</v>
      </c>
      <c r="E284" s="663">
        <v>953</v>
      </c>
    </row>
    <row r="285" spans="1:5" s="653" customFormat="1" ht="17.25">
      <c r="A285" s="611">
        <v>280</v>
      </c>
      <c r="C285" s="664"/>
      <c r="D285" s="662" t="s">
        <v>886</v>
      </c>
      <c r="E285" s="663">
        <v>1000</v>
      </c>
    </row>
    <row r="286" spans="1:5" s="653" customFormat="1" ht="17.25">
      <c r="A286" s="611">
        <v>281</v>
      </c>
      <c r="C286" s="664"/>
      <c r="D286" s="662" t="s">
        <v>887</v>
      </c>
      <c r="E286" s="663">
        <v>2912</v>
      </c>
    </row>
    <row r="287" spans="1:5" s="653" customFormat="1" ht="17.25">
      <c r="A287" s="611">
        <v>282</v>
      </c>
      <c r="C287" s="664"/>
      <c r="D287" s="662" t="s">
        <v>888</v>
      </c>
      <c r="E287" s="663">
        <v>1951</v>
      </c>
    </row>
    <row r="288" spans="1:5" s="653" customFormat="1" ht="17.25">
      <c r="A288" s="611">
        <v>283</v>
      </c>
      <c r="C288" s="664"/>
      <c r="D288" s="662" t="s">
        <v>889</v>
      </c>
      <c r="E288" s="663">
        <v>8969</v>
      </c>
    </row>
    <row r="289" spans="1:5" s="653" customFormat="1" ht="17.25">
      <c r="A289" s="611">
        <v>284</v>
      </c>
      <c r="C289" s="664"/>
      <c r="D289" s="662" t="s">
        <v>890</v>
      </c>
      <c r="E289" s="663">
        <v>544</v>
      </c>
    </row>
    <row r="290" spans="1:5" s="653" customFormat="1" ht="17.25">
      <c r="A290" s="611">
        <v>285</v>
      </c>
      <c r="C290" s="664"/>
      <c r="D290" s="662" t="s">
        <v>155</v>
      </c>
      <c r="E290" s="663">
        <v>700</v>
      </c>
    </row>
    <row r="291" spans="1:5" s="653" customFormat="1" ht="33.75">
      <c r="A291" s="611">
        <v>286</v>
      </c>
      <c r="C291" s="664"/>
      <c r="D291" s="662" t="s">
        <v>891</v>
      </c>
      <c r="E291" s="663">
        <v>347</v>
      </c>
    </row>
    <row r="292" spans="1:5" s="653" customFormat="1" ht="17.25">
      <c r="A292" s="611">
        <v>287</v>
      </c>
      <c r="C292" s="664"/>
      <c r="D292" s="662" t="s">
        <v>892</v>
      </c>
      <c r="E292" s="663">
        <v>243</v>
      </c>
    </row>
    <row r="293" spans="1:5" s="653" customFormat="1" ht="17.25">
      <c r="A293" s="611">
        <v>288</v>
      </c>
      <c r="C293" s="664"/>
      <c r="D293" s="662" t="s">
        <v>893</v>
      </c>
      <c r="E293" s="663">
        <v>318</v>
      </c>
    </row>
    <row r="294" spans="1:5" s="653" customFormat="1" ht="17.25">
      <c r="A294" s="611">
        <v>289</v>
      </c>
      <c r="C294" s="664"/>
      <c r="D294" s="662" t="s">
        <v>159</v>
      </c>
      <c r="E294" s="663">
        <v>287</v>
      </c>
    </row>
    <row r="295" spans="1:5" s="653" customFormat="1" ht="17.25">
      <c r="A295" s="611">
        <v>290</v>
      </c>
      <c r="C295" s="664"/>
      <c r="D295" s="662" t="s">
        <v>160</v>
      </c>
      <c r="E295" s="663">
        <v>10580</v>
      </c>
    </row>
    <row r="296" spans="1:5" s="653" customFormat="1" ht="17.25">
      <c r="A296" s="611">
        <v>291</v>
      </c>
      <c r="C296" s="664"/>
      <c r="D296" s="662" t="s">
        <v>161</v>
      </c>
      <c r="E296" s="663">
        <v>1319</v>
      </c>
    </row>
    <row r="297" spans="1:5" s="653" customFormat="1" ht="17.25">
      <c r="A297" s="611">
        <v>292</v>
      </c>
      <c r="C297" s="664"/>
      <c r="D297" s="662" t="s">
        <v>894</v>
      </c>
      <c r="E297" s="663">
        <v>110</v>
      </c>
    </row>
    <row r="298" spans="1:6" s="653" customFormat="1" ht="17.25">
      <c r="A298" s="611">
        <v>293</v>
      </c>
      <c r="C298" s="664"/>
      <c r="D298" s="662" t="s">
        <v>895</v>
      </c>
      <c r="E298" s="663">
        <v>800</v>
      </c>
      <c r="F298" s="653">
        <f>SUM(E270:E298)</f>
        <v>324214</v>
      </c>
    </row>
    <row r="299" spans="1:5" s="653" customFormat="1" ht="17.25">
      <c r="A299" s="611">
        <v>294</v>
      </c>
      <c r="C299" s="664"/>
      <c r="D299" s="662" t="s">
        <v>896</v>
      </c>
      <c r="E299" s="663">
        <v>10478</v>
      </c>
    </row>
    <row r="300" spans="1:5" s="653" customFormat="1" ht="17.25">
      <c r="A300" s="611">
        <v>295</v>
      </c>
      <c r="C300" s="664"/>
      <c r="D300" s="662" t="s">
        <v>162</v>
      </c>
      <c r="E300" s="663">
        <v>771</v>
      </c>
    </row>
    <row r="301" spans="1:5" s="653" customFormat="1" ht="17.25">
      <c r="A301" s="611">
        <v>296</v>
      </c>
      <c r="C301" s="664"/>
      <c r="D301" s="662" t="s">
        <v>897</v>
      </c>
      <c r="E301" s="663">
        <v>10000</v>
      </c>
    </row>
    <row r="302" spans="1:5" s="653" customFormat="1" ht="17.25">
      <c r="A302" s="611">
        <v>297</v>
      </c>
      <c r="C302" s="664"/>
      <c r="D302" s="662" t="s">
        <v>163</v>
      </c>
      <c r="E302" s="663">
        <v>24996</v>
      </c>
    </row>
    <row r="303" spans="1:5" s="653" customFormat="1" ht="17.25">
      <c r="A303" s="611">
        <v>298</v>
      </c>
      <c r="C303" s="664"/>
      <c r="D303" s="662" t="s">
        <v>898</v>
      </c>
      <c r="E303" s="663">
        <v>625</v>
      </c>
    </row>
    <row r="304" spans="1:5" s="653" customFormat="1" ht="15.75" customHeight="1">
      <c r="A304" s="611">
        <v>299</v>
      </c>
      <c r="C304" s="664"/>
      <c r="D304" s="662" t="s">
        <v>904</v>
      </c>
      <c r="E304" s="663">
        <v>9140</v>
      </c>
    </row>
    <row r="305" spans="1:5" s="653" customFormat="1" ht="17.25">
      <c r="A305" s="611">
        <v>300</v>
      </c>
      <c r="C305" s="664"/>
      <c r="D305" s="662" t="s">
        <v>903</v>
      </c>
      <c r="E305" s="663">
        <f>7587+2413</f>
        <v>10000</v>
      </c>
    </row>
    <row r="306" spans="1:5" s="653" customFormat="1" ht="17.25">
      <c r="A306" s="611">
        <v>301</v>
      </c>
      <c r="C306" s="664"/>
      <c r="D306" s="662" t="s">
        <v>899</v>
      </c>
      <c r="E306" s="663">
        <v>14487</v>
      </c>
    </row>
    <row r="307" spans="1:5" s="653" customFormat="1" ht="34.5">
      <c r="A307" s="630">
        <v>302</v>
      </c>
      <c r="C307" s="664"/>
      <c r="D307" s="1085" t="s">
        <v>905</v>
      </c>
      <c r="E307" s="663">
        <v>500</v>
      </c>
    </row>
    <row r="308" spans="1:5" s="653" customFormat="1" ht="17.25">
      <c r="A308" s="611">
        <v>303</v>
      </c>
      <c r="C308" s="664"/>
      <c r="D308" s="662" t="s">
        <v>906</v>
      </c>
      <c r="E308" s="687">
        <v>678</v>
      </c>
    </row>
    <row r="309" spans="1:5" s="683" customFormat="1" ht="17.25">
      <c r="A309" s="611">
        <v>304</v>
      </c>
      <c r="C309" s="664"/>
      <c r="D309" s="1116" t="s">
        <v>979</v>
      </c>
      <c r="E309" s="1117">
        <f>SUM(E260:E308)</f>
        <v>3150287</v>
      </c>
    </row>
    <row r="310" spans="1:8" s="653" customFormat="1" ht="30" customHeight="1">
      <c r="A310" s="611">
        <v>305</v>
      </c>
      <c r="C310" s="664"/>
      <c r="D310" s="1041" t="s">
        <v>170</v>
      </c>
      <c r="E310" s="663"/>
      <c r="F310" s="665"/>
      <c r="G310" s="665"/>
      <c r="H310" s="665"/>
    </row>
    <row r="311" spans="1:8" s="653" customFormat="1" ht="17.25">
      <c r="A311" s="611">
        <v>306</v>
      </c>
      <c r="C311" s="664"/>
      <c r="D311" s="662" t="s">
        <v>281</v>
      </c>
      <c r="E311" s="663">
        <v>5000</v>
      </c>
      <c r="F311" s="665"/>
      <c r="G311" s="665"/>
      <c r="H311" s="665"/>
    </row>
    <row r="312" spans="1:8" s="653" customFormat="1" ht="17.25">
      <c r="A312" s="611">
        <v>307</v>
      </c>
      <c r="C312" s="664"/>
      <c r="D312" s="662" t="s">
        <v>751</v>
      </c>
      <c r="E312" s="663">
        <v>5000</v>
      </c>
      <c r="F312" s="665"/>
      <c r="G312" s="665"/>
      <c r="H312" s="665"/>
    </row>
    <row r="313" spans="1:5" s="13" customFormat="1" ht="39.75" customHeight="1" thickBot="1">
      <c r="A313" s="642">
        <v>308</v>
      </c>
      <c r="B313" s="657"/>
      <c r="C313" s="657"/>
      <c r="D313" s="669" t="s">
        <v>621</v>
      </c>
      <c r="E313" s="670">
        <f>SUM(E311:E312,E309,E247:E249)+E250+E251+E252+E253+E254+E255+E256+E258+E257</f>
        <v>2988930</v>
      </c>
    </row>
    <row r="314" spans="1:4" ht="39.75" customHeight="1" thickTop="1">
      <c r="A314" s="611">
        <v>309</v>
      </c>
      <c r="C314" s="626"/>
      <c r="D314" s="627" t="s">
        <v>527</v>
      </c>
    </row>
    <row r="315" spans="1:13" ht="17.25">
      <c r="A315" s="611">
        <v>310</v>
      </c>
      <c r="C315" s="626"/>
      <c r="D315" s="627" t="s">
        <v>980</v>
      </c>
      <c r="M315" s="623"/>
    </row>
    <row r="316" spans="1:8" s="653" customFormat="1" ht="15.75" customHeight="1">
      <c r="A316" s="611">
        <v>311</v>
      </c>
      <c r="C316" s="664"/>
      <c r="D316" s="662" t="s">
        <v>877</v>
      </c>
      <c r="E316" s="663">
        <v>-5000</v>
      </c>
      <c r="F316" s="665"/>
      <c r="G316" s="665"/>
      <c r="H316" s="665"/>
    </row>
    <row r="317" spans="1:8" s="653" customFormat="1" ht="17.25">
      <c r="A317" s="611">
        <v>312</v>
      </c>
      <c r="C317" s="664"/>
      <c r="D317" s="1087" t="s">
        <v>51</v>
      </c>
      <c r="E317" s="663"/>
      <c r="F317" s="665"/>
      <c r="G317" s="665"/>
      <c r="H317" s="665"/>
    </row>
    <row r="318" spans="1:8" s="653" customFormat="1" ht="17.25">
      <c r="A318" s="611">
        <v>313</v>
      </c>
      <c r="C318" s="664"/>
      <c r="D318" s="1086" t="s">
        <v>936</v>
      </c>
      <c r="E318" s="663">
        <v>-3300</v>
      </c>
      <c r="F318" s="665"/>
      <c r="G318" s="665"/>
      <c r="H318" s="665"/>
    </row>
    <row r="319" spans="1:8" s="653" customFormat="1" ht="17.25">
      <c r="A319" s="611">
        <v>314</v>
      </c>
      <c r="C319" s="664"/>
      <c r="D319" s="1086" t="s">
        <v>932</v>
      </c>
      <c r="E319" s="663">
        <v>1800</v>
      </c>
      <c r="F319" s="665"/>
      <c r="G319" s="665"/>
      <c r="H319" s="665"/>
    </row>
    <row r="320" spans="1:8" s="653" customFormat="1" ht="17.25">
      <c r="A320" s="611">
        <v>315</v>
      </c>
      <c r="C320" s="664"/>
      <c r="D320" s="1086" t="s">
        <v>933</v>
      </c>
      <c r="E320" s="663">
        <v>1500</v>
      </c>
      <c r="F320" s="665"/>
      <c r="G320" s="665"/>
      <c r="H320" s="665"/>
    </row>
    <row r="321" spans="1:8" s="653" customFormat="1" ht="17.25">
      <c r="A321" s="611">
        <v>316</v>
      </c>
      <c r="C321" s="664"/>
      <c r="D321" s="1087" t="s">
        <v>57</v>
      </c>
      <c r="E321" s="663"/>
      <c r="F321" s="665"/>
      <c r="G321" s="665"/>
      <c r="H321" s="665"/>
    </row>
    <row r="322" spans="1:8" s="653" customFormat="1" ht="17.25">
      <c r="A322" s="611">
        <v>317</v>
      </c>
      <c r="C322" s="664"/>
      <c r="D322" s="1086" t="s">
        <v>56</v>
      </c>
      <c r="E322" s="663">
        <v>-3500</v>
      </c>
      <c r="F322" s="665"/>
      <c r="G322" s="665"/>
      <c r="H322" s="665"/>
    </row>
    <row r="323" spans="1:8" s="653" customFormat="1" ht="17.25">
      <c r="A323" s="611">
        <v>318</v>
      </c>
      <c r="C323" s="664"/>
      <c r="D323" s="1086" t="s">
        <v>931</v>
      </c>
      <c r="E323" s="663">
        <v>3500</v>
      </c>
      <c r="F323" s="665"/>
      <c r="G323" s="665"/>
      <c r="H323" s="665"/>
    </row>
    <row r="324" spans="1:8" s="653" customFormat="1" ht="17.25">
      <c r="A324" s="611">
        <v>319</v>
      </c>
      <c r="C324" s="664"/>
      <c r="D324" s="1087" t="s">
        <v>49</v>
      </c>
      <c r="E324" s="663"/>
      <c r="F324" s="665"/>
      <c r="G324" s="665"/>
      <c r="H324" s="665"/>
    </row>
    <row r="325" spans="1:8" s="653" customFormat="1" ht="17.25">
      <c r="A325" s="611">
        <v>320</v>
      </c>
      <c r="C325" s="664"/>
      <c r="D325" s="11" t="s">
        <v>50</v>
      </c>
      <c r="E325" s="663">
        <v>-19500</v>
      </c>
      <c r="F325" s="665"/>
      <c r="G325" s="665"/>
      <c r="H325" s="665"/>
    </row>
    <row r="326" spans="1:8" s="653" customFormat="1" ht="17.25">
      <c r="A326" s="611">
        <v>321</v>
      </c>
      <c r="C326" s="664"/>
      <c r="D326" s="1087" t="s">
        <v>53</v>
      </c>
      <c r="E326" s="663"/>
      <c r="F326" s="665"/>
      <c r="G326" s="665"/>
      <c r="H326" s="665"/>
    </row>
    <row r="327" spans="1:8" s="653" customFormat="1" ht="17.25">
      <c r="A327" s="611">
        <v>322</v>
      </c>
      <c r="C327" s="664"/>
      <c r="D327" s="11" t="s">
        <v>1069</v>
      </c>
      <c r="E327" s="663">
        <v>-2350</v>
      </c>
      <c r="F327" s="665"/>
      <c r="G327" s="665"/>
      <c r="H327" s="665"/>
    </row>
    <row r="328" spans="1:8" s="653" customFormat="1" ht="17.25">
      <c r="A328" s="611">
        <v>323</v>
      </c>
      <c r="C328" s="664"/>
      <c r="D328" s="1087" t="s">
        <v>58</v>
      </c>
      <c r="E328" s="663"/>
      <c r="F328" s="665"/>
      <c r="G328" s="665"/>
      <c r="H328" s="665"/>
    </row>
    <row r="329" spans="1:8" s="653" customFormat="1" ht="33.75">
      <c r="A329" s="611">
        <v>324</v>
      </c>
      <c r="C329" s="664"/>
      <c r="D329" s="1086" t="s">
        <v>1070</v>
      </c>
      <c r="E329" s="663">
        <v>-8500</v>
      </c>
      <c r="F329" s="665"/>
      <c r="G329" s="665"/>
      <c r="H329" s="665"/>
    </row>
    <row r="330" spans="1:8" s="653" customFormat="1" ht="17.25">
      <c r="A330" s="611">
        <v>325</v>
      </c>
      <c r="C330" s="664"/>
      <c r="D330" s="1087" t="s">
        <v>68</v>
      </c>
      <c r="E330" s="663"/>
      <c r="F330" s="665"/>
      <c r="G330" s="665"/>
      <c r="H330" s="665"/>
    </row>
    <row r="331" spans="1:8" s="653" customFormat="1" ht="17.25">
      <c r="A331" s="611">
        <v>326</v>
      </c>
      <c r="C331" s="664"/>
      <c r="D331" s="1086" t="s">
        <v>69</v>
      </c>
      <c r="E331" s="663">
        <v>-4473</v>
      </c>
      <c r="F331" s="665"/>
      <c r="G331" s="665"/>
      <c r="H331" s="665"/>
    </row>
    <row r="332" spans="1:8" s="653" customFormat="1" ht="17.25">
      <c r="A332" s="611">
        <v>327</v>
      </c>
      <c r="C332" s="664"/>
      <c r="D332" s="1087" t="s">
        <v>944</v>
      </c>
      <c r="E332" s="663"/>
      <c r="F332" s="665"/>
      <c r="G332" s="665"/>
      <c r="H332" s="665"/>
    </row>
    <row r="333" spans="1:8" s="653" customFormat="1" ht="17.25">
      <c r="A333" s="611">
        <v>328</v>
      </c>
      <c r="C333" s="664"/>
      <c r="D333" s="1086" t="s">
        <v>1071</v>
      </c>
      <c r="E333" s="663">
        <v>9144</v>
      </c>
      <c r="F333" s="665"/>
      <c r="G333" s="665"/>
      <c r="H333" s="665"/>
    </row>
    <row r="334" spans="1:8" s="653" customFormat="1" ht="17.25">
      <c r="A334" s="611">
        <v>329</v>
      </c>
      <c r="C334" s="664"/>
      <c r="D334" s="1087" t="s">
        <v>914</v>
      </c>
      <c r="E334" s="663"/>
      <c r="F334" s="665"/>
      <c r="G334" s="665"/>
      <c r="H334" s="665"/>
    </row>
    <row r="335" spans="1:8" s="653" customFormat="1" ht="17.25">
      <c r="A335" s="611">
        <v>330</v>
      </c>
      <c r="C335" s="664"/>
      <c r="D335" s="1086" t="s">
        <v>1072</v>
      </c>
      <c r="E335" s="663">
        <v>10033</v>
      </c>
      <c r="F335" s="665"/>
      <c r="G335" s="665"/>
      <c r="H335" s="665"/>
    </row>
    <row r="336" spans="1:5" ht="30" customHeight="1">
      <c r="A336" s="611">
        <v>331</v>
      </c>
      <c r="C336" s="626"/>
      <c r="D336" s="1085" t="s">
        <v>981</v>
      </c>
      <c r="E336" s="663"/>
    </row>
    <row r="337" spans="1:5" s="653" customFormat="1" ht="17.25">
      <c r="A337" s="611">
        <v>332</v>
      </c>
      <c r="C337" s="664"/>
      <c r="D337" s="662" t="s">
        <v>34</v>
      </c>
      <c r="E337" s="663">
        <v>1402</v>
      </c>
    </row>
    <row r="338" spans="1:5" s="653" customFormat="1" ht="17.25">
      <c r="A338" s="611">
        <v>333</v>
      </c>
      <c r="C338" s="664"/>
      <c r="D338" s="662" t="s">
        <v>907</v>
      </c>
      <c r="E338" s="663">
        <v>363</v>
      </c>
    </row>
    <row r="339" spans="1:5" s="653" customFormat="1" ht="17.25">
      <c r="A339" s="611">
        <v>334</v>
      </c>
      <c r="C339" s="664"/>
      <c r="D339" s="662" t="s">
        <v>908</v>
      </c>
      <c r="E339" s="663">
        <v>665</v>
      </c>
    </row>
    <row r="340" spans="1:5" s="653" customFormat="1" ht="17.25">
      <c r="A340" s="611">
        <v>335</v>
      </c>
      <c r="C340" s="664"/>
      <c r="D340" s="662" t="s">
        <v>35</v>
      </c>
      <c r="E340" s="663">
        <v>1122</v>
      </c>
    </row>
    <row r="341" spans="1:6" s="653" customFormat="1" ht="17.25">
      <c r="A341" s="611">
        <v>336</v>
      </c>
      <c r="C341" s="664"/>
      <c r="D341" s="662" t="s">
        <v>589</v>
      </c>
      <c r="E341" s="663">
        <v>14150</v>
      </c>
      <c r="F341" s="653">
        <f>SUM(E316:E341)</f>
        <v>-2944</v>
      </c>
    </row>
    <row r="342" spans="1:5" s="653" customFormat="1" ht="17.25">
      <c r="A342" s="611">
        <v>337</v>
      </c>
      <c r="C342" s="664"/>
      <c r="D342" s="662" t="s">
        <v>909</v>
      </c>
      <c r="E342" s="663">
        <v>2323</v>
      </c>
    </row>
    <row r="343" spans="1:5" s="653" customFormat="1" ht="17.25">
      <c r="A343" s="611">
        <v>338</v>
      </c>
      <c r="C343" s="664"/>
      <c r="D343" s="662" t="s">
        <v>910</v>
      </c>
      <c r="E343" s="663">
        <v>2802</v>
      </c>
    </row>
    <row r="344" spans="1:5" s="653" customFormat="1" ht="17.25">
      <c r="A344" s="611">
        <v>339</v>
      </c>
      <c r="C344" s="664"/>
      <c r="D344" s="662" t="s">
        <v>911</v>
      </c>
      <c r="E344" s="663">
        <v>1832</v>
      </c>
    </row>
    <row r="345" spans="1:5" s="653" customFormat="1" ht="17.25">
      <c r="A345" s="611">
        <v>340</v>
      </c>
      <c r="C345" s="664"/>
      <c r="D345" s="662" t="s">
        <v>1073</v>
      </c>
      <c r="E345" s="663">
        <v>188</v>
      </c>
    </row>
    <row r="346" spans="1:5" s="653" customFormat="1" ht="17.25">
      <c r="A346" s="611">
        <v>341</v>
      </c>
      <c r="C346" s="664"/>
      <c r="D346" s="662" t="s">
        <v>1074</v>
      </c>
      <c r="E346" s="663">
        <v>425</v>
      </c>
    </row>
    <row r="347" spans="1:5" s="653" customFormat="1" ht="32.25">
      <c r="A347" s="630">
        <v>342</v>
      </c>
      <c r="C347" s="664"/>
      <c r="D347" s="662" t="s">
        <v>1075</v>
      </c>
      <c r="E347" s="663">
        <v>2500</v>
      </c>
    </row>
    <row r="348" spans="1:5" s="653" customFormat="1" ht="17.25">
      <c r="A348" s="611">
        <v>343</v>
      </c>
      <c r="C348" s="664"/>
      <c r="D348" s="662" t="s">
        <v>1076</v>
      </c>
      <c r="E348" s="663">
        <v>247</v>
      </c>
    </row>
    <row r="349" spans="1:5" s="653" customFormat="1" ht="17.25">
      <c r="A349" s="611">
        <v>344</v>
      </c>
      <c r="C349" s="664"/>
      <c r="D349" s="1120" t="s">
        <v>355</v>
      </c>
      <c r="E349" s="663"/>
    </row>
    <row r="350" spans="1:5" s="653" customFormat="1" ht="17.25">
      <c r="A350" s="611">
        <v>345</v>
      </c>
      <c r="C350" s="664"/>
      <c r="D350" s="671" t="s">
        <v>111</v>
      </c>
      <c r="E350" s="663">
        <v>605</v>
      </c>
    </row>
    <row r="351" spans="1:5" s="653" customFormat="1" ht="17.25">
      <c r="A351" s="611">
        <v>346</v>
      </c>
      <c r="C351" s="664"/>
      <c r="D351" s="671" t="s">
        <v>913</v>
      </c>
      <c r="E351" s="663">
        <v>14990</v>
      </c>
    </row>
    <row r="352" spans="1:5" s="653" customFormat="1" ht="15.75" customHeight="1">
      <c r="A352" s="611">
        <v>347</v>
      </c>
      <c r="C352" s="664"/>
      <c r="D352" s="662" t="s">
        <v>1077</v>
      </c>
      <c r="E352" s="663">
        <v>2638</v>
      </c>
    </row>
    <row r="353" spans="1:5" s="653" customFormat="1" ht="17.25">
      <c r="A353" s="611">
        <v>348</v>
      </c>
      <c r="C353" s="664"/>
      <c r="D353" s="662" t="s">
        <v>1078</v>
      </c>
      <c r="E353" s="663">
        <v>795</v>
      </c>
    </row>
    <row r="354" spans="1:5" s="653" customFormat="1" ht="17.25">
      <c r="A354" s="611">
        <v>349</v>
      </c>
      <c r="C354" s="664"/>
      <c r="D354" s="1120" t="s">
        <v>1079</v>
      </c>
      <c r="E354" s="663"/>
    </row>
    <row r="355" spans="1:5" s="653" customFormat="1" ht="17.25">
      <c r="A355" s="611">
        <v>350</v>
      </c>
      <c r="C355" s="664"/>
      <c r="D355" s="671" t="s">
        <v>69</v>
      </c>
      <c r="E355" s="663">
        <v>813</v>
      </c>
    </row>
    <row r="356" spans="1:5" s="653" customFormat="1" ht="17.25">
      <c r="A356" s="611">
        <v>351</v>
      </c>
      <c r="C356" s="664"/>
      <c r="D356" s="662" t="s">
        <v>1080</v>
      </c>
      <c r="E356" s="663">
        <v>80</v>
      </c>
    </row>
    <row r="357" spans="1:5" s="653" customFormat="1" ht="17.25">
      <c r="A357" s="611">
        <v>352</v>
      </c>
      <c r="C357" s="664"/>
      <c r="D357" s="662" t="s">
        <v>1081</v>
      </c>
      <c r="E357" s="663">
        <v>1500</v>
      </c>
    </row>
    <row r="358" spans="1:5" s="653" customFormat="1" ht="17.25">
      <c r="A358" s="611">
        <v>353</v>
      </c>
      <c r="C358" s="664"/>
      <c r="D358" s="662" t="s">
        <v>1082</v>
      </c>
      <c r="E358" s="687">
        <v>277</v>
      </c>
    </row>
    <row r="359" spans="1:5" s="668" customFormat="1" ht="39.75" customHeight="1">
      <c r="A359" s="630">
        <v>354</v>
      </c>
      <c r="D359" s="1121" t="s">
        <v>982</v>
      </c>
      <c r="E359" s="1122">
        <f>SUM(E337:E358)</f>
        <v>49717</v>
      </c>
    </row>
    <row r="360" spans="1:5" s="13" customFormat="1" ht="39.75" customHeight="1" thickBot="1">
      <c r="A360" s="642">
        <v>355</v>
      </c>
      <c r="B360" s="657"/>
      <c r="C360" s="657"/>
      <c r="D360" s="669" t="s">
        <v>622</v>
      </c>
      <c r="E360" s="670">
        <f>SUM(E316:E358)</f>
        <v>29071</v>
      </c>
    </row>
    <row r="361" spans="1:5" s="108" customFormat="1" ht="39.75" customHeight="1" thickBot="1" thickTop="1">
      <c r="A361" s="642">
        <v>356</v>
      </c>
      <c r="B361" s="672"/>
      <c r="C361" s="672"/>
      <c r="D361" s="673" t="s">
        <v>621</v>
      </c>
      <c r="E361" s="674">
        <f>SUM(E360,E313)</f>
        <v>3018001</v>
      </c>
    </row>
    <row r="362" spans="1:5" s="675" customFormat="1" ht="36" customHeight="1" thickTop="1">
      <c r="A362" s="611">
        <v>357</v>
      </c>
      <c r="C362" s="664" t="s">
        <v>372</v>
      </c>
      <c r="D362" s="677" t="s">
        <v>624</v>
      </c>
      <c r="E362" s="283"/>
    </row>
    <row r="363" spans="1:5" s="675" customFormat="1" ht="25.5" customHeight="1">
      <c r="A363" s="611">
        <v>358</v>
      </c>
      <c r="C363" s="676"/>
      <c r="D363" s="678" t="s">
        <v>206</v>
      </c>
      <c r="E363" s="283"/>
    </row>
    <row r="364" spans="1:5" s="623" customFormat="1" ht="17.25">
      <c r="A364" s="611">
        <v>359</v>
      </c>
      <c r="C364" s="679"/>
      <c r="D364" s="648" t="s">
        <v>681</v>
      </c>
      <c r="E364" s="41"/>
    </row>
    <row r="365" spans="1:5" ht="17.25">
      <c r="A365" s="611">
        <v>360</v>
      </c>
      <c r="C365" s="668"/>
      <c r="D365" s="647" t="s">
        <v>680</v>
      </c>
      <c r="E365" s="41">
        <v>5272</v>
      </c>
    </row>
    <row r="366" spans="1:5" ht="17.25">
      <c r="A366" s="611">
        <v>361</v>
      </c>
      <c r="C366" s="668"/>
      <c r="D366" s="647" t="s">
        <v>682</v>
      </c>
      <c r="E366" s="41">
        <v>3691</v>
      </c>
    </row>
    <row r="367" spans="1:5" ht="33">
      <c r="A367" s="630">
        <v>362</v>
      </c>
      <c r="C367" s="668"/>
      <c r="D367" s="647" t="s">
        <v>1083</v>
      </c>
      <c r="E367" s="41">
        <v>15103</v>
      </c>
    </row>
    <row r="368" spans="1:5" ht="17.25">
      <c r="A368" s="611">
        <v>363</v>
      </c>
      <c r="C368" s="668"/>
      <c r="D368" s="647" t="s">
        <v>1084</v>
      </c>
      <c r="E368" s="41">
        <v>360</v>
      </c>
    </row>
    <row r="369" spans="1:5" ht="33">
      <c r="A369" s="630">
        <v>364</v>
      </c>
      <c r="C369" s="668"/>
      <c r="D369" s="647" t="s">
        <v>1085</v>
      </c>
      <c r="E369" s="41">
        <v>10880</v>
      </c>
    </row>
    <row r="370" spans="1:5" ht="17.25">
      <c r="A370" s="611">
        <v>365</v>
      </c>
      <c r="C370" s="668"/>
      <c r="D370" s="647" t="s">
        <v>985</v>
      </c>
      <c r="E370" s="41">
        <v>830</v>
      </c>
    </row>
    <row r="371" spans="1:5" ht="17.25">
      <c r="A371" s="611">
        <v>366</v>
      </c>
      <c r="C371" s="668"/>
      <c r="D371" s="647" t="s">
        <v>808</v>
      </c>
      <c r="E371" s="41">
        <v>300</v>
      </c>
    </row>
    <row r="372" spans="1:5" ht="17.25">
      <c r="A372" s="611">
        <v>367</v>
      </c>
      <c r="C372" s="668"/>
      <c r="D372" s="647" t="s">
        <v>809</v>
      </c>
      <c r="E372" s="41">
        <v>200</v>
      </c>
    </row>
    <row r="373" spans="1:5" ht="33">
      <c r="A373" s="611">
        <v>368</v>
      </c>
      <c r="C373" s="668"/>
      <c r="D373" s="647" t="s">
        <v>1086</v>
      </c>
      <c r="E373" s="41">
        <v>100</v>
      </c>
    </row>
    <row r="374" spans="1:5" ht="17.25">
      <c r="A374" s="611">
        <v>369</v>
      </c>
      <c r="C374" s="668"/>
      <c r="D374" s="648" t="s">
        <v>683</v>
      </c>
      <c r="E374" s="41"/>
    </row>
    <row r="375" spans="1:5" ht="17.25">
      <c r="A375" s="611">
        <v>370</v>
      </c>
      <c r="C375" s="668"/>
      <c r="D375" s="647" t="s">
        <v>682</v>
      </c>
      <c r="E375" s="41">
        <v>1689</v>
      </c>
    </row>
    <row r="376" spans="1:5" ht="33">
      <c r="A376" s="611">
        <v>371</v>
      </c>
      <c r="C376" s="668"/>
      <c r="D376" s="647" t="s">
        <v>1087</v>
      </c>
      <c r="E376" s="41">
        <v>21548</v>
      </c>
    </row>
    <row r="377" spans="1:5" ht="17.25">
      <c r="A377" s="611">
        <v>372</v>
      </c>
      <c r="C377" s="668"/>
      <c r="D377" s="647" t="s">
        <v>985</v>
      </c>
      <c r="E377" s="41">
        <v>225</v>
      </c>
    </row>
    <row r="378" spans="1:5" ht="17.25">
      <c r="A378" s="611">
        <v>373</v>
      </c>
      <c r="C378" s="668"/>
      <c r="D378" s="649" t="s">
        <v>357</v>
      </c>
      <c r="E378" s="41"/>
    </row>
    <row r="379" spans="1:5" ht="17.25">
      <c r="A379" s="611">
        <v>374</v>
      </c>
      <c r="C379" s="668"/>
      <c r="D379" s="647" t="s">
        <v>680</v>
      </c>
      <c r="E379" s="41">
        <v>325</v>
      </c>
    </row>
    <row r="380" spans="1:5" ht="17.25">
      <c r="A380" s="611">
        <v>375</v>
      </c>
      <c r="C380" s="668"/>
      <c r="D380" s="647" t="s">
        <v>682</v>
      </c>
      <c r="E380" s="41">
        <v>300</v>
      </c>
    </row>
    <row r="381" spans="1:5" ht="33">
      <c r="A381" s="630">
        <v>376</v>
      </c>
      <c r="C381" s="668"/>
      <c r="D381" s="647" t="s">
        <v>1088</v>
      </c>
      <c r="E381" s="41">
        <v>4284</v>
      </c>
    </row>
    <row r="382" spans="1:5" ht="17.25">
      <c r="A382" s="611">
        <v>377</v>
      </c>
      <c r="C382" s="668"/>
      <c r="D382" s="647" t="s">
        <v>985</v>
      </c>
      <c r="E382" s="41">
        <v>60</v>
      </c>
    </row>
    <row r="383" spans="1:5" ht="17.25">
      <c r="A383" s="611">
        <v>378</v>
      </c>
      <c r="C383" s="668"/>
      <c r="D383" s="647" t="s">
        <v>1089</v>
      </c>
      <c r="E383" s="41">
        <v>5827</v>
      </c>
    </row>
    <row r="384" spans="1:5" ht="17.25">
      <c r="A384" s="611">
        <v>379</v>
      </c>
      <c r="C384" s="668"/>
      <c r="D384" s="649" t="s">
        <v>51</v>
      </c>
      <c r="E384" s="41"/>
    </row>
    <row r="385" spans="1:5" ht="17.25">
      <c r="A385" s="611">
        <v>380</v>
      </c>
      <c r="C385" s="668"/>
      <c r="D385" s="647" t="s">
        <v>682</v>
      </c>
      <c r="E385" s="41">
        <v>588</v>
      </c>
    </row>
    <row r="386" spans="1:5" ht="33">
      <c r="A386" s="630">
        <v>381</v>
      </c>
      <c r="C386" s="668"/>
      <c r="D386" s="647" t="s">
        <v>1090</v>
      </c>
      <c r="E386" s="41">
        <v>3086</v>
      </c>
    </row>
    <row r="387" spans="1:5" ht="17.25">
      <c r="A387" s="611">
        <v>382</v>
      </c>
      <c r="C387" s="668"/>
      <c r="D387" s="647" t="s">
        <v>985</v>
      </c>
      <c r="E387" s="41">
        <v>337</v>
      </c>
    </row>
    <row r="388" spans="1:5" ht="17.25">
      <c r="A388" s="611">
        <v>383</v>
      </c>
      <c r="C388" s="668"/>
      <c r="D388" s="649" t="s">
        <v>55</v>
      </c>
      <c r="E388" s="41"/>
    </row>
    <row r="389" spans="1:5" ht="17.25">
      <c r="A389" s="611">
        <v>384</v>
      </c>
      <c r="C389" s="668"/>
      <c r="D389" s="647" t="s">
        <v>682</v>
      </c>
      <c r="E389" s="41">
        <v>325</v>
      </c>
    </row>
    <row r="390" spans="1:5" ht="30.75" customHeight="1">
      <c r="A390" s="630">
        <v>385</v>
      </c>
      <c r="C390" s="668"/>
      <c r="D390" s="647" t="s">
        <v>1091</v>
      </c>
      <c r="E390" s="41">
        <v>13506</v>
      </c>
    </row>
    <row r="391" spans="1:5" ht="16.5" customHeight="1">
      <c r="A391" s="611">
        <v>386</v>
      </c>
      <c r="C391" s="668"/>
      <c r="D391" s="647" t="s">
        <v>985</v>
      </c>
      <c r="E391" s="41">
        <v>296</v>
      </c>
    </row>
    <row r="392" spans="1:5" ht="16.5" customHeight="1">
      <c r="A392" s="611">
        <v>387</v>
      </c>
      <c r="C392" s="668"/>
      <c r="D392" s="647" t="s">
        <v>805</v>
      </c>
      <c r="E392" s="41">
        <v>100</v>
      </c>
    </row>
    <row r="393" spans="1:5" ht="16.5" customHeight="1">
      <c r="A393" s="611">
        <v>388</v>
      </c>
      <c r="C393" s="668"/>
      <c r="D393" s="647" t="s">
        <v>806</v>
      </c>
      <c r="E393" s="41">
        <v>300</v>
      </c>
    </row>
    <row r="394" spans="1:5" ht="17.25">
      <c r="A394" s="611">
        <v>389</v>
      </c>
      <c r="C394" s="668"/>
      <c r="D394" s="649" t="s">
        <v>53</v>
      </c>
      <c r="E394" s="41"/>
    </row>
    <row r="395" spans="1:5" ht="17.25">
      <c r="A395" s="611">
        <v>390</v>
      </c>
      <c r="C395" s="668"/>
      <c r="D395" s="647" t="s">
        <v>682</v>
      </c>
      <c r="E395" s="41">
        <v>387</v>
      </c>
    </row>
    <row r="396" spans="1:5" ht="33">
      <c r="A396" s="630">
        <v>391</v>
      </c>
      <c r="C396" s="668"/>
      <c r="D396" s="647" t="s">
        <v>1092</v>
      </c>
      <c r="E396" s="41">
        <v>4215</v>
      </c>
    </row>
    <row r="397" spans="1:5" ht="17.25">
      <c r="A397" s="611">
        <v>392</v>
      </c>
      <c r="C397" s="668"/>
      <c r="D397" s="647" t="s">
        <v>985</v>
      </c>
      <c r="E397" s="41">
        <v>288</v>
      </c>
    </row>
    <row r="398" spans="1:5" ht="15.75" customHeight="1">
      <c r="A398" s="611">
        <v>393</v>
      </c>
      <c r="C398" s="668"/>
      <c r="D398" s="647" t="s">
        <v>804</v>
      </c>
      <c r="E398" s="41">
        <v>200</v>
      </c>
    </row>
    <row r="399" spans="1:5" ht="17.25">
      <c r="A399" s="611">
        <v>394</v>
      </c>
      <c r="C399" s="668"/>
      <c r="D399" s="649" t="s">
        <v>58</v>
      </c>
      <c r="E399" s="41"/>
    </row>
    <row r="400" spans="1:5" ht="17.25">
      <c r="A400" s="611">
        <v>395</v>
      </c>
      <c r="C400" s="668"/>
      <c r="D400" s="647" t="s">
        <v>682</v>
      </c>
      <c r="E400" s="41">
        <v>50</v>
      </c>
    </row>
    <row r="401" spans="1:5" ht="33">
      <c r="A401" s="630">
        <v>396</v>
      </c>
      <c r="C401" s="668"/>
      <c r="D401" s="647" t="s">
        <v>1093</v>
      </c>
      <c r="E401" s="41">
        <v>2310</v>
      </c>
    </row>
    <row r="402" spans="1:5" ht="17.25">
      <c r="A402" s="611">
        <v>397</v>
      </c>
      <c r="C402" s="668"/>
      <c r="D402" s="647" t="s">
        <v>985</v>
      </c>
      <c r="E402" s="41">
        <v>147</v>
      </c>
    </row>
    <row r="403" spans="1:5" ht="17.25">
      <c r="A403" s="611">
        <v>398</v>
      </c>
      <c r="C403" s="668"/>
      <c r="D403" s="647" t="s">
        <v>807</v>
      </c>
      <c r="E403" s="41">
        <v>100</v>
      </c>
    </row>
    <row r="404" spans="1:5" ht="17.25">
      <c r="A404" s="611">
        <v>399</v>
      </c>
      <c r="C404" s="668"/>
      <c r="D404" s="649" t="s">
        <v>180</v>
      </c>
      <c r="E404" s="41"/>
    </row>
    <row r="405" spans="1:5" ht="17.25">
      <c r="A405" s="611">
        <v>400</v>
      </c>
      <c r="C405" s="668"/>
      <c r="D405" s="647" t="s">
        <v>682</v>
      </c>
      <c r="E405" s="41">
        <v>221</v>
      </c>
    </row>
    <row r="406" spans="1:5" ht="33">
      <c r="A406" s="630">
        <v>401</v>
      </c>
      <c r="C406" s="668"/>
      <c r="D406" s="647" t="s">
        <v>1094</v>
      </c>
      <c r="E406" s="41">
        <v>6257</v>
      </c>
    </row>
    <row r="407" spans="1:5" ht="17.25">
      <c r="A407" s="611">
        <v>402</v>
      </c>
      <c r="C407" s="668"/>
      <c r="D407" s="647" t="s">
        <v>985</v>
      </c>
      <c r="E407" s="41">
        <v>403</v>
      </c>
    </row>
    <row r="408" spans="1:5" ht="17.25">
      <c r="A408" s="611">
        <v>403</v>
      </c>
      <c r="C408" s="668"/>
      <c r="D408" s="650" t="s">
        <v>177</v>
      </c>
      <c r="E408" s="41"/>
    </row>
    <row r="409" spans="1:5" ht="17.25">
      <c r="A409" s="611">
        <v>404</v>
      </c>
      <c r="C409" s="668"/>
      <c r="D409" s="647" t="s">
        <v>682</v>
      </c>
      <c r="E409" s="41">
        <v>282</v>
      </c>
    </row>
    <row r="410" spans="1:5" ht="33">
      <c r="A410" s="630">
        <v>405</v>
      </c>
      <c r="C410" s="668"/>
      <c r="D410" s="647" t="s">
        <v>1095</v>
      </c>
      <c r="E410" s="41">
        <v>5067</v>
      </c>
    </row>
    <row r="411" spans="1:5" ht="17.25">
      <c r="A411" s="611">
        <v>406</v>
      </c>
      <c r="C411" s="668"/>
      <c r="D411" s="647" t="s">
        <v>985</v>
      </c>
      <c r="E411" s="41">
        <v>181</v>
      </c>
    </row>
    <row r="412" spans="1:5" ht="17.25">
      <c r="A412" s="611">
        <v>407</v>
      </c>
      <c r="C412" s="668"/>
      <c r="D412" s="647" t="s">
        <v>803</v>
      </c>
      <c r="E412" s="41">
        <v>100</v>
      </c>
    </row>
    <row r="413" spans="1:5" ht="25.5" customHeight="1">
      <c r="A413" s="611">
        <v>408</v>
      </c>
      <c r="C413" s="668"/>
      <c r="D413" s="649" t="s">
        <v>94</v>
      </c>
      <c r="E413" s="41"/>
    </row>
    <row r="414" spans="1:5" ht="17.25">
      <c r="A414" s="611">
        <v>409</v>
      </c>
      <c r="C414" s="668"/>
      <c r="D414" s="647" t="s">
        <v>682</v>
      </c>
      <c r="E414" s="41">
        <v>506</v>
      </c>
    </row>
    <row r="415" spans="1:5" ht="33">
      <c r="A415" s="630">
        <v>410</v>
      </c>
      <c r="C415" s="668"/>
      <c r="D415" s="647" t="s">
        <v>1096</v>
      </c>
      <c r="E415" s="41">
        <v>32848</v>
      </c>
    </row>
    <row r="416" spans="1:5" ht="15.75" customHeight="1">
      <c r="A416" s="611">
        <v>411</v>
      </c>
      <c r="C416" s="668"/>
      <c r="D416" s="647" t="s">
        <v>1097</v>
      </c>
      <c r="E416" s="41">
        <v>100</v>
      </c>
    </row>
    <row r="417" spans="1:5" ht="17.25">
      <c r="A417" s="611">
        <v>412</v>
      </c>
      <c r="C417" s="668"/>
      <c r="D417" s="647" t="s">
        <v>1098</v>
      </c>
      <c r="E417" s="41">
        <v>2500</v>
      </c>
    </row>
    <row r="418" spans="1:5" ht="17.25">
      <c r="A418" s="611">
        <v>413</v>
      </c>
      <c r="C418" s="668"/>
      <c r="D418" s="647" t="s">
        <v>719</v>
      </c>
      <c r="E418" s="41">
        <v>75</v>
      </c>
    </row>
    <row r="419" spans="1:5" ht="17.25">
      <c r="A419" s="611">
        <v>414</v>
      </c>
      <c r="C419" s="668"/>
      <c r="D419" s="647" t="s">
        <v>720</v>
      </c>
      <c r="E419" s="41">
        <v>100</v>
      </c>
    </row>
    <row r="420" spans="1:5" ht="17.25">
      <c r="A420" s="611">
        <v>415</v>
      </c>
      <c r="C420" s="668"/>
      <c r="D420" s="647" t="s">
        <v>732</v>
      </c>
      <c r="E420" s="41">
        <v>50</v>
      </c>
    </row>
    <row r="421" spans="1:5" ht="17.25">
      <c r="A421" s="611">
        <v>416</v>
      </c>
      <c r="C421" s="668"/>
      <c r="D421" s="647" t="s">
        <v>985</v>
      </c>
      <c r="E421" s="41">
        <v>118</v>
      </c>
    </row>
    <row r="422" spans="1:5" ht="17.25">
      <c r="A422" s="611">
        <v>417</v>
      </c>
      <c r="C422" s="668"/>
      <c r="D422" s="647" t="s">
        <v>1099</v>
      </c>
      <c r="E422" s="41">
        <v>1332</v>
      </c>
    </row>
    <row r="423" spans="1:5" ht="17.25">
      <c r="A423" s="611">
        <v>418</v>
      </c>
      <c r="C423" s="668"/>
      <c r="D423" s="140" t="s">
        <v>396</v>
      </c>
      <c r="E423" s="41">
        <v>7908</v>
      </c>
    </row>
    <row r="424" spans="1:5" ht="17.25">
      <c r="A424" s="611">
        <v>419</v>
      </c>
      <c r="C424" s="668"/>
      <c r="D424" s="140" t="s">
        <v>8</v>
      </c>
      <c r="E424" s="41">
        <v>3382</v>
      </c>
    </row>
    <row r="425" spans="1:5" ht="17.25">
      <c r="A425" s="611">
        <v>420</v>
      </c>
      <c r="C425" s="668"/>
      <c r="D425" s="647" t="s">
        <v>811</v>
      </c>
      <c r="E425" s="41">
        <v>100</v>
      </c>
    </row>
    <row r="426" spans="1:5" ht="17.25">
      <c r="A426" s="611">
        <v>421</v>
      </c>
      <c r="C426" s="668"/>
      <c r="D426" s="647" t="s">
        <v>1173</v>
      </c>
      <c r="E426" s="41">
        <v>70</v>
      </c>
    </row>
    <row r="427" spans="1:5" ht="17.25">
      <c r="A427" s="611">
        <v>422</v>
      </c>
      <c r="C427" s="668"/>
      <c r="D427" s="647" t="s">
        <v>812</v>
      </c>
      <c r="E427" s="41">
        <v>60</v>
      </c>
    </row>
    <row r="428" spans="1:5" ht="17.25">
      <c r="A428" s="611">
        <v>423</v>
      </c>
      <c r="C428" s="668"/>
      <c r="D428" s="647" t="s">
        <v>813</v>
      </c>
      <c r="E428" s="41">
        <v>10</v>
      </c>
    </row>
    <row r="429" spans="1:5" ht="17.25">
      <c r="A429" s="611">
        <v>424</v>
      </c>
      <c r="C429" s="668"/>
      <c r="D429" s="647" t="s">
        <v>814</v>
      </c>
      <c r="E429" s="41">
        <v>200</v>
      </c>
    </row>
    <row r="430" spans="1:5" ht="17.25">
      <c r="A430" s="611">
        <v>425</v>
      </c>
      <c r="C430" s="668"/>
      <c r="D430" s="647" t="s">
        <v>815</v>
      </c>
      <c r="E430" s="41">
        <v>100</v>
      </c>
    </row>
    <row r="431" spans="1:5" ht="17.25">
      <c r="A431" s="611">
        <v>426</v>
      </c>
      <c r="C431" s="668"/>
      <c r="D431" s="647" t="s">
        <v>816</v>
      </c>
      <c r="E431" s="41">
        <v>50</v>
      </c>
    </row>
    <row r="432" spans="1:5" ht="15.75" customHeight="1">
      <c r="A432" s="611">
        <v>427</v>
      </c>
      <c r="C432" s="668"/>
      <c r="D432" s="647" t="s">
        <v>817</v>
      </c>
      <c r="E432" s="41">
        <v>30</v>
      </c>
    </row>
    <row r="433" spans="1:5" ht="17.25">
      <c r="A433" s="611">
        <v>428</v>
      </c>
      <c r="C433" s="668"/>
      <c r="D433" s="647" t="s">
        <v>818</v>
      </c>
      <c r="E433" s="41">
        <v>170</v>
      </c>
    </row>
    <row r="434" spans="1:5" ht="17.25">
      <c r="A434" s="611">
        <v>429</v>
      </c>
      <c r="C434" s="668"/>
      <c r="D434" s="647" t="s">
        <v>819</v>
      </c>
      <c r="E434" s="41">
        <v>50</v>
      </c>
    </row>
    <row r="435" spans="1:5" ht="17.25">
      <c r="A435" s="611">
        <v>430</v>
      </c>
      <c r="C435" s="668"/>
      <c r="D435" s="647" t="s">
        <v>820</v>
      </c>
      <c r="E435" s="41">
        <v>80</v>
      </c>
    </row>
    <row r="436" spans="1:5" ht="17.25">
      <c r="A436" s="611">
        <v>431</v>
      </c>
      <c r="C436" s="668"/>
      <c r="D436" s="647" t="s">
        <v>821</v>
      </c>
      <c r="E436" s="41">
        <v>80</v>
      </c>
    </row>
    <row r="437" spans="1:5" ht="17.25">
      <c r="A437" s="611">
        <v>432</v>
      </c>
      <c r="C437" s="668"/>
      <c r="D437" s="647" t="s">
        <v>822</v>
      </c>
      <c r="E437" s="41">
        <v>150</v>
      </c>
    </row>
    <row r="438" spans="1:5" ht="17.25">
      <c r="A438" s="611">
        <v>433</v>
      </c>
      <c r="C438" s="668"/>
      <c r="D438" s="647" t="s">
        <v>823</v>
      </c>
      <c r="E438" s="41">
        <v>240</v>
      </c>
    </row>
    <row r="439" spans="1:5" ht="17.25">
      <c r="A439" s="611">
        <v>434</v>
      </c>
      <c r="C439" s="668"/>
      <c r="D439" s="649" t="s">
        <v>95</v>
      </c>
      <c r="E439" s="41"/>
    </row>
    <row r="440" spans="1:5" ht="17.25">
      <c r="A440" s="611">
        <v>435</v>
      </c>
      <c r="C440" s="668"/>
      <c r="D440" s="647" t="s">
        <v>682</v>
      </c>
      <c r="E440" s="41">
        <v>327</v>
      </c>
    </row>
    <row r="441" spans="1:5" ht="33">
      <c r="A441" s="630">
        <v>436</v>
      </c>
      <c r="C441" s="668"/>
      <c r="D441" s="647" t="s">
        <v>1100</v>
      </c>
      <c r="E441" s="41">
        <v>2153</v>
      </c>
    </row>
    <row r="442" spans="1:5" ht="17.25">
      <c r="A442" s="611">
        <v>437</v>
      </c>
      <c r="C442" s="668"/>
      <c r="D442" s="647" t="s">
        <v>733</v>
      </c>
      <c r="E442" s="41">
        <v>98</v>
      </c>
    </row>
    <row r="443" spans="1:5" ht="17.25">
      <c r="A443" s="611">
        <v>438</v>
      </c>
      <c r="C443" s="668"/>
      <c r="D443" s="650" t="s">
        <v>684</v>
      </c>
      <c r="E443" s="41"/>
    </row>
    <row r="444" spans="1:5" ht="17.25">
      <c r="A444" s="611">
        <v>439</v>
      </c>
      <c r="C444" s="668"/>
      <c r="D444" s="647" t="s">
        <v>682</v>
      </c>
      <c r="E444" s="41">
        <v>196</v>
      </c>
    </row>
    <row r="445" spans="1:5" ht="17.25">
      <c r="A445" s="611">
        <v>440</v>
      </c>
      <c r="C445" s="668"/>
      <c r="D445" s="647" t="s">
        <v>1101</v>
      </c>
      <c r="E445" s="41">
        <v>7910</v>
      </c>
    </row>
    <row r="446" spans="1:5" ht="17.25">
      <c r="A446" s="611">
        <v>441</v>
      </c>
      <c r="C446" s="668"/>
      <c r="D446" s="647" t="s">
        <v>1102</v>
      </c>
      <c r="E446" s="41">
        <v>801</v>
      </c>
    </row>
    <row r="447" spans="1:5" ht="17.25">
      <c r="A447" s="611">
        <v>442</v>
      </c>
      <c r="C447" s="668"/>
      <c r="D447" s="647" t="s">
        <v>985</v>
      </c>
      <c r="E447" s="41">
        <v>98</v>
      </c>
    </row>
    <row r="448" spans="1:5" ht="17.25">
      <c r="A448" s="611">
        <v>443</v>
      </c>
      <c r="C448" s="668"/>
      <c r="D448" s="650" t="s">
        <v>97</v>
      </c>
      <c r="E448" s="41"/>
    </row>
    <row r="449" spans="1:5" ht="17.25">
      <c r="A449" s="611">
        <v>444</v>
      </c>
      <c r="C449" s="668"/>
      <c r="D449" s="647" t="s">
        <v>682</v>
      </c>
      <c r="E449" s="41">
        <v>1295</v>
      </c>
    </row>
    <row r="450" spans="1:5" ht="33">
      <c r="A450" s="630">
        <v>445</v>
      </c>
      <c r="C450" s="668"/>
      <c r="D450" s="647" t="s">
        <v>702</v>
      </c>
      <c r="E450" s="41">
        <v>491</v>
      </c>
    </row>
    <row r="451" spans="1:5" ht="33">
      <c r="A451" s="630">
        <v>446</v>
      </c>
      <c r="C451" s="668"/>
      <c r="D451" s="647" t="s">
        <v>1103</v>
      </c>
      <c r="E451" s="41">
        <v>7514</v>
      </c>
    </row>
    <row r="452" spans="1:5" ht="17.25">
      <c r="A452" s="611">
        <v>447</v>
      </c>
      <c r="C452" s="668"/>
      <c r="D452" s="647" t="s">
        <v>724</v>
      </c>
      <c r="E452" s="41">
        <v>250</v>
      </c>
    </row>
    <row r="453" spans="1:5" ht="17.25">
      <c r="A453" s="611">
        <v>448</v>
      </c>
      <c r="C453" s="668"/>
      <c r="D453" s="647" t="s">
        <v>714</v>
      </c>
      <c r="E453" s="41">
        <v>490</v>
      </c>
    </row>
    <row r="454" spans="1:5" ht="17.25">
      <c r="A454" s="611">
        <v>449</v>
      </c>
      <c r="C454" s="668"/>
      <c r="D454" s="647" t="s">
        <v>985</v>
      </c>
      <c r="E454" s="41">
        <v>247</v>
      </c>
    </row>
    <row r="455" spans="1:5" ht="17.25">
      <c r="A455" s="611">
        <v>450</v>
      </c>
      <c r="C455" s="668"/>
      <c r="D455" s="647" t="s">
        <v>824</v>
      </c>
      <c r="E455" s="41">
        <v>100</v>
      </c>
    </row>
    <row r="456" spans="1:5" ht="17.25">
      <c r="A456" s="611">
        <v>451</v>
      </c>
      <c r="C456" s="668"/>
      <c r="D456" s="648" t="s">
        <v>192</v>
      </c>
      <c r="E456" s="41"/>
    </row>
    <row r="457" spans="1:5" ht="17.25">
      <c r="A457" s="611">
        <v>452</v>
      </c>
      <c r="C457" s="668"/>
      <c r="D457" s="647" t="s">
        <v>682</v>
      </c>
      <c r="E457" s="41">
        <v>895</v>
      </c>
    </row>
    <row r="458" spans="1:5" ht="17.25">
      <c r="A458" s="611">
        <v>453</v>
      </c>
      <c r="C458" s="668"/>
      <c r="D458" s="647" t="s">
        <v>1101</v>
      </c>
      <c r="E458" s="41">
        <v>25420</v>
      </c>
    </row>
    <row r="459" spans="1:5" ht="17.25">
      <c r="A459" s="611">
        <v>454</v>
      </c>
      <c r="C459" s="668"/>
      <c r="D459" s="647" t="s">
        <v>721</v>
      </c>
      <c r="E459" s="41">
        <v>400</v>
      </c>
    </row>
    <row r="460" spans="1:5" ht="17.25">
      <c r="A460" s="611">
        <v>455</v>
      </c>
      <c r="C460" s="668"/>
      <c r="D460" s="647" t="s">
        <v>722</v>
      </c>
      <c r="E460" s="41">
        <v>80</v>
      </c>
    </row>
    <row r="461" spans="1:5" ht="17.25">
      <c r="A461" s="611">
        <v>456</v>
      </c>
      <c r="C461" s="668"/>
      <c r="D461" s="647" t="s">
        <v>723</v>
      </c>
      <c r="E461" s="41">
        <v>500</v>
      </c>
    </row>
    <row r="462" spans="1:5" ht="17.25">
      <c r="A462" s="611">
        <v>457</v>
      </c>
      <c r="C462" s="668"/>
      <c r="D462" s="647" t="s">
        <v>985</v>
      </c>
      <c r="E462" s="41">
        <v>253</v>
      </c>
    </row>
    <row r="463" spans="1:5" ht="17.25">
      <c r="A463" s="611">
        <v>458</v>
      </c>
      <c r="C463" s="668"/>
      <c r="D463" s="648" t="s">
        <v>99</v>
      </c>
      <c r="E463" s="41"/>
    </row>
    <row r="464" spans="1:5" ht="17.25">
      <c r="A464" s="611">
        <v>459</v>
      </c>
      <c r="C464" s="668"/>
      <c r="D464" s="647" t="s">
        <v>682</v>
      </c>
      <c r="E464" s="41">
        <v>1131</v>
      </c>
    </row>
    <row r="465" spans="1:5" ht="33">
      <c r="A465" s="630">
        <v>460</v>
      </c>
      <c r="C465" s="668"/>
      <c r="D465" s="647" t="s">
        <v>1104</v>
      </c>
      <c r="E465" s="41">
        <v>4199</v>
      </c>
    </row>
    <row r="466" spans="1:5" ht="17.25">
      <c r="A466" s="611">
        <v>461</v>
      </c>
      <c r="C466" s="668"/>
      <c r="D466" s="647" t="s">
        <v>1105</v>
      </c>
      <c r="E466" s="41">
        <v>200</v>
      </c>
    </row>
    <row r="467" spans="1:5" ht="17.25">
      <c r="A467" s="611">
        <v>462</v>
      </c>
      <c r="C467" s="668"/>
      <c r="D467" s="647" t="s">
        <v>985</v>
      </c>
      <c r="E467" s="41">
        <v>498</v>
      </c>
    </row>
    <row r="468" spans="1:5" ht="17.25">
      <c r="A468" s="611">
        <v>463</v>
      </c>
      <c r="C468" s="668"/>
      <c r="D468" s="648" t="s">
        <v>194</v>
      </c>
      <c r="E468" s="41"/>
    </row>
    <row r="469" spans="1:5" ht="17.25">
      <c r="A469" s="611">
        <v>464</v>
      </c>
      <c r="C469" s="668"/>
      <c r="D469" s="647" t="s">
        <v>682</v>
      </c>
      <c r="E469" s="41">
        <v>2069</v>
      </c>
    </row>
    <row r="470" spans="1:5" ht="33">
      <c r="A470" s="630">
        <v>465</v>
      </c>
      <c r="C470" s="668"/>
      <c r="D470" s="647" t="s">
        <v>1174</v>
      </c>
      <c r="E470" s="324">
        <v>4994</v>
      </c>
    </row>
    <row r="471" spans="1:5" ht="17.25">
      <c r="A471" s="611">
        <v>466</v>
      </c>
      <c r="C471" s="668"/>
      <c r="D471" s="647" t="s">
        <v>985</v>
      </c>
      <c r="E471" s="314">
        <v>654</v>
      </c>
    </row>
    <row r="472" spans="1:5" ht="17.25">
      <c r="A472" s="611">
        <v>467</v>
      </c>
      <c r="C472" s="668"/>
      <c r="D472" s="652" t="s">
        <v>375</v>
      </c>
      <c r="E472" s="681">
        <f>SUM(E365:E471)+E364</f>
        <v>223312</v>
      </c>
    </row>
    <row r="473" spans="1:4" ht="17.25">
      <c r="A473" s="611">
        <v>468</v>
      </c>
      <c r="C473" s="668"/>
      <c r="D473" s="682" t="s">
        <v>625</v>
      </c>
    </row>
    <row r="474" spans="1:4" ht="17.25">
      <c r="A474" s="611">
        <v>469</v>
      </c>
      <c r="C474" s="668"/>
      <c r="D474" s="655" t="s">
        <v>423</v>
      </c>
    </row>
    <row r="475" spans="1:5" ht="17.25">
      <c r="A475" s="611">
        <v>470</v>
      </c>
      <c r="C475" s="668"/>
      <c r="D475" s="647" t="s">
        <v>682</v>
      </c>
      <c r="E475" s="324">
        <v>2143</v>
      </c>
    </row>
    <row r="476" spans="1:5" ht="17.25">
      <c r="A476" s="611">
        <v>471</v>
      </c>
      <c r="C476" s="668"/>
      <c r="D476" s="680" t="s">
        <v>1106</v>
      </c>
      <c r="E476" s="324">
        <v>57383</v>
      </c>
    </row>
    <row r="477" spans="1:5" ht="17.25">
      <c r="A477" s="611">
        <v>472</v>
      </c>
      <c r="B477" s="683"/>
      <c r="C477" s="668"/>
      <c r="D477" s="655" t="s">
        <v>874</v>
      </c>
      <c r="E477" s="41"/>
    </row>
    <row r="478" spans="1:5" ht="17.25">
      <c r="A478" s="611">
        <v>473</v>
      </c>
      <c r="B478" s="683"/>
      <c r="C478" s="668"/>
      <c r="D478" s="647" t="s">
        <v>1101</v>
      </c>
      <c r="E478" s="41">
        <v>3691</v>
      </c>
    </row>
    <row r="479" spans="1:5" ht="33.75">
      <c r="A479" s="630">
        <v>474</v>
      </c>
      <c r="B479" s="683"/>
      <c r="C479" s="668"/>
      <c r="D479" s="648" t="s">
        <v>1175</v>
      </c>
      <c r="E479" s="41">
        <v>600</v>
      </c>
    </row>
    <row r="480" spans="1:5" ht="17.25">
      <c r="A480" s="611">
        <v>475</v>
      </c>
      <c r="C480" s="668"/>
      <c r="D480" s="613" t="s">
        <v>969</v>
      </c>
      <c r="E480" s="324">
        <v>14351</v>
      </c>
    </row>
    <row r="481" spans="1:5" ht="33">
      <c r="A481" s="630">
        <v>476</v>
      </c>
      <c r="C481" s="668"/>
      <c r="D481" s="613" t="s">
        <v>1107</v>
      </c>
      <c r="E481" s="324">
        <v>2772</v>
      </c>
    </row>
    <row r="482" spans="1:5" ht="33">
      <c r="A482" s="630">
        <v>477</v>
      </c>
      <c r="C482" s="668"/>
      <c r="D482" s="613" t="s">
        <v>1108</v>
      </c>
      <c r="E482" s="324">
        <v>34</v>
      </c>
    </row>
    <row r="483" spans="1:5" ht="33">
      <c r="A483" s="630">
        <v>478</v>
      </c>
      <c r="C483" s="668"/>
      <c r="D483" s="613" t="s">
        <v>946</v>
      </c>
      <c r="E483" s="324">
        <v>2174</v>
      </c>
    </row>
    <row r="484" spans="1:7" ht="49.5">
      <c r="A484" s="630">
        <v>479</v>
      </c>
      <c r="C484" s="668"/>
      <c r="D484" s="613" t="s">
        <v>1109</v>
      </c>
      <c r="E484" s="634">
        <v>831</v>
      </c>
      <c r="F484" s="634"/>
      <c r="G484" s="634"/>
    </row>
    <row r="485" spans="1:5" ht="50.25">
      <c r="A485" s="630">
        <v>480</v>
      </c>
      <c r="C485" s="683"/>
      <c r="D485" s="613" t="s">
        <v>1110</v>
      </c>
      <c r="E485" s="635">
        <v>761</v>
      </c>
    </row>
    <row r="486" spans="1:5" ht="17.25">
      <c r="A486" s="611">
        <v>481</v>
      </c>
      <c r="B486" s="683"/>
      <c r="C486" s="668"/>
      <c r="D486" s="652" t="s">
        <v>626</v>
      </c>
      <c r="E486" s="681">
        <f>SUM(E475:E485)</f>
        <v>84740</v>
      </c>
    </row>
    <row r="487" spans="1:4" ht="17.25">
      <c r="A487" s="611">
        <v>482</v>
      </c>
      <c r="C487" s="668" t="s">
        <v>373</v>
      </c>
      <c r="D487" s="682" t="s">
        <v>627</v>
      </c>
    </row>
    <row r="488" spans="1:4" ht="17.25">
      <c r="A488" s="611">
        <v>483</v>
      </c>
      <c r="C488" s="668"/>
      <c r="D488" s="623" t="s">
        <v>1111</v>
      </c>
    </row>
    <row r="489" spans="1:5" ht="17.25">
      <c r="A489" s="611">
        <v>484</v>
      </c>
      <c r="C489" s="668"/>
      <c r="D489" s="684" t="s">
        <v>177</v>
      </c>
      <c r="E489" s="685"/>
    </row>
    <row r="490" spans="1:5" ht="33">
      <c r="A490" s="630">
        <v>485</v>
      </c>
      <c r="C490" s="668"/>
      <c r="D490" s="647" t="s">
        <v>1112</v>
      </c>
      <c r="E490" s="685">
        <v>1642</v>
      </c>
    </row>
    <row r="491" spans="1:5" s="521" customFormat="1" ht="17.25">
      <c r="A491" s="611">
        <v>486</v>
      </c>
      <c r="B491" s="668"/>
      <c r="C491" s="668"/>
      <c r="D491" s="655" t="s">
        <v>53</v>
      </c>
      <c r="E491" s="686"/>
    </row>
    <row r="492" spans="1:5" s="521" customFormat="1" ht="33" customHeight="1">
      <c r="A492" s="630">
        <v>487</v>
      </c>
      <c r="B492" s="668"/>
      <c r="C492" s="668"/>
      <c r="D492" s="647" t="s">
        <v>1113</v>
      </c>
      <c r="E492" s="686">
        <v>8300</v>
      </c>
    </row>
    <row r="493" spans="1:5" s="521" customFormat="1" ht="17.25">
      <c r="A493" s="611">
        <v>488</v>
      </c>
      <c r="B493" s="668"/>
      <c r="C493" s="668"/>
      <c r="D493" s="655" t="s">
        <v>55</v>
      </c>
      <c r="E493" s="686"/>
    </row>
    <row r="494" spans="1:5" s="521" customFormat="1" ht="33">
      <c r="A494" s="630">
        <v>489</v>
      </c>
      <c r="B494" s="668"/>
      <c r="C494" s="668"/>
      <c r="D494" s="647" t="s">
        <v>1114</v>
      </c>
      <c r="E494" s="686">
        <v>14266</v>
      </c>
    </row>
    <row r="495" spans="1:5" s="521" customFormat="1" ht="17.25">
      <c r="A495" s="611">
        <v>490</v>
      </c>
      <c r="B495" s="668"/>
      <c r="C495" s="668"/>
      <c r="D495" s="655" t="s">
        <v>51</v>
      </c>
      <c r="E495" s="686"/>
    </row>
    <row r="496" spans="1:5" s="521" customFormat="1" ht="33">
      <c r="A496" s="611">
        <v>491</v>
      </c>
      <c r="B496" s="668"/>
      <c r="C496" s="668"/>
      <c r="D496" s="647" t="s">
        <v>1115</v>
      </c>
      <c r="E496" s="686">
        <v>1984</v>
      </c>
    </row>
    <row r="497" spans="1:5" s="521" customFormat="1" ht="17.25">
      <c r="A497" s="611">
        <v>492</v>
      </c>
      <c r="B497" s="668"/>
      <c r="C497" s="668"/>
      <c r="D497" s="655" t="s">
        <v>58</v>
      </c>
      <c r="E497" s="686"/>
    </row>
    <row r="498" spans="1:5" s="521" customFormat="1" ht="33">
      <c r="A498" s="611">
        <v>493</v>
      </c>
      <c r="B498" s="668"/>
      <c r="C498" s="668"/>
      <c r="D498" s="647" t="s">
        <v>915</v>
      </c>
      <c r="E498" s="686">
        <v>1510</v>
      </c>
    </row>
    <row r="499" spans="1:5" s="521" customFormat="1" ht="17.25">
      <c r="A499" s="611">
        <v>494</v>
      </c>
      <c r="B499" s="668"/>
      <c r="C499" s="668"/>
      <c r="D499" s="655" t="s">
        <v>180</v>
      </c>
      <c r="E499" s="686"/>
    </row>
    <row r="500" spans="1:5" s="521" customFormat="1" ht="33">
      <c r="A500" s="630">
        <v>495</v>
      </c>
      <c r="B500" s="668"/>
      <c r="C500" s="668"/>
      <c r="D500" s="647" t="s">
        <v>916</v>
      </c>
      <c r="E500" s="686">
        <v>2000</v>
      </c>
    </row>
    <row r="501" spans="1:5" s="521" customFormat="1" ht="17.25">
      <c r="A501" s="611">
        <v>496</v>
      </c>
      <c r="B501" s="668"/>
      <c r="C501" s="668"/>
      <c r="D501" s="655" t="s">
        <v>695</v>
      </c>
      <c r="E501" s="686"/>
    </row>
    <row r="502" spans="1:5" s="521" customFormat="1" ht="17.25">
      <c r="A502" s="611">
        <v>497</v>
      </c>
      <c r="B502" s="668"/>
      <c r="C502" s="668"/>
      <c r="D502" s="647" t="s">
        <v>1116</v>
      </c>
      <c r="E502" s="686">
        <v>740</v>
      </c>
    </row>
    <row r="503" spans="1:5" s="521" customFormat="1" ht="17.25">
      <c r="A503" s="611">
        <v>498</v>
      </c>
      <c r="B503" s="668"/>
      <c r="C503" s="668"/>
      <c r="D503" s="655" t="s">
        <v>683</v>
      </c>
      <c r="E503" s="686"/>
    </row>
    <row r="504" spans="1:5" s="521" customFormat="1" ht="33">
      <c r="A504" s="611">
        <v>499</v>
      </c>
      <c r="B504" s="668"/>
      <c r="C504" s="668"/>
      <c r="D504" s="647" t="s">
        <v>1176</v>
      </c>
      <c r="E504" s="686">
        <v>800</v>
      </c>
    </row>
    <row r="505" spans="1:5" s="521" customFormat="1" ht="17.25">
      <c r="A505" s="611">
        <v>500</v>
      </c>
      <c r="B505" s="668"/>
      <c r="C505" s="668"/>
      <c r="D505" s="655" t="s">
        <v>694</v>
      </c>
      <c r="E505" s="686"/>
    </row>
    <row r="506" spans="1:5" s="521" customFormat="1" ht="17.25">
      <c r="A506" s="611">
        <v>501</v>
      </c>
      <c r="B506" s="668"/>
      <c r="C506" s="668"/>
      <c r="D506" s="647" t="s">
        <v>917</v>
      </c>
      <c r="E506" s="686">
        <v>8500</v>
      </c>
    </row>
    <row r="507" spans="1:5" s="521" customFormat="1" ht="17.25">
      <c r="A507" s="611">
        <v>502</v>
      </c>
      <c r="B507" s="668"/>
      <c r="C507" s="668"/>
      <c r="D507" s="655" t="s">
        <v>95</v>
      </c>
      <c r="E507" s="686"/>
    </row>
    <row r="508" spans="1:5" s="521" customFormat="1" ht="49.5">
      <c r="A508" s="630">
        <v>503</v>
      </c>
      <c r="B508" s="668"/>
      <c r="C508" s="668"/>
      <c r="D508" s="647" t="s">
        <v>918</v>
      </c>
      <c r="E508" s="686">
        <v>2607</v>
      </c>
    </row>
    <row r="509" spans="1:5" s="521" customFormat="1" ht="17.25">
      <c r="A509" s="611">
        <v>504</v>
      </c>
      <c r="B509" s="668"/>
      <c r="C509" s="668"/>
      <c r="D509" s="655" t="s">
        <v>684</v>
      </c>
      <c r="E509" s="686"/>
    </row>
    <row r="510" spans="1:5" s="521" customFormat="1" ht="30" customHeight="1">
      <c r="A510" s="630">
        <v>505</v>
      </c>
      <c r="B510" s="668"/>
      <c r="C510" s="668"/>
      <c r="D510" s="1123" t="s">
        <v>1117</v>
      </c>
      <c r="E510" s="686">
        <v>1082</v>
      </c>
    </row>
    <row r="511" spans="1:5" s="521" customFormat="1" ht="17.25">
      <c r="A511" s="611">
        <v>506</v>
      </c>
      <c r="B511" s="668"/>
      <c r="C511" s="668"/>
      <c r="D511" s="655" t="s">
        <v>94</v>
      </c>
      <c r="E511" s="686"/>
    </row>
    <row r="512" spans="1:5" s="521" customFormat="1" ht="17.25">
      <c r="A512" s="611">
        <v>507</v>
      </c>
      <c r="B512" s="668"/>
      <c r="C512" s="668"/>
      <c r="D512" s="647" t="s">
        <v>1177</v>
      </c>
      <c r="E512" s="686">
        <v>9000</v>
      </c>
    </row>
    <row r="513" spans="1:5" s="521" customFormat="1" ht="17.25">
      <c r="A513" s="611">
        <v>508</v>
      </c>
      <c r="B513" s="668"/>
      <c r="C513" s="668"/>
      <c r="D513" s="655" t="s">
        <v>99</v>
      </c>
      <c r="E513" s="686"/>
    </row>
    <row r="514" spans="1:5" s="521" customFormat="1" ht="33">
      <c r="A514" s="630">
        <v>509</v>
      </c>
      <c r="B514" s="668"/>
      <c r="C514" s="668"/>
      <c r="D514" s="647" t="s">
        <v>1118</v>
      </c>
      <c r="E514" s="686">
        <v>12197</v>
      </c>
    </row>
    <row r="515" spans="1:5" s="521" customFormat="1" ht="17.25">
      <c r="A515" s="611">
        <v>510</v>
      </c>
      <c r="B515" s="668"/>
      <c r="C515" s="668"/>
      <c r="D515" s="655" t="s">
        <v>192</v>
      </c>
      <c r="E515" s="686"/>
    </row>
    <row r="516" spans="1:5" s="521" customFormat="1" ht="33">
      <c r="A516" s="630">
        <v>511</v>
      </c>
      <c r="B516" s="668"/>
      <c r="C516" s="668"/>
      <c r="D516" s="647" t="s">
        <v>1184</v>
      </c>
      <c r="E516" s="686">
        <v>3474</v>
      </c>
    </row>
    <row r="517" spans="1:5" s="521" customFormat="1" ht="17.25">
      <c r="A517" s="611">
        <v>512</v>
      </c>
      <c r="B517" s="668"/>
      <c r="C517" s="668"/>
      <c r="D517" s="655" t="s">
        <v>194</v>
      </c>
      <c r="E517" s="686"/>
    </row>
    <row r="518" spans="1:8" s="653" customFormat="1" ht="17.25">
      <c r="A518" s="611">
        <v>513</v>
      </c>
      <c r="C518" s="664"/>
      <c r="D518" s="647" t="s">
        <v>791</v>
      </c>
      <c r="E518" s="663">
        <v>227</v>
      </c>
      <c r="F518" s="665"/>
      <c r="G518" s="665"/>
      <c r="H518" s="665"/>
    </row>
    <row r="519" spans="1:8" s="653" customFormat="1" ht="17.25">
      <c r="A519" s="611">
        <v>514</v>
      </c>
      <c r="C519" s="664"/>
      <c r="D519" s="655" t="s">
        <v>914</v>
      </c>
      <c r="E519" s="663"/>
      <c r="F519" s="665"/>
      <c r="G519" s="665"/>
      <c r="H519" s="665"/>
    </row>
    <row r="520" spans="1:8" s="653" customFormat="1" ht="17.25">
      <c r="A520" s="611">
        <v>515</v>
      </c>
      <c r="C520" s="664"/>
      <c r="D520" s="647" t="s">
        <v>919</v>
      </c>
      <c r="E520" s="663">
        <v>7151</v>
      </c>
      <c r="F520" s="665"/>
      <c r="G520" s="665"/>
      <c r="H520" s="665"/>
    </row>
    <row r="521" spans="1:8" s="653" customFormat="1" ht="17.25">
      <c r="A521" s="611">
        <v>516</v>
      </c>
      <c r="C521" s="664"/>
      <c r="D521" s="647" t="s">
        <v>937</v>
      </c>
      <c r="E521" s="687">
        <v>15200</v>
      </c>
      <c r="F521" s="665"/>
      <c r="G521" s="665"/>
      <c r="H521" s="665"/>
    </row>
    <row r="522" spans="1:5" s="521" customFormat="1" ht="17.25">
      <c r="A522" s="611">
        <v>517</v>
      </c>
      <c r="B522" s="668"/>
      <c r="C522" s="668"/>
      <c r="D522" s="654"/>
      <c r="E522" s="686">
        <f>SUM(E489:E521)</f>
        <v>90680</v>
      </c>
    </row>
    <row r="523" spans="1:5" s="521" customFormat="1" ht="17.25">
      <c r="A523" s="611">
        <v>518</v>
      </c>
      <c r="B523" s="668"/>
      <c r="C523" s="668"/>
      <c r="D523" s="682" t="s">
        <v>697</v>
      </c>
      <c r="E523" s="686"/>
    </row>
    <row r="524" spans="1:5" s="521" customFormat="1" ht="17.25">
      <c r="A524" s="611">
        <v>519</v>
      </c>
      <c r="B524" s="668"/>
      <c r="C524" s="668"/>
      <c r="D524" s="655" t="s">
        <v>94</v>
      </c>
      <c r="E524" s="686"/>
    </row>
    <row r="525" spans="1:5" s="521" customFormat="1" ht="17.25">
      <c r="A525" s="611">
        <v>520</v>
      </c>
      <c r="B525" s="668"/>
      <c r="C525" s="668"/>
      <c r="D525" s="647" t="s">
        <v>934</v>
      </c>
      <c r="E525" s="686">
        <v>37500</v>
      </c>
    </row>
    <row r="526" spans="1:5" s="521" customFormat="1" ht="19.5" customHeight="1">
      <c r="A526" s="611">
        <v>521</v>
      </c>
      <c r="B526" s="668"/>
      <c r="C526" s="668"/>
      <c r="D526" s="625" t="s">
        <v>1119</v>
      </c>
      <c r="E526" s="686"/>
    </row>
    <row r="527" spans="1:5" s="521" customFormat="1" ht="17.25">
      <c r="A527" s="611">
        <v>522</v>
      </c>
      <c r="B527" s="668"/>
      <c r="C527" s="668"/>
      <c r="D527" s="655" t="s">
        <v>99</v>
      </c>
      <c r="E527" s="686"/>
    </row>
    <row r="528" spans="1:5" s="521" customFormat="1" ht="17.25">
      <c r="A528" s="611">
        <v>523</v>
      </c>
      <c r="B528" s="668"/>
      <c r="C528" s="668"/>
      <c r="D528" s="647" t="s">
        <v>698</v>
      </c>
      <c r="E528" s="686">
        <v>217</v>
      </c>
    </row>
    <row r="529" spans="1:5" s="521" customFormat="1" ht="17.25">
      <c r="A529" s="611">
        <v>524</v>
      </c>
      <c r="B529" s="668"/>
      <c r="C529" s="668"/>
      <c r="D529" s="655" t="s">
        <v>192</v>
      </c>
      <c r="E529" s="686"/>
    </row>
    <row r="530" spans="1:5" s="521" customFormat="1" ht="17.25">
      <c r="A530" s="611">
        <v>525</v>
      </c>
      <c r="B530" s="668"/>
      <c r="C530" s="668"/>
      <c r="D530" s="647" t="s">
        <v>703</v>
      </c>
      <c r="E530" s="686">
        <v>1000</v>
      </c>
    </row>
    <row r="531" spans="1:5" s="108" customFormat="1" ht="27.75" customHeight="1" thickBot="1">
      <c r="A531" s="642">
        <v>526</v>
      </c>
      <c r="B531" s="657"/>
      <c r="C531" s="657"/>
      <c r="D531" s="688" t="s">
        <v>360</v>
      </c>
      <c r="E531" s="661">
        <f>SUM(E486,E472)+E522+E528+E530+E525</f>
        <v>437449</v>
      </c>
    </row>
    <row r="532" spans="1:5" s="108" customFormat="1" ht="27.75" customHeight="1" thickTop="1">
      <c r="A532" s="611">
        <v>527</v>
      </c>
      <c r="B532" s="689"/>
      <c r="C532" s="664" t="s">
        <v>374</v>
      </c>
      <c r="D532" s="682" t="s">
        <v>493</v>
      </c>
      <c r="E532" s="324"/>
    </row>
    <row r="533" spans="1:5" s="108" customFormat="1" ht="17.25">
      <c r="A533" s="611">
        <v>528</v>
      </c>
      <c r="B533" s="689"/>
      <c r="C533" s="689"/>
      <c r="D533" s="655" t="s">
        <v>875</v>
      </c>
      <c r="E533" s="324"/>
    </row>
    <row r="534" spans="1:5" s="108" customFormat="1" ht="17.25">
      <c r="A534" s="611">
        <v>529</v>
      </c>
      <c r="B534" s="689"/>
      <c r="C534" s="689"/>
      <c r="D534" s="647" t="s">
        <v>876</v>
      </c>
      <c r="E534" s="324">
        <v>329839</v>
      </c>
    </row>
    <row r="535" spans="1:5" s="108" customFormat="1" ht="27.75" customHeight="1">
      <c r="A535" s="611">
        <v>530</v>
      </c>
      <c r="B535" s="689"/>
      <c r="C535" s="689"/>
      <c r="D535" s="682" t="s">
        <v>628</v>
      </c>
      <c r="E535" s="324"/>
    </row>
    <row r="536" spans="1:5" s="13" customFormat="1" ht="17.25">
      <c r="A536" s="611">
        <v>531</v>
      </c>
      <c r="B536" s="689"/>
      <c r="C536" s="689"/>
      <c r="D536" s="651" t="s">
        <v>739</v>
      </c>
      <c r="E536" s="629"/>
    </row>
    <row r="537" spans="1:5" s="108" customFormat="1" ht="17.25">
      <c r="A537" s="611">
        <v>532</v>
      </c>
      <c r="B537" s="689"/>
      <c r="C537" s="689"/>
      <c r="D537" s="612" t="s">
        <v>1047</v>
      </c>
      <c r="E537" s="324">
        <v>-920</v>
      </c>
    </row>
    <row r="538" spans="1:5" s="108" customFormat="1" ht="17.25">
      <c r="A538" s="611">
        <v>533</v>
      </c>
      <c r="B538" s="689"/>
      <c r="C538" s="689"/>
      <c r="D538" s="612" t="s">
        <v>1120</v>
      </c>
      <c r="E538" s="324">
        <v>-230</v>
      </c>
    </row>
    <row r="539" spans="1:5" s="108" customFormat="1" ht="17.25">
      <c r="A539" s="611">
        <v>534</v>
      </c>
      <c r="B539" s="689"/>
      <c r="C539" s="689"/>
      <c r="D539" s="612" t="s">
        <v>1121</v>
      </c>
      <c r="E539" s="324">
        <v>-100</v>
      </c>
    </row>
    <row r="540" spans="1:5" s="108" customFormat="1" ht="17.25">
      <c r="A540" s="611">
        <v>535</v>
      </c>
      <c r="B540" s="689"/>
      <c r="C540" s="689"/>
      <c r="D540" s="612" t="s">
        <v>1122</v>
      </c>
      <c r="E540" s="324">
        <v>-200</v>
      </c>
    </row>
    <row r="541" spans="1:5" s="108" customFormat="1" ht="17.25">
      <c r="A541" s="611">
        <v>536</v>
      </c>
      <c r="B541" s="689"/>
      <c r="C541" s="689"/>
      <c r="D541" s="612" t="s">
        <v>1123</v>
      </c>
      <c r="E541" s="324">
        <v>-510</v>
      </c>
    </row>
    <row r="542" spans="1:5" s="108" customFormat="1" ht="17.25">
      <c r="A542" s="611">
        <v>537</v>
      </c>
      <c r="B542" s="689"/>
      <c r="C542" s="689"/>
      <c r="D542" s="612" t="s">
        <v>1048</v>
      </c>
      <c r="E542" s="324">
        <v>-250</v>
      </c>
    </row>
    <row r="543" spans="1:5" s="108" customFormat="1" ht="17.25">
      <c r="A543" s="611">
        <v>538</v>
      </c>
      <c r="B543" s="689"/>
      <c r="C543" s="689"/>
      <c r="D543" s="612" t="s">
        <v>1124</v>
      </c>
      <c r="E543" s="324">
        <v>-400</v>
      </c>
    </row>
    <row r="544" spans="1:5" s="13" customFormat="1" ht="17.25">
      <c r="A544" s="611">
        <v>539</v>
      </c>
      <c r="B544" s="689"/>
      <c r="C544" s="689"/>
      <c r="D544" s="651" t="s">
        <v>741</v>
      </c>
      <c r="E544" s="629"/>
    </row>
    <row r="545" spans="1:5" s="108" customFormat="1" ht="17.25">
      <c r="A545" s="611">
        <v>540</v>
      </c>
      <c r="B545" s="689"/>
      <c r="C545" s="689"/>
      <c r="D545" s="612" t="s">
        <v>1047</v>
      </c>
      <c r="E545" s="324">
        <v>-1080</v>
      </c>
    </row>
    <row r="546" spans="1:5" s="108" customFormat="1" ht="17.25">
      <c r="A546" s="611">
        <v>541</v>
      </c>
      <c r="B546" s="689"/>
      <c r="C546" s="689"/>
      <c r="D546" s="612" t="s">
        <v>1049</v>
      </c>
      <c r="E546" s="324">
        <v>205</v>
      </c>
    </row>
    <row r="547" spans="1:5" s="108" customFormat="1" ht="17.25">
      <c r="A547" s="611">
        <v>542</v>
      </c>
      <c r="B547" s="689"/>
      <c r="C547" s="689"/>
      <c r="D547" s="612" t="s">
        <v>1125</v>
      </c>
      <c r="E547" s="324">
        <v>177</v>
      </c>
    </row>
    <row r="548" spans="1:13" s="108" customFormat="1" ht="17.25">
      <c r="A548" s="611">
        <v>543</v>
      </c>
      <c r="B548" s="689"/>
      <c r="C548" s="689"/>
      <c r="D548" s="612" t="s">
        <v>1126</v>
      </c>
      <c r="E548" s="324">
        <v>-240</v>
      </c>
      <c r="M548" s="639"/>
    </row>
    <row r="549" spans="1:5" s="108" customFormat="1" ht="17.25">
      <c r="A549" s="611">
        <v>544</v>
      </c>
      <c r="B549" s="689"/>
      <c r="C549" s="689"/>
      <c r="D549" s="612" t="s">
        <v>1127</v>
      </c>
      <c r="E549" s="324">
        <v>66</v>
      </c>
    </row>
    <row r="550" spans="1:5" s="108" customFormat="1" ht="17.25">
      <c r="A550" s="611">
        <v>545</v>
      </c>
      <c r="B550" s="689"/>
      <c r="C550" s="689"/>
      <c r="D550" s="612" t="s">
        <v>1120</v>
      </c>
      <c r="E550" s="324">
        <v>-140</v>
      </c>
    </row>
    <row r="551" spans="1:5" s="108" customFormat="1" ht="17.25">
      <c r="A551" s="611">
        <v>546</v>
      </c>
      <c r="B551" s="689"/>
      <c r="C551" s="689"/>
      <c r="D551" s="612" t="s">
        <v>1128</v>
      </c>
      <c r="E551" s="324">
        <v>573</v>
      </c>
    </row>
    <row r="552" spans="1:5" s="108" customFormat="1" ht="17.25">
      <c r="A552" s="611">
        <v>547</v>
      </c>
      <c r="B552" s="689"/>
      <c r="C552" s="689"/>
      <c r="D552" s="612" t="s">
        <v>1121</v>
      </c>
      <c r="E552" s="324">
        <v>-170</v>
      </c>
    </row>
    <row r="553" spans="1:5" s="108" customFormat="1" ht="17.25">
      <c r="A553" s="611">
        <v>548</v>
      </c>
      <c r="B553" s="689"/>
      <c r="C553" s="689"/>
      <c r="D553" s="612" t="s">
        <v>1129</v>
      </c>
      <c r="E553" s="324">
        <v>492</v>
      </c>
    </row>
    <row r="554" spans="1:5" s="108" customFormat="1" ht="17.25">
      <c r="A554" s="611">
        <v>549</v>
      </c>
      <c r="B554" s="689"/>
      <c r="C554" s="689"/>
      <c r="D554" s="612" t="s">
        <v>1122</v>
      </c>
      <c r="E554" s="324">
        <v>-1000</v>
      </c>
    </row>
    <row r="555" spans="1:5" s="108" customFormat="1" ht="17.25">
      <c r="A555" s="611">
        <v>550</v>
      </c>
      <c r="B555" s="689"/>
      <c r="C555" s="689"/>
      <c r="D555" s="612" t="s">
        <v>1130</v>
      </c>
      <c r="E555" s="324">
        <v>636</v>
      </c>
    </row>
    <row r="556" spans="1:5" s="108" customFormat="1" ht="17.25">
      <c r="A556" s="611">
        <v>551</v>
      </c>
      <c r="B556" s="689"/>
      <c r="C556" s="689"/>
      <c r="D556" s="612" t="s">
        <v>1123</v>
      </c>
      <c r="E556" s="324">
        <v>-830</v>
      </c>
    </row>
    <row r="557" spans="1:5" s="108" customFormat="1" ht="17.25">
      <c r="A557" s="611">
        <v>552</v>
      </c>
      <c r="B557" s="689"/>
      <c r="C557" s="689"/>
      <c r="D557" s="612" t="s">
        <v>1131</v>
      </c>
      <c r="E557" s="324">
        <v>1458</v>
      </c>
    </row>
    <row r="558" spans="1:5" s="108" customFormat="1" ht="17.25">
      <c r="A558" s="611">
        <v>553</v>
      </c>
      <c r="B558" s="689"/>
      <c r="C558" s="689"/>
      <c r="D558" s="612" t="s">
        <v>1132</v>
      </c>
      <c r="E558" s="324">
        <v>-300</v>
      </c>
    </row>
    <row r="559" spans="1:5" s="108" customFormat="1" ht="17.25">
      <c r="A559" s="611">
        <v>554</v>
      </c>
      <c r="B559" s="689"/>
      <c r="C559" s="689"/>
      <c r="D559" s="612" t="s">
        <v>1133</v>
      </c>
      <c r="E559" s="324">
        <v>108</v>
      </c>
    </row>
    <row r="560" spans="1:5" s="108" customFormat="1" ht="17.25">
      <c r="A560" s="611">
        <v>555</v>
      </c>
      <c r="B560" s="689"/>
      <c r="C560" s="689"/>
      <c r="D560" s="612" t="s">
        <v>1134</v>
      </c>
      <c r="E560" s="324">
        <v>-390</v>
      </c>
    </row>
    <row r="561" spans="1:5" s="108" customFormat="1" ht="17.25">
      <c r="A561" s="611">
        <v>556</v>
      </c>
      <c r="B561" s="689"/>
      <c r="C561" s="689"/>
      <c r="D561" s="612" t="s">
        <v>1135</v>
      </c>
      <c r="E561" s="324">
        <v>24</v>
      </c>
    </row>
    <row r="562" spans="1:5" s="108" customFormat="1" ht="17.25">
      <c r="A562" s="611">
        <v>557</v>
      </c>
      <c r="B562" s="689"/>
      <c r="C562" s="689"/>
      <c r="D562" s="612" t="s">
        <v>1136</v>
      </c>
      <c r="E562" s="324">
        <v>-336</v>
      </c>
    </row>
    <row r="563" spans="1:5" s="108" customFormat="1" ht="17.25">
      <c r="A563" s="611">
        <v>558</v>
      </c>
      <c r="B563" s="689"/>
      <c r="C563" s="689"/>
      <c r="D563" s="612" t="s">
        <v>1137</v>
      </c>
      <c r="E563" s="324">
        <v>7</v>
      </c>
    </row>
    <row r="564" spans="1:5" s="108" customFormat="1" ht="17.25">
      <c r="A564" s="611">
        <v>559</v>
      </c>
      <c r="B564" s="689"/>
      <c r="C564" s="689"/>
      <c r="D564" s="612" t="s">
        <v>1048</v>
      </c>
      <c r="E564" s="324">
        <v>-863</v>
      </c>
    </row>
    <row r="565" spans="1:5" s="108" customFormat="1" ht="17.25">
      <c r="A565" s="611">
        <v>560</v>
      </c>
      <c r="B565" s="689"/>
      <c r="C565" s="689"/>
      <c r="D565" s="612" t="s">
        <v>1050</v>
      </c>
      <c r="E565" s="324">
        <v>1661</v>
      </c>
    </row>
    <row r="566" spans="1:5" s="108" customFormat="1" ht="17.25">
      <c r="A566" s="611">
        <v>561</v>
      </c>
      <c r="B566" s="689"/>
      <c r="C566" s="689"/>
      <c r="D566" s="612" t="s">
        <v>1124</v>
      </c>
      <c r="E566" s="314">
        <v>-789</v>
      </c>
    </row>
    <row r="567" spans="1:10" s="521" customFormat="1" ht="30" customHeight="1">
      <c r="A567" s="630">
        <v>562</v>
      </c>
      <c r="B567" s="668"/>
      <c r="C567" s="668"/>
      <c r="D567" s="654" t="s">
        <v>629</v>
      </c>
      <c r="E567" s="686">
        <f>SUM(E536:E566)</f>
        <v>-3341</v>
      </c>
      <c r="J567" s="641">
        <f>E243+E247+E260+E266+E267+E248+E376+E378+E379+E380+E386+E399+E401+E404+E408+E409+E410+E443+E444+E445+E448+E449+E450+E456+E457+E458+E463+E465+E468+E469+E470+E492+E516+E517</f>
        <v>982972</v>
      </c>
    </row>
    <row r="568" spans="1:8" s="108" customFormat="1" ht="30" customHeight="1" thickBot="1">
      <c r="A568" s="642">
        <v>563</v>
      </c>
      <c r="B568" s="657"/>
      <c r="C568" s="657"/>
      <c r="D568" s="690" t="s">
        <v>630</v>
      </c>
      <c r="E568" s="661">
        <f>E567+E534</f>
        <v>326498</v>
      </c>
      <c r="H568" s="639"/>
    </row>
    <row r="569" spans="1:8" s="108" customFormat="1" ht="30" customHeight="1" thickBot="1" thickTop="1">
      <c r="A569" s="642">
        <v>564</v>
      </c>
      <c r="B569" s="689"/>
      <c r="C569" s="689" t="s">
        <v>519</v>
      </c>
      <c r="D569" s="1375" t="s">
        <v>1201</v>
      </c>
      <c r="E569" s="1374">
        <v>84682</v>
      </c>
      <c r="H569" s="639"/>
    </row>
    <row r="570" spans="1:6" s="108" customFormat="1" ht="30" customHeight="1" thickBot="1">
      <c r="A570" s="642">
        <v>565</v>
      </c>
      <c r="B570" s="619"/>
      <c r="C570" s="643"/>
      <c r="D570" s="644" t="s">
        <v>631</v>
      </c>
      <c r="E570" s="645">
        <f>SUM(E568,E531,E244)+E361+E569</f>
        <v>4714561</v>
      </c>
      <c r="F570" s="108" t="s">
        <v>632</v>
      </c>
    </row>
    <row r="571" spans="4:6" ht="17.25">
      <c r="D571" s="691"/>
      <c r="F571" s="612">
        <v>881</v>
      </c>
    </row>
    <row r="572" ht="16.5">
      <c r="F572" s="612">
        <v>2500</v>
      </c>
    </row>
    <row r="573" ht="16.5">
      <c r="F573" s="612">
        <v>10000</v>
      </c>
    </row>
    <row r="574" ht="16.5">
      <c r="F574" s="612">
        <f>SUM(F571:F573)</f>
        <v>13381</v>
      </c>
    </row>
    <row r="575" ht="16.5">
      <c r="F575" s="612">
        <v>19025</v>
      </c>
    </row>
    <row r="576" ht="16.5">
      <c r="F576" s="612">
        <f>SUM(F574:F575)</f>
        <v>32406</v>
      </c>
    </row>
    <row r="587" spans="2:5" ht="17.25">
      <c r="B587" s="692"/>
      <c r="C587" s="693"/>
      <c r="E587" s="95"/>
    </row>
    <row r="588" spans="2:5" ht="17.25">
      <c r="B588" s="692"/>
      <c r="C588" s="693"/>
      <c r="D588" s="694"/>
      <c r="E588" s="95"/>
    </row>
    <row r="589" spans="2:5" ht="17.25">
      <c r="B589" s="692"/>
      <c r="C589" s="693"/>
      <c r="D589" s="694"/>
      <c r="E589" s="95"/>
    </row>
    <row r="590" spans="2:5" ht="17.25">
      <c r="B590" s="692"/>
      <c r="C590" s="693"/>
      <c r="D590" s="694"/>
      <c r="E590" s="95"/>
    </row>
    <row r="591" spans="2:5" ht="17.25">
      <c r="B591" s="692"/>
      <c r="C591" s="693"/>
      <c r="D591" s="694"/>
      <c r="E591" s="95"/>
    </row>
    <row r="592" spans="2:5" ht="17.25">
      <c r="B592" s="653"/>
      <c r="C592" s="667"/>
      <c r="D592" s="694"/>
      <c r="E592" s="41"/>
    </row>
    <row r="593" spans="3:4" ht="16.5">
      <c r="C593" s="667"/>
      <c r="D593" s="695"/>
    </row>
    <row r="594" ht="16.5">
      <c r="C594" s="667"/>
    </row>
    <row r="595" ht="16.5">
      <c r="C595" s="667"/>
    </row>
    <row r="596" ht="16.5">
      <c r="C596" s="667"/>
    </row>
    <row r="597" ht="16.5">
      <c r="C597" s="667"/>
    </row>
    <row r="598" ht="16.5">
      <c r="C598" s="667"/>
    </row>
    <row r="599" ht="16.5">
      <c r="C599" s="667"/>
    </row>
    <row r="610" spans="2:5" ht="16.5">
      <c r="B610" s="666"/>
      <c r="C610" s="696"/>
      <c r="E610" s="41"/>
    </row>
    <row r="611" ht="16.5">
      <c r="D611" s="697"/>
    </row>
    <row r="660" spans="2:5" ht="16.5">
      <c r="B660" s="653"/>
      <c r="C660" s="667"/>
      <c r="E660" s="698"/>
    </row>
    <row r="661" spans="2:5" ht="16.5">
      <c r="B661" s="666"/>
      <c r="C661" s="696"/>
      <c r="D661" s="695"/>
      <c r="E661" s="41"/>
    </row>
    <row r="662" spans="2:5" ht="16.5">
      <c r="B662" s="653"/>
      <c r="C662" s="696"/>
      <c r="D662" s="697"/>
      <c r="E662" s="50"/>
    </row>
    <row r="663" spans="2:5" ht="16.5">
      <c r="B663" s="666"/>
      <c r="C663" s="696"/>
      <c r="D663" s="697"/>
      <c r="E663" s="41"/>
    </row>
    <row r="664" spans="2:5" ht="16.5">
      <c r="B664" s="653"/>
      <c r="C664" s="667"/>
      <c r="D664" s="697"/>
      <c r="E664" s="41"/>
    </row>
    <row r="665" spans="2:5" ht="17.25">
      <c r="B665" s="692"/>
      <c r="C665" s="693"/>
      <c r="D665" s="695"/>
      <c r="E665" s="41"/>
    </row>
    <row r="666" spans="2:5" ht="17.25">
      <c r="B666" s="653"/>
      <c r="C666" s="667"/>
      <c r="D666" s="694"/>
      <c r="E666" s="41"/>
    </row>
    <row r="667" spans="2:5" ht="17.25">
      <c r="B667" s="653"/>
      <c r="C667" s="668"/>
      <c r="D667" s="699"/>
      <c r="E667" s="41"/>
    </row>
    <row r="668" spans="2:5" ht="17.25">
      <c r="B668" s="653"/>
      <c r="C668" s="667"/>
      <c r="D668" s="700"/>
      <c r="E668" s="41"/>
    </row>
    <row r="669" ht="16.5">
      <c r="D669" s="695"/>
    </row>
    <row r="713" spans="2:5" ht="16.5">
      <c r="B713" s="653"/>
      <c r="C713" s="667"/>
      <c r="E713" s="698"/>
    </row>
    <row r="714" spans="2:5" ht="16.5">
      <c r="B714" s="666"/>
      <c r="C714" s="696"/>
      <c r="D714" s="695"/>
      <c r="E714" s="41"/>
    </row>
    <row r="715" spans="2:5" ht="16.5">
      <c r="B715" s="653"/>
      <c r="C715" s="696"/>
      <c r="D715" s="697"/>
      <c r="E715" s="50"/>
    </row>
    <row r="716" spans="2:5" ht="16.5">
      <c r="B716" s="666"/>
      <c r="C716" s="696"/>
      <c r="D716" s="697"/>
      <c r="E716" s="41"/>
    </row>
    <row r="717" spans="2:5" ht="16.5">
      <c r="B717" s="653"/>
      <c r="C717" s="667"/>
      <c r="D717" s="697"/>
      <c r="E717" s="41"/>
    </row>
    <row r="718" ht="16.5">
      <c r="D718" s="695"/>
    </row>
    <row r="733" ht="16.5">
      <c r="C733" s="667"/>
    </row>
    <row r="754" spans="2:5" ht="16.5">
      <c r="B754" s="653"/>
      <c r="C754" s="667"/>
      <c r="E754" s="41"/>
    </row>
    <row r="755" spans="2:5" ht="17.25">
      <c r="B755" s="653"/>
      <c r="C755" s="668"/>
      <c r="D755" s="695"/>
      <c r="E755" s="681"/>
    </row>
    <row r="756" spans="2:5" ht="17.25">
      <c r="B756" s="653"/>
      <c r="C756" s="668"/>
      <c r="D756" s="700"/>
      <c r="E756" s="681"/>
    </row>
    <row r="757" spans="2:5" ht="17.25">
      <c r="B757" s="653"/>
      <c r="C757" s="667"/>
      <c r="D757" s="700"/>
      <c r="E757" s="41"/>
    </row>
    <row r="758" spans="2:5" ht="17.25">
      <c r="B758" s="653"/>
      <c r="C758" s="668"/>
      <c r="D758" s="695"/>
      <c r="E758" s="41"/>
    </row>
    <row r="759" spans="2:5" ht="17.25">
      <c r="B759" s="653"/>
      <c r="C759" s="667"/>
      <c r="D759" s="700"/>
      <c r="E759" s="41"/>
    </row>
    <row r="760" spans="2:5" ht="16.5">
      <c r="B760" s="653"/>
      <c r="C760" s="667"/>
      <c r="D760" s="695"/>
      <c r="E760" s="41"/>
    </row>
    <row r="761" spans="2:5" ht="16.5">
      <c r="B761" s="653"/>
      <c r="C761" s="667"/>
      <c r="D761" s="695"/>
      <c r="E761" s="41"/>
    </row>
    <row r="762" spans="2:5" ht="16.5">
      <c r="B762" s="653"/>
      <c r="C762" s="667"/>
      <c r="D762" s="695"/>
      <c r="E762" s="41"/>
    </row>
    <row r="763" spans="2:5" ht="16.5">
      <c r="B763" s="653"/>
      <c r="C763" s="667"/>
      <c r="D763" s="695"/>
      <c r="E763" s="41"/>
    </row>
    <row r="764" spans="2:5" ht="17.25">
      <c r="B764" s="653"/>
      <c r="C764" s="668"/>
      <c r="D764" s="695"/>
      <c r="E764" s="681"/>
    </row>
    <row r="765" spans="2:5" ht="17.25">
      <c r="B765" s="653"/>
      <c r="C765" s="667"/>
      <c r="D765" s="700"/>
      <c r="E765" s="41"/>
    </row>
    <row r="766" spans="2:5" ht="16.5">
      <c r="B766" s="653"/>
      <c r="C766" s="667"/>
      <c r="D766" s="695"/>
      <c r="E766" s="41"/>
    </row>
    <row r="767" spans="2:5" ht="16.5">
      <c r="B767" s="653"/>
      <c r="C767" s="667"/>
      <c r="D767" s="695"/>
      <c r="E767" s="698"/>
    </row>
    <row r="768" spans="2:5" ht="16.5">
      <c r="B768" s="666"/>
      <c r="C768" s="696"/>
      <c r="D768" s="695"/>
      <c r="E768" s="41"/>
    </row>
    <row r="769" spans="2:5" ht="16.5">
      <c r="B769" s="653"/>
      <c r="C769" s="696"/>
      <c r="D769" s="697"/>
      <c r="E769" s="50"/>
    </row>
    <row r="770" spans="2:5" ht="16.5">
      <c r="B770" s="666"/>
      <c r="C770" s="696"/>
      <c r="D770" s="697"/>
      <c r="E770" s="41"/>
    </row>
    <row r="771" spans="2:5" ht="16.5">
      <c r="B771" s="653"/>
      <c r="C771" s="667"/>
      <c r="D771" s="697"/>
      <c r="E771" s="41"/>
    </row>
    <row r="772" spans="2:5" ht="17.25">
      <c r="B772" s="653"/>
      <c r="C772" s="668"/>
      <c r="D772" s="695"/>
      <c r="E772" s="41"/>
    </row>
    <row r="773" spans="2:5" ht="17.25">
      <c r="B773" s="653"/>
      <c r="C773" s="667"/>
      <c r="D773" s="700"/>
      <c r="E773" s="41"/>
    </row>
    <row r="774" spans="2:5" ht="16.5">
      <c r="B774" s="653"/>
      <c r="C774" s="667"/>
      <c r="D774" s="695"/>
      <c r="E774" s="41"/>
    </row>
    <row r="775" spans="2:5" ht="16.5">
      <c r="B775" s="653"/>
      <c r="C775" s="667"/>
      <c r="D775" s="695"/>
      <c r="E775" s="41"/>
    </row>
    <row r="776" spans="2:5" ht="16.5">
      <c r="B776" s="653"/>
      <c r="C776" s="667"/>
      <c r="D776" s="695"/>
      <c r="E776" s="41"/>
    </row>
    <row r="777" spans="2:5" ht="17.25">
      <c r="B777" s="653"/>
      <c r="C777" s="668"/>
      <c r="D777" s="695"/>
      <c r="E777" s="681"/>
    </row>
    <row r="778" spans="2:5" ht="17.25">
      <c r="B778" s="653"/>
      <c r="C778" s="667"/>
      <c r="D778" s="700"/>
      <c r="E778" s="41"/>
    </row>
    <row r="779" spans="2:5" ht="17.25">
      <c r="B779" s="653"/>
      <c r="C779" s="668"/>
      <c r="D779" s="695"/>
      <c r="E779" s="41"/>
    </row>
    <row r="780" spans="2:5" ht="17.25">
      <c r="B780" s="653"/>
      <c r="C780" s="667"/>
      <c r="D780" s="700"/>
      <c r="E780" s="41"/>
    </row>
    <row r="781" spans="2:5" ht="16.5">
      <c r="B781" s="653"/>
      <c r="C781" s="667"/>
      <c r="D781" s="695"/>
      <c r="E781" s="41"/>
    </row>
    <row r="782" spans="2:5" ht="16.5">
      <c r="B782" s="653"/>
      <c r="C782" s="667"/>
      <c r="D782" s="695"/>
      <c r="E782" s="41"/>
    </row>
    <row r="783" spans="2:5" ht="16.5">
      <c r="B783" s="653"/>
      <c r="C783" s="667"/>
      <c r="D783" s="695"/>
      <c r="E783" s="41"/>
    </row>
    <row r="784" spans="2:5" ht="16.5">
      <c r="B784" s="653"/>
      <c r="C784" s="667"/>
      <c r="D784" s="695"/>
      <c r="E784" s="41"/>
    </row>
    <row r="785" spans="2:5" ht="16.5">
      <c r="B785" s="653"/>
      <c r="C785" s="667"/>
      <c r="D785" s="695"/>
      <c r="E785" s="41"/>
    </row>
    <row r="786" spans="2:5" ht="16.5">
      <c r="B786" s="653"/>
      <c r="C786" s="667"/>
      <c r="D786" s="695"/>
      <c r="E786" s="41"/>
    </row>
    <row r="787" spans="2:5" ht="16.5">
      <c r="B787" s="653"/>
      <c r="C787" s="667"/>
      <c r="D787" s="695"/>
      <c r="E787" s="41"/>
    </row>
    <row r="788" spans="2:5" ht="16.5">
      <c r="B788" s="653"/>
      <c r="C788" s="667"/>
      <c r="D788" s="695"/>
      <c r="E788" s="41"/>
    </row>
    <row r="789" spans="2:5" ht="16.5">
      <c r="B789" s="653"/>
      <c r="C789" s="667"/>
      <c r="D789" s="695"/>
      <c r="E789" s="41"/>
    </row>
    <row r="790" spans="2:5" ht="16.5">
      <c r="B790" s="653"/>
      <c r="C790" s="667"/>
      <c r="D790" s="695"/>
      <c r="E790" s="41"/>
    </row>
    <row r="791" spans="2:5" ht="16.5">
      <c r="B791" s="653"/>
      <c r="C791" s="667"/>
      <c r="D791" s="695"/>
      <c r="E791" s="41"/>
    </row>
    <row r="792" spans="2:5" ht="16.5">
      <c r="B792" s="653"/>
      <c r="C792" s="667"/>
      <c r="D792" s="695"/>
      <c r="E792" s="41"/>
    </row>
    <row r="793" spans="2:5" ht="16.5">
      <c r="B793" s="653"/>
      <c r="C793" s="667"/>
      <c r="D793" s="695"/>
      <c r="E793" s="41"/>
    </row>
    <row r="794" spans="2:5" ht="17.25">
      <c r="B794" s="653"/>
      <c r="C794" s="668"/>
      <c r="D794" s="695"/>
      <c r="E794" s="681"/>
    </row>
    <row r="795" spans="2:5" ht="17.25">
      <c r="B795" s="653"/>
      <c r="C795" s="667"/>
      <c r="D795" s="700"/>
      <c r="E795" s="41"/>
    </row>
    <row r="796" spans="2:5" ht="17.25">
      <c r="B796" s="653"/>
      <c r="C796" s="668"/>
      <c r="D796" s="695"/>
      <c r="E796" s="41"/>
    </row>
    <row r="797" spans="2:5" ht="17.25">
      <c r="B797" s="653"/>
      <c r="C797" s="667"/>
      <c r="D797" s="700"/>
      <c r="E797" s="41"/>
    </row>
    <row r="798" spans="2:5" ht="16.5">
      <c r="B798" s="653"/>
      <c r="C798" s="667"/>
      <c r="D798" s="695"/>
      <c r="E798" s="41"/>
    </row>
    <row r="799" spans="2:5" ht="16.5">
      <c r="B799" s="653"/>
      <c r="C799" s="667"/>
      <c r="D799" s="695"/>
      <c r="E799" s="41"/>
    </row>
    <row r="800" spans="2:5" ht="16.5">
      <c r="B800" s="653"/>
      <c r="C800" s="667"/>
      <c r="D800" s="695"/>
      <c r="E800" s="41"/>
    </row>
    <row r="801" spans="2:5" ht="16.5">
      <c r="B801" s="653"/>
      <c r="C801" s="667"/>
      <c r="D801" s="695"/>
      <c r="E801" s="41"/>
    </row>
    <row r="802" spans="2:5" ht="16.5">
      <c r="B802" s="653"/>
      <c r="C802" s="667"/>
      <c r="D802" s="695"/>
      <c r="E802" s="41"/>
    </row>
    <row r="803" spans="2:5" ht="16.5">
      <c r="B803" s="653"/>
      <c r="C803" s="667"/>
      <c r="D803" s="695"/>
      <c r="E803" s="41"/>
    </row>
    <row r="804" spans="2:5" ht="16.5">
      <c r="B804" s="653"/>
      <c r="C804" s="667"/>
      <c r="D804" s="695"/>
      <c r="E804" s="41"/>
    </row>
    <row r="805" spans="2:5" ht="16.5">
      <c r="B805" s="653"/>
      <c r="C805" s="667"/>
      <c r="D805" s="695"/>
      <c r="E805" s="41"/>
    </row>
    <row r="806" spans="2:5" ht="16.5">
      <c r="B806" s="653"/>
      <c r="C806" s="667"/>
      <c r="D806" s="695"/>
      <c r="E806" s="41"/>
    </row>
    <row r="807" spans="2:5" ht="16.5">
      <c r="B807" s="653"/>
      <c r="C807" s="667"/>
      <c r="D807" s="695"/>
      <c r="E807" s="41"/>
    </row>
    <row r="808" spans="2:5" ht="16.5">
      <c r="B808" s="653"/>
      <c r="C808" s="667"/>
      <c r="D808" s="695"/>
      <c r="E808" s="41"/>
    </row>
    <row r="809" spans="2:5" ht="16.5">
      <c r="B809" s="653"/>
      <c r="C809" s="667"/>
      <c r="D809" s="695"/>
      <c r="E809" s="41"/>
    </row>
    <row r="810" spans="2:5" ht="16.5">
      <c r="B810" s="653"/>
      <c r="C810" s="667"/>
      <c r="D810" s="695"/>
      <c r="E810" s="41"/>
    </row>
    <row r="811" spans="2:5" ht="16.5">
      <c r="B811" s="653"/>
      <c r="C811" s="667"/>
      <c r="D811" s="695"/>
      <c r="E811" s="41"/>
    </row>
    <row r="812" spans="2:5" ht="16.5">
      <c r="B812" s="653"/>
      <c r="C812" s="667"/>
      <c r="D812" s="695"/>
      <c r="E812" s="41"/>
    </row>
    <row r="813" spans="2:5" ht="16.5">
      <c r="B813" s="653"/>
      <c r="C813" s="667"/>
      <c r="D813" s="695"/>
      <c r="E813" s="41"/>
    </row>
    <row r="814" spans="2:5" ht="16.5">
      <c r="B814" s="653"/>
      <c r="C814" s="667"/>
      <c r="D814" s="695"/>
      <c r="E814" s="41"/>
    </row>
    <row r="815" spans="2:5" ht="16.5">
      <c r="B815" s="653"/>
      <c r="C815" s="667"/>
      <c r="D815" s="695"/>
      <c r="E815" s="41"/>
    </row>
    <row r="816" spans="2:5" ht="16.5">
      <c r="B816" s="653"/>
      <c r="C816" s="667"/>
      <c r="D816" s="695"/>
      <c r="E816" s="41"/>
    </row>
    <row r="817" spans="2:5" ht="16.5">
      <c r="B817" s="653"/>
      <c r="C817" s="667"/>
      <c r="D817" s="695"/>
      <c r="E817" s="41"/>
    </row>
    <row r="818" spans="2:5" ht="16.5">
      <c r="B818" s="653"/>
      <c r="C818" s="667"/>
      <c r="D818" s="695"/>
      <c r="E818" s="41"/>
    </row>
    <row r="819" spans="2:5" ht="16.5">
      <c r="B819" s="653"/>
      <c r="C819" s="667"/>
      <c r="D819" s="695"/>
      <c r="E819" s="41"/>
    </row>
    <row r="820" spans="2:5" ht="16.5">
      <c r="B820" s="653"/>
      <c r="C820" s="667"/>
      <c r="D820" s="695"/>
      <c r="E820" s="41"/>
    </row>
    <row r="821" spans="2:5" ht="16.5">
      <c r="B821" s="653"/>
      <c r="C821" s="667"/>
      <c r="D821" s="695"/>
      <c r="E821" s="41"/>
    </row>
    <row r="822" spans="2:5" ht="16.5">
      <c r="B822" s="653"/>
      <c r="C822" s="667"/>
      <c r="D822" s="695"/>
      <c r="E822" s="41"/>
    </row>
    <row r="823" spans="2:5" ht="16.5">
      <c r="B823" s="653"/>
      <c r="C823" s="667"/>
      <c r="D823" s="695"/>
      <c r="E823" s="41"/>
    </row>
    <row r="824" spans="2:5" ht="16.5">
      <c r="B824" s="653"/>
      <c r="C824" s="667"/>
      <c r="D824" s="695"/>
      <c r="E824" s="41"/>
    </row>
    <row r="825" spans="2:5" ht="16.5">
      <c r="B825" s="653"/>
      <c r="C825" s="667"/>
      <c r="D825" s="695"/>
      <c r="E825" s="41"/>
    </row>
    <row r="826" spans="2:5" ht="16.5">
      <c r="B826" s="653"/>
      <c r="C826" s="667"/>
      <c r="D826" s="695"/>
      <c r="E826" s="701"/>
    </row>
    <row r="827" spans="2:5" ht="17.25">
      <c r="B827" s="653"/>
      <c r="C827" s="668"/>
      <c r="D827" s="695"/>
      <c r="E827" s="681"/>
    </row>
    <row r="828" spans="2:5" ht="17.25">
      <c r="B828" s="653"/>
      <c r="C828" s="667"/>
      <c r="D828" s="700"/>
      <c r="E828" s="41"/>
    </row>
    <row r="829" spans="2:5" ht="17.25">
      <c r="B829" s="653"/>
      <c r="C829" s="668"/>
      <c r="D829" s="695"/>
      <c r="E829" s="41"/>
    </row>
    <row r="830" spans="2:5" ht="17.25">
      <c r="B830" s="653"/>
      <c r="C830" s="667"/>
      <c r="D830" s="700"/>
      <c r="E830" s="41"/>
    </row>
    <row r="831" spans="2:5" ht="16.5">
      <c r="B831" s="653"/>
      <c r="C831" s="667"/>
      <c r="D831" s="699"/>
      <c r="E831" s="41"/>
    </row>
    <row r="832" spans="2:5" ht="16.5">
      <c r="B832" s="653"/>
      <c r="C832" s="667"/>
      <c r="D832" s="695"/>
      <c r="E832" s="41"/>
    </row>
    <row r="833" spans="2:5" ht="16.5">
      <c r="B833" s="653"/>
      <c r="C833" s="667"/>
      <c r="D833" s="695"/>
      <c r="E833" s="41"/>
    </row>
    <row r="834" spans="2:5" ht="16.5">
      <c r="B834" s="653"/>
      <c r="C834" s="667"/>
      <c r="D834" s="695"/>
      <c r="E834" s="41"/>
    </row>
    <row r="835" spans="2:5" ht="16.5">
      <c r="B835" s="653"/>
      <c r="C835" s="667"/>
      <c r="D835" s="695"/>
      <c r="E835" s="41"/>
    </row>
    <row r="836" spans="2:5" ht="16.5">
      <c r="B836" s="653"/>
      <c r="C836" s="667"/>
      <c r="D836" s="695"/>
      <c r="E836" s="41"/>
    </row>
    <row r="837" spans="2:5" ht="16.5">
      <c r="B837" s="653"/>
      <c r="C837" s="667"/>
      <c r="D837" s="695"/>
      <c r="E837" s="41"/>
    </row>
    <row r="838" spans="2:5" ht="16.5">
      <c r="B838" s="653"/>
      <c r="C838" s="667"/>
      <c r="D838" s="695"/>
      <c r="E838" s="41"/>
    </row>
    <row r="839" spans="2:5" ht="16.5">
      <c r="B839" s="653"/>
      <c r="C839" s="667"/>
      <c r="D839" s="695"/>
      <c r="E839" s="41"/>
    </row>
    <row r="840" spans="2:5" ht="16.5">
      <c r="B840" s="653"/>
      <c r="C840" s="667"/>
      <c r="D840" s="695"/>
      <c r="E840" s="41"/>
    </row>
    <row r="841" spans="2:5" ht="16.5">
      <c r="B841" s="653"/>
      <c r="C841" s="667"/>
      <c r="D841" s="695"/>
      <c r="E841" s="41"/>
    </row>
    <row r="842" spans="2:5" ht="16.5">
      <c r="B842" s="653"/>
      <c r="C842" s="667"/>
      <c r="D842" s="695"/>
      <c r="E842" s="41"/>
    </row>
    <row r="843" spans="2:5" ht="16.5">
      <c r="B843" s="653"/>
      <c r="C843" s="667"/>
      <c r="D843" s="695"/>
      <c r="E843" s="41"/>
    </row>
    <row r="844" spans="2:5" ht="16.5">
      <c r="B844" s="653"/>
      <c r="C844" s="667"/>
      <c r="D844" s="695"/>
      <c r="E844" s="41"/>
    </row>
    <row r="845" spans="2:5" ht="17.25">
      <c r="B845" s="653"/>
      <c r="C845" s="668"/>
      <c r="D845" s="695"/>
      <c r="E845" s="681"/>
    </row>
    <row r="846" spans="2:5" ht="17.25">
      <c r="B846" s="653"/>
      <c r="C846" s="667"/>
      <c r="D846" s="700"/>
      <c r="E846" s="41"/>
    </row>
    <row r="847" ht="16.5">
      <c r="D847" s="699"/>
    </row>
    <row r="853" ht="16.5">
      <c r="D853" s="648"/>
    </row>
    <row r="860" ht="16.5">
      <c r="E860" s="702"/>
    </row>
    <row r="866" spans="2:5" ht="16.5">
      <c r="B866" s="653"/>
      <c r="C866" s="667"/>
      <c r="E866" s="698"/>
    </row>
    <row r="867" spans="2:5" ht="16.5">
      <c r="B867" s="666"/>
      <c r="C867" s="696"/>
      <c r="D867" s="695"/>
      <c r="E867" s="41"/>
    </row>
    <row r="868" spans="2:5" ht="16.5">
      <c r="B868" s="653"/>
      <c r="C868" s="696"/>
      <c r="D868" s="697"/>
      <c r="E868" s="50"/>
    </row>
    <row r="869" spans="2:5" ht="16.5">
      <c r="B869" s="666"/>
      <c r="C869" s="696"/>
      <c r="D869" s="697"/>
      <c r="E869" s="41"/>
    </row>
    <row r="870" spans="2:5" ht="16.5">
      <c r="B870" s="653"/>
      <c r="C870" s="667"/>
      <c r="D870" s="697"/>
      <c r="E870" s="41"/>
    </row>
    <row r="871" ht="16.5">
      <c r="D871" s="695"/>
    </row>
    <row r="872" ht="16.5">
      <c r="D872" s="648"/>
    </row>
    <row r="880" ht="16.5">
      <c r="E880" s="702"/>
    </row>
    <row r="884" spans="2:5" ht="17.25">
      <c r="B884" s="653"/>
      <c r="C884" s="667"/>
      <c r="E884" s="681"/>
    </row>
    <row r="885" spans="2:5" ht="17.25">
      <c r="B885" s="653"/>
      <c r="C885" s="667"/>
      <c r="D885" s="700"/>
      <c r="E885" s="681"/>
    </row>
    <row r="886" spans="2:5" ht="17.25">
      <c r="B886" s="653"/>
      <c r="C886" s="667"/>
      <c r="D886" s="700"/>
      <c r="E886" s="41"/>
    </row>
    <row r="887" ht="16.5">
      <c r="D887" s="695"/>
    </row>
    <row r="903" ht="17.25">
      <c r="E903" s="629"/>
    </row>
    <row r="904" ht="17.25">
      <c r="D904" s="703"/>
    </row>
    <row r="905" ht="16.5">
      <c r="E905" s="41"/>
    </row>
    <row r="906" spans="4:5" ht="16.5">
      <c r="D906" s="699"/>
      <c r="E906" s="41"/>
    </row>
    <row r="907" spans="4:5" ht="16.5">
      <c r="D907" s="695"/>
      <c r="E907" s="41"/>
    </row>
    <row r="908" spans="4:5" ht="16.5">
      <c r="D908" s="695"/>
      <c r="E908" s="41"/>
    </row>
    <row r="909" spans="4:5" ht="16.5">
      <c r="D909" s="695"/>
      <c r="E909" s="41"/>
    </row>
    <row r="910" spans="4:5" ht="16.5">
      <c r="D910" s="695"/>
      <c r="E910" s="41"/>
    </row>
    <row r="911" spans="4:5" ht="16.5">
      <c r="D911" s="695"/>
      <c r="E911" s="41"/>
    </row>
    <row r="912" spans="4:5" ht="16.5">
      <c r="D912" s="695"/>
      <c r="E912" s="41"/>
    </row>
    <row r="913" spans="4:5" ht="16.5">
      <c r="D913" s="695"/>
      <c r="E913" s="41"/>
    </row>
    <row r="914" spans="4:5" ht="16.5">
      <c r="D914" s="695"/>
      <c r="E914" s="41"/>
    </row>
    <row r="915" spans="4:5" ht="16.5">
      <c r="D915" s="695"/>
      <c r="E915" s="41"/>
    </row>
    <row r="916" spans="4:5" ht="16.5">
      <c r="D916" s="695"/>
      <c r="E916" s="701"/>
    </row>
    <row r="917" spans="4:5" ht="16.5">
      <c r="D917" s="695"/>
      <c r="E917" s="41"/>
    </row>
    <row r="918" spans="4:5" ht="16.5">
      <c r="D918" s="695"/>
      <c r="E918" s="41"/>
    </row>
    <row r="919" spans="2:5" ht="16.5">
      <c r="B919" s="653"/>
      <c r="C919" s="667"/>
      <c r="D919" s="695"/>
      <c r="E919" s="698"/>
    </row>
    <row r="920" spans="2:5" ht="16.5">
      <c r="B920" s="666"/>
      <c r="C920" s="696"/>
      <c r="D920" s="695"/>
      <c r="E920" s="41"/>
    </row>
    <row r="921" spans="2:5" ht="16.5">
      <c r="B921" s="653"/>
      <c r="C921" s="696"/>
      <c r="D921" s="697"/>
      <c r="E921" s="50"/>
    </row>
    <row r="922" spans="2:5" ht="16.5">
      <c r="B922" s="666"/>
      <c r="C922" s="696"/>
      <c r="D922" s="697"/>
      <c r="E922" s="41"/>
    </row>
    <row r="923" spans="2:5" ht="16.5">
      <c r="B923" s="653"/>
      <c r="C923" s="667"/>
      <c r="D923" s="697"/>
      <c r="E923" s="41"/>
    </row>
    <row r="924" ht="16.5">
      <c r="D924" s="695"/>
    </row>
    <row r="925" ht="17.25">
      <c r="D925" s="703"/>
    </row>
    <row r="927" ht="16.5">
      <c r="D927" s="648"/>
    </row>
    <row r="973" spans="2:5" ht="16.5">
      <c r="B973" s="653"/>
      <c r="C973" s="667"/>
      <c r="E973" s="698"/>
    </row>
    <row r="974" spans="2:5" ht="16.5">
      <c r="B974" s="666"/>
      <c r="C974" s="696"/>
      <c r="D974" s="695"/>
      <c r="E974" s="41"/>
    </row>
    <row r="975" spans="2:5" ht="16.5">
      <c r="B975" s="653"/>
      <c r="C975" s="696"/>
      <c r="D975" s="697"/>
      <c r="E975" s="50"/>
    </row>
    <row r="976" spans="2:5" ht="16.5">
      <c r="B976" s="666"/>
      <c r="C976" s="696"/>
      <c r="D976" s="697"/>
      <c r="E976" s="41"/>
    </row>
    <row r="977" spans="2:5" ht="16.5">
      <c r="B977" s="653"/>
      <c r="C977" s="667"/>
      <c r="D977" s="697"/>
      <c r="E977" s="41"/>
    </row>
    <row r="978" spans="2:5" ht="16.5">
      <c r="B978" s="653"/>
      <c r="C978" s="667"/>
      <c r="D978" s="695"/>
      <c r="E978" s="701"/>
    </row>
    <row r="979" spans="4:5" ht="16.5">
      <c r="D979" s="695"/>
      <c r="E979" s="41"/>
    </row>
    <row r="980" spans="4:5" ht="16.5">
      <c r="D980" s="695"/>
      <c r="E980" s="41"/>
    </row>
    <row r="981" spans="4:5" ht="16.5">
      <c r="D981" s="695"/>
      <c r="E981" s="41"/>
    </row>
    <row r="982" spans="4:5" ht="16.5">
      <c r="D982" s="695"/>
      <c r="E982" s="41"/>
    </row>
    <row r="983" spans="4:5" ht="17.25">
      <c r="D983" s="695"/>
      <c r="E983" s="681"/>
    </row>
    <row r="984" spans="4:5" ht="17.25">
      <c r="D984" s="700"/>
      <c r="E984" s="41"/>
    </row>
    <row r="985" spans="4:5" ht="16.5">
      <c r="D985" s="695"/>
      <c r="E985" s="41"/>
    </row>
    <row r="986" spans="4:5" ht="16.5">
      <c r="D986" s="695"/>
      <c r="E986" s="41"/>
    </row>
    <row r="987" spans="4:5" ht="16.5">
      <c r="D987" s="699"/>
      <c r="E987" s="41"/>
    </row>
    <row r="988" spans="4:5" ht="16.5">
      <c r="D988" s="695"/>
      <c r="E988" s="41"/>
    </row>
    <row r="989" spans="4:5" ht="16.5">
      <c r="D989" s="695"/>
      <c r="E989" s="41"/>
    </row>
    <row r="990" spans="4:5" ht="16.5">
      <c r="D990" s="695"/>
      <c r="E990" s="41"/>
    </row>
    <row r="991" spans="4:5" ht="16.5">
      <c r="D991" s="695"/>
      <c r="E991" s="41"/>
    </row>
    <row r="992" spans="4:5" ht="16.5">
      <c r="D992" s="695"/>
      <c r="E992" s="41"/>
    </row>
    <row r="993" spans="4:5" ht="16.5">
      <c r="D993" s="695"/>
      <c r="E993" s="41"/>
    </row>
    <row r="994" spans="4:5" ht="16.5">
      <c r="D994" s="695"/>
      <c r="E994" s="41"/>
    </row>
    <row r="995" ht="16.5">
      <c r="D995" s="699"/>
    </row>
    <row r="1010" ht="16.5">
      <c r="E1010" s="41"/>
    </row>
    <row r="1011" ht="16.5">
      <c r="D1011" s="695"/>
    </row>
    <row r="1013" spans="1:5" s="623" customFormat="1" ht="17.25">
      <c r="A1013" s="611"/>
      <c r="C1013" s="624"/>
      <c r="D1013" s="613"/>
      <c r="E1013" s="704"/>
    </row>
    <row r="1014" ht="17.25">
      <c r="D1014" s="625"/>
    </row>
  </sheetData>
  <sheetProtection/>
  <mergeCells count="3">
    <mergeCell ref="B1:E1"/>
    <mergeCell ref="B2:E2"/>
    <mergeCell ref="B3:E3"/>
  </mergeCells>
  <printOptions horizontalCentered="1"/>
  <pageMargins left="0.7874015748031497" right="0.7874015748031497" top="0.3937007874015748" bottom="0.3937007874015748" header="0.5118110236220472" footer="0.11811023622047245"/>
  <pageSetup horizontalDpi="600" verticalDpi="600" orientation="portrait" paperSize="9" scale="80" r:id="rId1"/>
  <headerFooter alignWithMargins="0">
    <oddFooter>&amp;C- &amp;P -</oddFooter>
  </headerFooter>
  <rowBreaks count="1" manualBreakCount="1">
    <brk id="603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0"/>
  <sheetViews>
    <sheetView view="pageBreakPreview" zoomScaleSheetLayoutView="100" zoomScalePageLayoutView="0" workbookViewId="0" topLeftCell="A1">
      <selection activeCell="B1" sqref="B1:D1"/>
    </sheetView>
  </sheetViews>
  <sheetFormatPr defaultColWidth="31.25390625" defaultRowHeight="12.75"/>
  <cols>
    <col min="1" max="1" width="2.625" style="563" bestFit="1" customWidth="1"/>
    <col min="2" max="2" width="4.75390625" style="104" customWidth="1"/>
    <col min="3" max="3" width="50.75390625" style="139" customWidth="1"/>
    <col min="4" max="6" width="13.75390625" style="106" customWidth="1"/>
    <col min="7" max="7" width="34.875" style="107" customWidth="1"/>
    <col min="8" max="8" width="12.125" style="108" customWidth="1"/>
    <col min="9" max="9" width="12.875" style="108" customWidth="1"/>
    <col min="10" max="16384" width="31.25390625" style="108" customWidth="1"/>
  </cols>
  <sheetData>
    <row r="1" spans="2:5" ht="16.5">
      <c r="B1" s="1476" t="s">
        <v>1211</v>
      </c>
      <c r="C1" s="1476"/>
      <c r="D1" s="1476"/>
      <c r="E1" s="105"/>
    </row>
    <row r="2" spans="3:7" ht="34.5" customHeight="1">
      <c r="C2" s="1477" t="s">
        <v>350</v>
      </c>
      <c r="D2" s="1477"/>
      <c r="E2" s="1477"/>
      <c r="F2" s="1477"/>
      <c r="G2" s="1477"/>
    </row>
    <row r="3" spans="3:7" ht="34.5" customHeight="1">
      <c r="C3" s="1477" t="s">
        <v>351</v>
      </c>
      <c r="D3" s="1477"/>
      <c r="E3" s="1477"/>
      <c r="F3" s="1477"/>
      <c r="G3" s="1477"/>
    </row>
    <row r="4" spans="1:7" s="568" customFormat="1" ht="15" thickBot="1">
      <c r="A4" s="563"/>
      <c r="B4" s="563" t="s">
        <v>1</v>
      </c>
      <c r="C4" s="567" t="s">
        <v>3</v>
      </c>
      <c r="D4" s="107" t="s">
        <v>2</v>
      </c>
      <c r="E4" s="107" t="s">
        <v>4</v>
      </c>
      <c r="F4" s="107" t="s">
        <v>5</v>
      </c>
      <c r="G4" s="107" t="s">
        <v>21</v>
      </c>
    </row>
    <row r="5" spans="2:7" ht="50.25" thickBot="1">
      <c r="B5" s="109" t="s">
        <v>24</v>
      </c>
      <c r="C5" s="110" t="s">
        <v>6</v>
      </c>
      <c r="D5" s="111" t="s">
        <v>353</v>
      </c>
      <c r="E5" s="111" t="s">
        <v>352</v>
      </c>
      <c r="F5" s="111" t="s">
        <v>353</v>
      </c>
      <c r="G5" s="112" t="s">
        <v>354</v>
      </c>
    </row>
    <row r="6" spans="1:7" s="517" customFormat="1" ht="21.75" customHeight="1" thickTop="1">
      <c r="A6" s="564">
        <v>1</v>
      </c>
      <c r="B6" s="513">
        <v>1</v>
      </c>
      <c r="C6" s="514" t="s">
        <v>177</v>
      </c>
      <c r="D6" s="515">
        <v>37</v>
      </c>
      <c r="E6" s="515"/>
      <c r="F6" s="515">
        <v>37</v>
      </c>
      <c r="G6" s="516"/>
    </row>
    <row r="7" spans="1:7" s="521" customFormat="1" ht="21.75" customHeight="1">
      <c r="A7" s="565">
        <v>2</v>
      </c>
      <c r="B7" s="518"/>
      <c r="C7" s="522" t="s">
        <v>553</v>
      </c>
      <c r="D7" s="519">
        <v>0</v>
      </c>
      <c r="E7" s="519"/>
      <c r="F7" s="519">
        <f>SUM(D7:E7)</f>
        <v>0</v>
      </c>
      <c r="G7" s="520"/>
    </row>
    <row r="8" spans="1:7" s="517" customFormat="1" ht="21.75" customHeight="1">
      <c r="A8" s="564">
        <v>3</v>
      </c>
      <c r="B8" s="513">
        <v>2</v>
      </c>
      <c r="C8" s="514" t="s">
        <v>51</v>
      </c>
      <c r="D8" s="515">
        <v>69</v>
      </c>
      <c r="E8" s="515"/>
      <c r="F8" s="515">
        <f aca="true" t="shared" si="0" ref="F8:F33">SUM(D8:E8)</f>
        <v>69</v>
      </c>
      <c r="G8" s="516"/>
    </row>
    <row r="9" spans="1:7" s="521" customFormat="1" ht="26.25" customHeight="1">
      <c r="A9" s="565">
        <v>4</v>
      </c>
      <c r="B9" s="518"/>
      <c r="C9" s="522" t="s">
        <v>553</v>
      </c>
      <c r="D9" s="519">
        <v>0.16</v>
      </c>
      <c r="E9" s="519">
        <v>0.39</v>
      </c>
      <c r="F9" s="519">
        <f t="shared" si="0"/>
        <v>0.55</v>
      </c>
      <c r="G9" s="523" t="s">
        <v>970</v>
      </c>
    </row>
    <row r="10" spans="1:7" s="517" customFormat="1" ht="21.75" customHeight="1">
      <c r="A10" s="564">
        <v>5</v>
      </c>
      <c r="B10" s="513">
        <v>3</v>
      </c>
      <c r="C10" s="514" t="s">
        <v>180</v>
      </c>
      <c r="D10" s="515">
        <v>82.5</v>
      </c>
      <c r="E10" s="515"/>
      <c r="F10" s="515">
        <f t="shared" si="0"/>
        <v>82.5</v>
      </c>
      <c r="G10" s="516"/>
    </row>
    <row r="11" spans="1:7" s="521" customFormat="1" ht="21.75" customHeight="1">
      <c r="A11" s="565">
        <v>6</v>
      </c>
      <c r="B11" s="518"/>
      <c r="C11" s="522" t="s">
        <v>553</v>
      </c>
      <c r="D11" s="519">
        <v>0</v>
      </c>
      <c r="E11" s="519"/>
      <c r="F11" s="519">
        <f t="shared" si="0"/>
        <v>0</v>
      </c>
      <c r="G11" s="520"/>
    </row>
    <row r="12" spans="1:7" s="517" customFormat="1" ht="21.75" customHeight="1">
      <c r="A12" s="564">
        <v>7</v>
      </c>
      <c r="B12" s="513">
        <v>4</v>
      </c>
      <c r="C12" s="514" t="s">
        <v>53</v>
      </c>
      <c r="D12" s="515">
        <v>59</v>
      </c>
      <c r="E12" s="515"/>
      <c r="F12" s="515">
        <f t="shared" si="0"/>
        <v>59</v>
      </c>
      <c r="G12" s="516"/>
    </row>
    <row r="13" spans="1:7" s="521" customFormat="1" ht="21.75" customHeight="1">
      <c r="A13" s="565">
        <v>8</v>
      </c>
      <c r="B13" s="518"/>
      <c r="C13" s="522" t="s">
        <v>553</v>
      </c>
      <c r="D13" s="519">
        <v>0</v>
      </c>
      <c r="E13" s="519"/>
      <c r="F13" s="519">
        <f t="shared" si="0"/>
        <v>0</v>
      </c>
      <c r="G13" s="520"/>
    </row>
    <row r="14" spans="1:7" s="517" customFormat="1" ht="21.75" customHeight="1">
      <c r="A14" s="564">
        <v>9</v>
      </c>
      <c r="B14" s="513">
        <v>5</v>
      </c>
      <c r="C14" s="514" t="s">
        <v>55</v>
      </c>
      <c r="D14" s="515">
        <v>60.5</v>
      </c>
      <c r="E14" s="515"/>
      <c r="F14" s="515">
        <f t="shared" si="0"/>
        <v>60.5</v>
      </c>
      <c r="G14" s="516"/>
    </row>
    <row r="15" spans="1:7" s="521" customFormat="1" ht="21.75" customHeight="1">
      <c r="A15" s="565">
        <v>10</v>
      </c>
      <c r="B15" s="518"/>
      <c r="C15" s="522" t="s">
        <v>553</v>
      </c>
      <c r="D15" s="519">
        <v>0</v>
      </c>
      <c r="E15" s="519"/>
      <c r="F15" s="519">
        <f t="shared" si="0"/>
        <v>0</v>
      </c>
      <c r="G15" s="520"/>
    </row>
    <row r="16" spans="1:7" s="517" customFormat="1" ht="21.75" customHeight="1">
      <c r="A16" s="564">
        <v>11</v>
      </c>
      <c r="B16" s="513">
        <v>6</v>
      </c>
      <c r="C16" s="514" t="s">
        <v>58</v>
      </c>
      <c r="D16" s="515">
        <v>30</v>
      </c>
      <c r="E16" s="515"/>
      <c r="F16" s="515">
        <f t="shared" si="0"/>
        <v>30</v>
      </c>
      <c r="G16" s="516"/>
    </row>
    <row r="17" spans="1:7" s="521" customFormat="1" ht="21.75" customHeight="1">
      <c r="A17" s="565">
        <v>12</v>
      </c>
      <c r="B17" s="518"/>
      <c r="C17" s="522" t="s">
        <v>553</v>
      </c>
      <c r="D17" s="519">
        <v>2</v>
      </c>
      <c r="E17" s="519"/>
      <c r="F17" s="519">
        <f t="shared" si="0"/>
        <v>2</v>
      </c>
      <c r="G17" s="520"/>
    </row>
    <row r="18" spans="1:7" ht="21.75" customHeight="1">
      <c r="A18" s="563">
        <v>13</v>
      </c>
      <c r="B18" s="113">
        <v>7</v>
      </c>
      <c r="C18" s="118" t="s">
        <v>355</v>
      </c>
      <c r="D18" s="114">
        <v>46</v>
      </c>
      <c r="E18" s="114"/>
      <c r="F18" s="114">
        <f t="shared" si="0"/>
        <v>46</v>
      </c>
      <c r="G18" s="115"/>
    </row>
    <row r="19" spans="1:7" s="517" customFormat="1" ht="21.75" customHeight="1">
      <c r="A19" s="564">
        <v>14</v>
      </c>
      <c r="B19" s="513">
        <v>8</v>
      </c>
      <c r="C19" s="514" t="s">
        <v>356</v>
      </c>
      <c r="D19" s="515">
        <v>170</v>
      </c>
      <c r="E19" s="515"/>
      <c r="F19" s="515">
        <f t="shared" si="0"/>
        <v>170</v>
      </c>
      <c r="G19" s="516"/>
    </row>
    <row r="20" spans="1:7" s="521" customFormat="1" ht="28.5" customHeight="1">
      <c r="A20" s="565">
        <v>15</v>
      </c>
      <c r="B20" s="518"/>
      <c r="C20" s="522" t="s">
        <v>553</v>
      </c>
      <c r="D20" s="519">
        <v>0</v>
      </c>
      <c r="E20" s="519">
        <v>0.33</v>
      </c>
      <c r="F20" s="519">
        <f t="shared" si="0"/>
        <v>0.33</v>
      </c>
      <c r="G20" s="523" t="s">
        <v>971</v>
      </c>
    </row>
    <row r="21" spans="1:7" ht="33" customHeight="1">
      <c r="A21" s="563">
        <v>16</v>
      </c>
      <c r="B21" s="113">
        <v>9</v>
      </c>
      <c r="C21" s="118" t="s">
        <v>357</v>
      </c>
      <c r="D21" s="114">
        <v>12.25</v>
      </c>
      <c r="E21" s="114"/>
      <c r="F21" s="114">
        <f t="shared" si="0"/>
        <v>12.25</v>
      </c>
      <c r="G21" s="115"/>
    </row>
    <row r="22" spans="1:7" s="521" customFormat="1" ht="21.75" customHeight="1">
      <c r="A22" s="565">
        <v>17</v>
      </c>
      <c r="B22" s="518"/>
      <c r="C22" s="1372" t="s">
        <v>553</v>
      </c>
      <c r="D22" s="519">
        <v>0.16</v>
      </c>
      <c r="E22" s="519">
        <v>0.39</v>
      </c>
      <c r="F22" s="519">
        <f>SUM(D22:E22)</f>
        <v>0.55</v>
      </c>
      <c r="G22" s="523" t="s">
        <v>970</v>
      </c>
    </row>
    <row r="23" spans="1:7" ht="21.75" customHeight="1">
      <c r="A23" s="563">
        <v>18</v>
      </c>
      <c r="B23" s="113">
        <v>10</v>
      </c>
      <c r="C23" s="118" t="s">
        <v>358</v>
      </c>
      <c r="D23" s="114">
        <v>24.25</v>
      </c>
      <c r="E23" s="114"/>
      <c r="F23" s="114">
        <f t="shared" si="0"/>
        <v>24.25</v>
      </c>
      <c r="G23" s="115"/>
    </row>
    <row r="24" spans="1:7" ht="21.75" customHeight="1">
      <c r="A24" s="563">
        <v>19</v>
      </c>
      <c r="B24" s="113">
        <v>11</v>
      </c>
      <c r="C24" s="118" t="s">
        <v>95</v>
      </c>
      <c r="D24" s="114">
        <v>20</v>
      </c>
      <c r="E24" s="114"/>
      <c r="F24" s="114">
        <f t="shared" si="0"/>
        <v>20</v>
      </c>
      <c r="G24" s="115"/>
    </row>
    <row r="25" spans="1:7" s="517" customFormat="1" ht="21.75" customHeight="1">
      <c r="A25" s="564">
        <v>20</v>
      </c>
      <c r="B25" s="513">
        <v>12</v>
      </c>
      <c r="C25" s="514" t="s">
        <v>97</v>
      </c>
      <c r="D25" s="515">
        <v>50.5</v>
      </c>
      <c r="E25" s="515"/>
      <c r="F25" s="515">
        <f t="shared" si="0"/>
        <v>50.5</v>
      </c>
      <c r="G25" s="516"/>
    </row>
    <row r="26" spans="1:7" s="521" customFormat="1" ht="27.75" customHeight="1">
      <c r="A26" s="565">
        <v>21</v>
      </c>
      <c r="B26" s="518"/>
      <c r="C26" s="522" t="s">
        <v>553</v>
      </c>
      <c r="D26" s="519">
        <v>1.13</v>
      </c>
      <c r="E26" s="519">
        <v>2.17</v>
      </c>
      <c r="F26" s="519">
        <f t="shared" si="0"/>
        <v>3.3</v>
      </c>
      <c r="G26" s="523" t="s">
        <v>973</v>
      </c>
    </row>
    <row r="27" spans="1:7" s="517" customFormat="1" ht="21.75" customHeight="1">
      <c r="A27" s="564">
        <v>22</v>
      </c>
      <c r="B27" s="513">
        <v>13</v>
      </c>
      <c r="C27" s="514" t="s">
        <v>192</v>
      </c>
      <c r="D27" s="515">
        <v>51.85</v>
      </c>
      <c r="E27" s="515"/>
      <c r="F27" s="515">
        <f t="shared" si="0"/>
        <v>51.85</v>
      </c>
      <c r="G27" s="516"/>
    </row>
    <row r="28" spans="1:7" s="521" customFormat="1" ht="21.75" customHeight="1">
      <c r="A28" s="565">
        <v>23</v>
      </c>
      <c r="B28" s="518"/>
      <c r="C28" s="522" t="s">
        <v>553</v>
      </c>
      <c r="D28" s="519">
        <v>28</v>
      </c>
      <c r="E28" s="519"/>
      <c r="F28" s="519">
        <f t="shared" si="0"/>
        <v>28</v>
      </c>
      <c r="G28" s="520"/>
    </row>
    <row r="29" spans="1:7" ht="33" customHeight="1">
      <c r="A29" s="563">
        <v>24</v>
      </c>
      <c r="B29" s="113">
        <v>14</v>
      </c>
      <c r="C29" s="118" t="s">
        <v>359</v>
      </c>
      <c r="D29" s="114">
        <v>20</v>
      </c>
      <c r="E29" s="114"/>
      <c r="F29" s="114">
        <f t="shared" si="0"/>
        <v>20</v>
      </c>
      <c r="G29" s="115"/>
    </row>
    <row r="30" spans="1:7" s="521" customFormat="1" ht="21.75" customHeight="1">
      <c r="A30" s="565">
        <v>25</v>
      </c>
      <c r="B30" s="518"/>
      <c r="C30" s="522" t="s">
        <v>553</v>
      </c>
      <c r="D30" s="519">
        <v>0.32</v>
      </c>
      <c r="E30" s="519">
        <v>0.7</v>
      </c>
      <c r="F30" s="519">
        <f t="shared" si="0"/>
        <v>1.02</v>
      </c>
      <c r="G30" s="523" t="s">
        <v>972</v>
      </c>
    </row>
    <row r="31" spans="1:7" s="517" customFormat="1" ht="21.75" customHeight="1">
      <c r="A31" s="564">
        <v>26</v>
      </c>
      <c r="B31" s="513">
        <v>15</v>
      </c>
      <c r="C31" s="514" t="s">
        <v>99</v>
      </c>
      <c r="D31" s="515">
        <v>102</v>
      </c>
      <c r="E31" s="515"/>
      <c r="F31" s="515">
        <f t="shared" si="0"/>
        <v>102</v>
      </c>
      <c r="G31" s="516"/>
    </row>
    <row r="32" spans="1:7" s="521" customFormat="1" ht="21.75" customHeight="1">
      <c r="A32" s="565">
        <v>27</v>
      </c>
      <c r="B32" s="518"/>
      <c r="C32" s="522" t="s">
        <v>553</v>
      </c>
      <c r="D32" s="519">
        <v>0</v>
      </c>
      <c r="E32" s="519"/>
      <c r="F32" s="519">
        <f t="shared" si="0"/>
        <v>0</v>
      </c>
      <c r="G32" s="520"/>
    </row>
    <row r="33" spans="1:7" ht="21.75" customHeight="1" thickBot="1">
      <c r="A33" s="563">
        <v>28</v>
      </c>
      <c r="B33" s="120">
        <v>16</v>
      </c>
      <c r="C33" s="121" t="s">
        <v>194</v>
      </c>
      <c r="D33" s="122">
        <v>134</v>
      </c>
      <c r="E33" s="122"/>
      <c r="F33" s="122">
        <f t="shared" si="0"/>
        <v>134</v>
      </c>
      <c r="G33" s="123"/>
    </row>
    <row r="34" spans="1:7" ht="30" customHeight="1" thickBot="1" thickTop="1">
      <c r="A34" s="563">
        <v>29</v>
      </c>
      <c r="B34" s="124"/>
      <c r="C34" s="125" t="s">
        <v>360</v>
      </c>
      <c r="D34" s="126">
        <f>SUM(D6:D33)</f>
        <v>1000.62</v>
      </c>
      <c r="E34" s="126">
        <f>SUM(E6:E33)</f>
        <v>3.9799999999999995</v>
      </c>
      <c r="F34" s="126">
        <f>SUM(F6:F33)</f>
        <v>1004.5999999999999</v>
      </c>
      <c r="G34" s="127"/>
    </row>
    <row r="35" spans="1:7" ht="21.75" customHeight="1">
      <c r="A35" s="563">
        <v>30</v>
      </c>
      <c r="B35" s="113">
        <v>17</v>
      </c>
      <c r="C35" s="118" t="s">
        <v>120</v>
      </c>
      <c r="D35" s="114">
        <v>197</v>
      </c>
      <c r="E35" s="114"/>
      <c r="F35" s="114">
        <f>D35+E35</f>
        <v>197</v>
      </c>
      <c r="G35" s="115"/>
    </row>
    <row r="36" spans="1:7" ht="21.75" customHeight="1">
      <c r="A36" s="563">
        <v>31</v>
      </c>
      <c r="B36" s="113">
        <v>18</v>
      </c>
      <c r="C36" s="118" t="s">
        <v>361</v>
      </c>
      <c r="D36" s="1"/>
      <c r="E36" s="1"/>
      <c r="F36" s="1"/>
      <c r="G36" s="119"/>
    </row>
    <row r="37" spans="1:7" s="521" customFormat="1" ht="21.75" customHeight="1" thickBot="1">
      <c r="A37" s="565">
        <v>32</v>
      </c>
      <c r="B37" s="518"/>
      <c r="C37" s="522" t="s">
        <v>553</v>
      </c>
      <c r="D37" s="519">
        <v>12</v>
      </c>
      <c r="E37" s="519"/>
      <c r="F37" s="519">
        <f>D37+E37</f>
        <v>12</v>
      </c>
      <c r="G37" s="523"/>
    </row>
    <row r="38" spans="1:7" ht="30" customHeight="1" thickBot="1">
      <c r="A38" s="563">
        <v>33</v>
      </c>
      <c r="B38" s="524"/>
      <c r="C38" s="525" t="s">
        <v>19</v>
      </c>
      <c r="D38" s="526">
        <f>SUM(D34:D37)</f>
        <v>1209.62</v>
      </c>
      <c r="E38" s="526">
        <f>SUM(E34:E37)</f>
        <v>3.9799999999999995</v>
      </c>
      <c r="F38" s="526">
        <f>SUM(F34:F37)</f>
        <v>1213.6</v>
      </c>
      <c r="G38" s="527"/>
    </row>
    <row r="39" spans="1:7" ht="16.5" customHeight="1">
      <c r="A39" s="563">
        <v>34</v>
      </c>
      <c r="B39" s="113"/>
      <c r="C39" s="116" t="s">
        <v>362</v>
      </c>
      <c r="D39" s="114"/>
      <c r="E39" s="114"/>
      <c r="F39" s="114"/>
      <c r="G39" s="115"/>
    </row>
    <row r="40" spans="1:7" ht="16.5" customHeight="1" thickBot="1">
      <c r="A40" s="563">
        <v>35</v>
      </c>
      <c r="B40" s="124"/>
      <c r="C40" s="528" t="s">
        <v>553</v>
      </c>
      <c r="D40" s="128">
        <f>+D7+D9+D11+D13+D15+D17+D20+D22+D26+D28+D30+D32+D37</f>
        <v>43.769999999999996</v>
      </c>
      <c r="E40" s="128">
        <f>+E7+E9+E11+E13+E15+E17+E20+E26+E28+E30+E32+E37+E22</f>
        <v>3.98</v>
      </c>
      <c r="F40" s="128">
        <f>+F7+F9+F11+F13+F15+F17+F20+F26+F28+F30+F32+F37+F22</f>
        <v>47.75</v>
      </c>
      <c r="G40" s="129"/>
    </row>
    <row r="42" spans="3:7" ht="16.5">
      <c r="C42" s="130"/>
      <c r="D42" s="114"/>
      <c r="E42" s="114"/>
      <c r="F42" s="114"/>
      <c r="G42" s="131"/>
    </row>
    <row r="43" spans="3:7" ht="16.5">
      <c r="C43" s="132"/>
      <c r="D43" s="133"/>
      <c r="E43" s="133"/>
      <c r="F43" s="133"/>
      <c r="G43" s="131"/>
    </row>
    <row r="44" spans="3:7" ht="16.5">
      <c r="C44" s="132"/>
      <c r="D44" s="133"/>
      <c r="E44" s="133"/>
      <c r="F44" s="133"/>
      <c r="G44" s="131"/>
    </row>
    <row r="45" spans="3:7" ht="16.5">
      <c r="C45" s="132"/>
      <c r="D45" s="133"/>
      <c r="E45" s="133"/>
      <c r="F45" s="133"/>
      <c r="G45" s="131"/>
    </row>
    <row r="46" spans="3:7" ht="16.5">
      <c r="C46" s="130"/>
      <c r="D46" s="114"/>
      <c r="E46" s="114"/>
      <c r="F46" s="114"/>
      <c r="G46" s="131"/>
    </row>
    <row r="47" spans="3:7" ht="16.5">
      <c r="C47" s="130"/>
      <c r="D47" s="114"/>
      <c r="E47" s="114"/>
      <c r="F47" s="114"/>
      <c r="G47" s="131"/>
    </row>
    <row r="48" spans="3:7" ht="16.5">
      <c r="C48" s="130"/>
      <c r="D48" s="114"/>
      <c r="E48" s="114"/>
      <c r="F48" s="114"/>
      <c r="G48" s="131"/>
    </row>
    <row r="51" spans="1:7" s="117" customFormat="1" ht="17.25">
      <c r="A51" s="566"/>
      <c r="B51" s="134"/>
      <c r="C51" s="135"/>
      <c r="D51" s="136"/>
      <c r="E51" s="136"/>
      <c r="F51" s="136"/>
      <c r="G51" s="137"/>
    </row>
    <row r="53" spans="1:7" s="117" customFormat="1" ht="17.25">
      <c r="A53" s="566"/>
      <c r="B53" s="134"/>
      <c r="C53" s="135"/>
      <c r="D53" s="136"/>
      <c r="E53" s="136"/>
      <c r="F53" s="136"/>
      <c r="G53" s="137"/>
    </row>
    <row r="56" spans="1:7" s="117" customFormat="1" ht="17.25">
      <c r="A56" s="566"/>
      <c r="B56" s="134"/>
      <c r="C56" s="135"/>
      <c r="D56" s="136"/>
      <c r="E56" s="136"/>
      <c r="F56" s="136"/>
      <c r="G56" s="137"/>
    </row>
    <row r="74" spans="1:7" s="117" customFormat="1" ht="17.25">
      <c r="A74" s="566"/>
      <c r="B74" s="134"/>
      <c r="C74" s="135"/>
      <c r="D74" s="136"/>
      <c r="E74" s="136"/>
      <c r="F74" s="136"/>
      <c r="G74" s="137"/>
    </row>
    <row r="83" ht="16.5">
      <c r="D83" s="138"/>
    </row>
    <row r="84" ht="16.5">
      <c r="D84" s="138"/>
    </row>
    <row r="85" ht="16.5">
      <c r="D85" s="138"/>
    </row>
    <row r="86" ht="16.5">
      <c r="D86" s="138"/>
    </row>
    <row r="87" ht="16.5">
      <c r="D87" s="138"/>
    </row>
    <row r="88" ht="16.5">
      <c r="D88" s="138"/>
    </row>
    <row r="89" ht="16.5">
      <c r="D89" s="138"/>
    </row>
    <row r="90" ht="16.5">
      <c r="D90" s="138"/>
    </row>
  </sheetData>
  <sheetProtection/>
  <mergeCells count="3">
    <mergeCell ref="B1:D1"/>
    <mergeCell ref="C2:G2"/>
    <mergeCell ref="C3:G3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portrait" paperSize="9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58"/>
  <sheetViews>
    <sheetView view="pageBreakPreview" zoomScale="85" zoomScaleSheetLayoutView="85" zoomScalePageLayoutView="0" workbookViewId="0" topLeftCell="A1">
      <selection activeCell="B1" sqref="B1:M1"/>
    </sheetView>
  </sheetViews>
  <sheetFormatPr defaultColWidth="9.125" defaultRowHeight="12.75"/>
  <cols>
    <col min="1" max="1" width="3.375" style="941" bestFit="1" customWidth="1"/>
    <col min="2" max="2" width="3.75390625" style="595" customWidth="1"/>
    <col min="3" max="3" width="34.00390625" style="151" bestFit="1" customWidth="1"/>
    <col min="4" max="4" width="7.75390625" style="151" bestFit="1" customWidth="1"/>
    <col min="5" max="5" width="6.375" style="151" bestFit="1" customWidth="1"/>
    <col min="6" max="6" width="7.00390625" style="151" bestFit="1" customWidth="1"/>
    <col min="7" max="7" width="11.375" style="151" bestFit="1" customWidth="1"/>
    <col min="8" max="8" width="10.125" style="151" bestFit="1" customWidth="1"/>
    <col min="9" max="9" width="11.00390625" style="151" bestFit="1" customWidth="1"/>
    <col min="10" max="10" width="12.625" style="151" bestFit="1" customWidth="1"/>
    <col min="11" max="11" width="6.25390625" style="151" bestFit="1" customWidth="1"/>
    <col min="12" max="12" width="6.25390625" style="151" customWidth="1"/>
    <col min="13" max="13" width="12.75390625" style="151" bestFit="1" customWidth="1"/>
    <col min="14" max="14" width="12.125" style="151" bestFit="1" customWidth="1"/>
    <col min="15" max="15" width="10.875" style="151" customWidth="1"/>
    <col min="16" max="16" width="9.25390625" style="151" customWidth="1"/>
    <col min="17" max="17" width="10.375" style="151" bestFit="1" customWidth="1"/>
    <col min="18" max="18" width="10.25390625" style="151" customWidth="1"/>
    <col min="19" max="16384" width="9.125" style="151" customWidth="1"/>
  </cols>
  <sheetData>
    <row r="1" spans="1:17" s="149" customFormat="1" ht="31.5" customHeight="1">
      <c r="A1" s="938"/>
      <c r="B1" s="1482" t="s">
        <v>1212</v>
      </c>
      <c r="C1" s="1482"/>
      <c r="D1" s="1482"/>
      <c r="E1" s="1482"/>
      <c r="F1" s="1482"/>
      <c r="G1" s="1482"/>
      <c r="H1" s="1482"/>
      <c r="I1" s="1482"/>
      <c r="J1" s="1482"/>
      <c r="K1" s="1482"/>
      <c r="L1" s="1482"/>
      <c r="M1" s="1482"/>
      <c r="N1" s="1479"/>
      <c r="O1" s="1479"/>
      <c r="P1" s="1479"/>
      <c r="Q1" s="1479"/>
    </row>
    <row r="2" spans="1:17" s="940" customFormat="1" ht="24.75" customHeight="1">
      <c r="A2" s="939"/>
      <c r="B2" s="1480" t="s">
        <v>678</v>
      </c>
      <c r="C2" s="1480"/>
      <c r="D2" s="1480"/>
      <c r="E2" s="1480"/>
      <c r="F2" s="1480"/>
      <c r="G2" s="1480"/>
      <c r="H2" s="1480"/>
      <c r="I2" s="1480"/>
      <c r="J2" s="1480"/>
      <c r="K2" s="1480"/>
      <c r="L2" s="1480"/>
      <c r="M2" s="1480"/>
      <c r="N2" s="1480"/>
      <c r="O2" s="1480"/>
      <c r="P2" s="1480"/>
      <c r="Q2" s="1480"/>
    </row>
    <row r="3" spans="1:17" s="940" customFormat="1" ht="24.75" customHeight="1">
      <c r="A3" s="939"/>
      <c r="B3" s="1480" t="s">
        <v>603</v>
      </c>
      <c r="C3" s="1480"/>
      <c r="D3" s="1480"/>
      <c r="E3" s="1480"/>
      <c r="F3" s="1480"/>
      <c r="G3" s="1480"/>
      <c r="H3" s="1480"/>
      <c r="I3" s="1480"/>
      <c r="J3" s="1480"/>
      <c r="K3" s="1480"/>
      <c r="L3" s="1480"/>
      <c r="M3" s="1480"/>
      <c r="N3" s="1480"/>
      <c r="O3" s="1480"/>
      <c r="P3" s="1480"/>
      <c r="Q3" s="1480"/>
    </row>
    <row r="4" spans="15:17" ht="17.25">
      <c r="O4" s="1481" t="s">
        <v>0</v>
      </c>
      <c r="P4" s="1481"/>
      <c r="Q4" s="1481"/>
    </row>
    <row r="5" spans="1:17" s="229" customFormat="1" ht="17.25" thickBot="1">
      <c r="A5" s="941"/>
      <c r="B5" s="1478" t="s">
        <v>1</v>
      </c>
      <c r="C5" s="1478"/>
      <c r="D5" s="229" t="s">
        <v>3</v>
      </c>
      <c r="E5" s="229" t="s">
        <v>2</v>
      </c>
      <c r="F5" s="229" t="s">
        <v>4</v>
      </c>
      <c r="G5" s="229" t="s">
        <v>5</v>
      </c>
      <c r="H5" s="229" t="s">
        <v>21</v>
      </c>
      <c r="I5" s="229" t="s">
        <v>22</v>
      </c>
      <c r="J5" s="229" t="s">
        <v>23</v>
      </c>
      <c r="K5" s="229" t="s">
        <v>201</v>
      </c>
      <c r="L5" s="229" t="s">
        <v>129</v>
      </c>
      <c r="M5" s="229" t="s">
        <v>31</v>
      </c>
      <c r="N5" s="229" t="s">
        <v>202</v>
      </c>
      <c r="O5" s="229" t="s">
        <v>203</v>
      </c>
      <c r="P5" s="229" t="s">
        <v>407</v>
      </c>
      <c r="Q5" s="229" t="s">
        <v>408</v>
      </c>
    </row>
    <row r="6" spans="1:17" s="692" customFormat="1" ht="24.75" customHeight="1" thickBot="1">
      <c r="A6" s="1485"/>
      <c r="B6" s="1486" t="s">
        <v>646</v>
      </c>
      <c r="C6" s="1487"/>
      <c r="D6" s="1483" t="s">
        <v>647</v>
      </c>
      <c r="E6" s="1490" t="s">
        <v>648</v>
      </c>
      <c r="F6" s="942" t="s">
        <v>649</v>
      </c>
      <c r="G6" s="1483" t="s">
        <v>650</v>
      </c>
      <c r="H6" s="1112" t="s">
        <v>755</v>
      </c>
      <c r="I6" s="1112" t="s">
        <v>651</v>
      </c>
      <c r="J6" s="1112" t="s">
        <v>652</v>
      </c>
      <c r="K6" s="1112" t="s">
        <v>653</v>
      </c>
      <c r="L6" s="1112" t="s">
        <v>654</v>
      </c>
      <c r="M6" s="1112" t="s">
        <v>655</v>
      </c>
      <c r="N6" s="942" t="s">
        <v>656</v>
      </c>
      <c r="O6" s="1492" t="s">
        <v>657</v>
      </c>
      <c r="P6" s="1493"/>
      <c r="Q6" s="1483" t="s">
        <v>363</v>
      </c>
    </row>
    <row r="7" spans="1:17" s="692" customFormat="1" ht="38.25" customHeight="1" thickBot="1">
      <c r="A7" s="1485"/>
      <c r="B7" s="1488"/>
      <c r="C7" s="1489"/>
      <c r="D7" s="1484"/>
      <c r="E7" s="1491"/>
      <c r="F7" s="943" t="s">
        <v>658</v>
      </c>
      <c r="G7" s="1484"/>
      <c r="H7" s="1113" t="s">
        <v>754</v>
      </c>
      <c r="I7" s="1113" t="s">
        <v>659</v>
      </c>
      <c r="J7" s="1113" t="s">
        <v>660</v>
      </c>
      <c r="K7" s="1113" t="s">
        <v>661</v>
      </c>
      <c r="L7" s="1113"/>
      <c r="M7" s="1113" t="s">
        <v>662</v>
      </c>
      <c r="N7" s="943" t="s">
        <v>663</v>
      </c>
      <c r="O7" s="944" t="s">
        <v>664</v>
      </c>
      <c r="P7" s="944" t="s">
        <v>1198</v>
      </c>
      <c r="Q7" s="1484"/>
    </row>
    <row r="8" spans="1:17" s="653" customFormat="1" ht="34.5" customHeight="1">
      <c r="A8" s="945">
        <v>1</v>
      </c>
      <c r="B8" s="1349" t="s">
        <v>665</v>
      </c>
      <c r="C8" s="653" t="s">
        <v>1199</v>
      </c>
      <c r="D8" s="698"/>
      <c r="E8" s="698"/>
      <c r="F8" s="698"/>
      <c r="G8" s="698"/>
      <c r="H8" s="698"/>
      <c r="I8" s="698"/>
      <c r="J8" s="698"/>
      <c r="K8" s="698"/>
      <c r="L8" s="698"/>
      <c r="M8" s="698"/>
      <c r="N8" s="698"/>
      <c r="O8" s="698">
        <v>2000</v>
      </c>
      <c r="P8" s="698">
        <v>205</v>
      </c>
      <c r="Q8" s="1350">
        <f>SUM(D8:P8)</f>
        <v>2205</v>
      </c>
    </row>
    <row r="9" spans="1:17" s="683" customFormat="1" ht="17.25">
      <c r="A9" s="945">
        <v>2</v>
      </c>
      <c r="B9" s="953"/>
      <c r="C9" s="683" t="s">
        <v>666</v>
      </c>
      <c r="D9" s="946"/>
      <c r="E9" s="946"/>
      <c r="F9" s="946"/>
      <c r="G9" s="946"/>
      <c r="H9" s="946"/>
      <c r="I9" s="946">
        <v>260</v>
      </c>
      <c r="J9" s="946"/>
      <c r="K9" s="946">
        <v>100</v>
      </c>
      <c r="L9" s="946"/>
      <c r="M9" s="946">
        <v>920</v>
      </c>
      <c r="N9" s="946">
        <v>720</v>
      </c>
      <c r="O9" s="946">
        <v>-1795</v>
      </c>
      <c r="P9" s="946">
        <v>-205</v>
      </c>
      <c r="Q9" s="954">
        <f aca="true" t="shared" si="0" ref="Q9:Q43">SUM(D9:P9)</f>
        <v>0</v>
      </c>
    </row>
    <row r="10" spans="1:17" s="595" customFormat="1" ht="17.25">
      <c r="A10" s="941">
        <v>3</v>
      </c>
      <c r="B10" s="1349"/>
      <c r="C10" s="609" t="s">
        <v>637</v>
      </c>
      <c r="D10" s="947">
        <f aca="true" t="shared" si="1" ref="D10:P10">SUM(D8:D9)</f>
        <v>0</v>
      </c>
      <c r="E10" s="947">
        <f t="shared" si="1"/>
        <v>0</v>
      </c>
      <c r="F10" s="947">
        <f t="shared" si="1"/>
        <v>0</v>
      </c>
      <c r="G10" s="947">
        <f t="shared" si="1"/>
        <v>0</v>
      </c>
      <c r="H10" s="947">
        <f t="shared" si="1"/>
        <v>0</v>
      </c>
      <c r="I10" s="947">
        <f t="shared" si="1"/>
        <v>260</v>
      </c>
      <c r="J10" s="947">
        <f t="shared" si="1"/>
        <v>0</v>
      </c>
      <c r="K10" s="947">
        <f t="shared" si="1"/>
        <v>100</v>
      </c>
      <c r="L10" s="947">
        <f t="shared" si="1"/>
        <v>0</v>
      </c>
      <c r="M10" s="947">
        <f t="shared" si="1"/>
        <v>920</v>
      </c>
      <c r="N10" s="947">
        <f t="shared" si="1"/>
        <v>720</v>
      </c>
      <c r="O10" s="947">
        <f t="shared" si="1"/>
        <v>205</v>
      </c>
      <c r="P10" s="947">
        <f t="shared" si="1"/>
        <v>0</v>
      </c>
      <c r="Q10" s="1351">
        <f t="shared" si="0"/>
        <v>2205</v>
      </c>
    </row>
    <row r="11" spans="1:17" s="653" customFormat="1" ht="34.5" customHeight="1">
      <c r="A11" s="945">
        <v>4</v>
      </c>
      <c r="B11" s="1349" t="s">
        <v>371</v>
      </c>
      <c r="C11" s="653" t="s">
        <v>1199</v>
      </c>
      <c r="D11" s="698"/>
      <c r="E11" s="698"/>
      <c r="F11" s="698"/>
      <c r="G11" s="698"/>
      <c r="H11" s="698"/>
      <c r="I11" s="698"/>
      <c r="J11" s="698"/>
      <c r="K11" s="698"/>
      <c r="L11" s="698"/>
      <c r="M11" s="698"/>
      <c r="N11" s="698"/>
      <c r="O11" s="698">
        <v>2000</v>
      </c>
      <c r="P11" s="698">
        <v>377</v>
      </c>
      <c r="Q11" s="1350">
        <f t="shared" si="0"/>
        <v>2377</v>
      </c>
    </row>
    <row r="12" spans="1:17" s="683" customFormat="1" ht="17.25">
      <c r="A12" s="941">
        <v>5</v>
      </c>
      <c r="B12" s="953"/>
      <c r="C12" s="683" t="s">
        <v>666</v>
      </c>
      <c r="D12" s="946">
        <v>200</v>
      </c>
      <c r="E12" s="946"/>
      <c r="F12" s="946"/>
      <c r="G12" s="946"/>
      <c r="H12" s="946"/>
      <c r="I12" s="946"/>
      <c r="J12" s="946"/>
      <c r="K12" s="946"/>
      <c r="L12" s="946"/>
      <c r="M12" s="946"/>
      <c r="N12" s="946"/>
      <c r="O12" s="946"/>
      <c r="P12" s="698">
        <v>-200</v>
      </c>
      <c r="Q12" s="954">
        <f t="shared" si="0"/>
        <v>0</v>
      </c>
    </row>
    <row r="13" spans="1:17" s="595" customFormat="1" ht="17.25">
      <c r="A13" s="945">
        <v>6</v>
      </c>
      <c r="B13" s="1349"/>
      <c r="C13" s="609" t="s">
        <v>637</v>
      </c>
      <c r="D13" s="947">
        <f aca="true" t="shared" si="2" ref="D13:P13">SUM(D11:D12)</f>
        <v>200</v>
      </c>
      <c r="E13" s="947">
        <f t="shared" si="2"/>
        <v>0</v>
      </c>
      <c r="F13" s="947">
        <f t="shared" si="2"/>
        <v>0</v>
      </c>
      <c r="G13" s="947">
        <f t="shared" si="2"/>
        <v>0</v>
      </c>
      <c r="H13" s="947">
        <f t="shared" si="2"/>
        <v>0</v>
      </c>
      <c r="I13" s="947">
        <f t="shared" si="2"/>
        <v>0</v>
      </c>
      <c r="J13" s="947">
        <f t="shared" si="2"/>
        <v>0</v>
      </c>
      <c r="K13" s="947">
        <f t="shared" si="2"/>
        <v>0</v>
      </c>
      <c r="L13" s="947">
        <f t="shared" si="2"/>
        <v>0</v>
      </c>
      <c r="M13" s="947">
        <f t="shared" si="2"/>
        <v>0</v>
      </c>
      <c r="N13" s="947">
        <f t="shared" si="2"/>
        <v>0</v>
      </c>
      <c r="O13" s="947">
        <f t="shared" si="2"/>
        <v>2000</v>
      </c>
      <c r="P13" s="947">
        <f t="shared" si="2"/>
        <v>177</v>
      </c>
      <c r="Q13" s="1351">
        <f t="shared" si="0"/>
        <v>2377</v>
      </c>
    </row>
    <row r="14" spans="1:17" s="653" customFormat="1" ht="34.5" customHeight="1">
      <c r="A14" s="941">
        <v>7</v>
      </c>
      <c r="B14" s="1349" t="s">
        <v>667</v>
      </c>
      <c r="C14" s="653" t="s">
        <v>1199</v>
      </c>
      <c r="D14" s="698"/>
      <c r="E14" s="698"/>
      <c r="F14" s="698"/>
      <c r="G14" s="698"/>
      <c r="H14" s="698"/>
      <c r="I14" s="698"/>
      <c r="J14" s="698"/>
      <c r="K14" s="698"/>
      <c r="L14" s="698"/>
      <c r="M14" s="698"/>
      <c r="N14" s="698"/>
      <c r="O14" s="698">
        <v>2000</v>
      </c>
      <c r="P14" s="698">
        <v>116</v>
      </c>
      <c r="Q14" s="1350">
        <f t="shared" si="0"/>
        <v>2116</v>
      </c>
    </row>
    <row r="15" spans="1:17" s="683" customFormat="1" ht="17.25">
      <c r="A15" s="945">
        <v>8</v>
      </c>
      <c r="B15" s="953"/>
      <c r="C15" s="683" t="s">
        <v>666</v>
      </c>
      <c r="D15" s="946">
        <v>50</v>
      </c>
      <c r="E15" s="946"/>
      <c r="F15" s="946"/>
      <c r="G15" s="946">
        <v>200</v>
      </c>
      <c r="H15" s="946"/>
      <c r="I15" s="946">
        <v>40</v>
      </c>
      <c r="J15" s="946"/>
      <c r="K15" s="946"/>
      <c r="L15" s="946"/>
      <c r="M15" s="946"/>
      <c r="N15" s="946"/>
      <c r="O15" s="946">
        <v>-174</v>
      </c>
      <c r="P15" s="698">
        <v>-116</v>
      </c>
      <c r="Q15" s="954">
        <f t="shared" si="0"/>
        <v>0</v>
      </c>
    </row>
    <row r="16" spans="1:17" s="595" customFormat="1" ht="17.25">
      <c r="A16" s="941">
        <v>9</v>
      </c>
      <c r="B16" s="1349"/>
      <c r="C16" s="609" t="s">
        <v>637</v>
      </c>
      <c r="D16" s="947">
        <f aca="true" t="shared" si="3" ref="D16:P16">SUM(D14:D15)</f>
        <v>50</v>
      </c>
      <c r="E16" s="947">
        <f t="shared" si="3"/>
        <v>0</v>
      </c>
      <c r="F16" s="947">
        <f t="shared" si="3"/>
        <v>0</v>
      </c>
      <c r="G16" s="947">
        <f t="shared" si="3"/>
        <v>200</v>
      </c>
      <c r="H16" s="947">
        <f t="shared" si="3"/>
        <v>0</v>
      </c>
      <c r="I16" s="947">
        <f t="shared" si="3"/>
        <v>40</v>
      </c>
      <c r="J16" s="947">
        <f t="shared" si="3"/>
        <v>0</v>
      </c>
      <c r="K16" s="947">
        <f t="shared" si="3"/>
        <v>0</v>
      </c>
      <c r="L16" s="947">
        <f t="shared" si="3"/>
        <v>0</v>
      </c>
      <c r="M16" s="947">
        <f t="shared" si="3"/>
        <v>0</v>
      </c>
      <c r="N16" s="947">
        <f t="shared" si="3"/>
        <v>0</v>
      </c>
      <c r="O16" s="947">
        <f t="shared" si="3"/>
        <v>1826</v>
      </c>
      <c r="P16" s="947">
        <f t="shared" si="3"/>
        <v>0</v>
      </c>
      <c r="Q16" s="1351">
        <f t="shared" si="0"/>
        <v>2116</v>
      </c>
    </row>
    <row r="17" spans="1:17" s="653" customFormat="1" ht="34.5" customHeight="1">
      <c r="A17" s="945">
        <v>10</v>
      </c>
      <c r="B17" s="1349" t="s">
        <v>668</v>
      </c>
      <c r="C17" s="653" t="s">
        <v>1199</v>
      </c>
      <c r="D17" s="698"/>
      <c r="E17" s="698"/>
      <c r="F17" s="698"/>
      <c r="G17" s="698"/>
      <c r="H17" s="698"/>
      <c r="I17" s="698"/>
      <c r="J17" s="698"/>
      <c r="K17" s="698"/>
      <c r="L17" s="698"/>
      <c r="M17" s="698"/>
      <c r="N17" s="698"/>
      <c r="O17" s="698">
        <v>2000</v>
      </c>
      <c r="P17" s="698">
        <v>1135</v>
      </c>
      <c r="Q17" s="1350">
        <f t="shared" si="0"/>
        <v>3135</v>
      </c>
    </row>
    <row r="18" spans="1:17" s="683" customFormat="1" ht="17.25">
      <c r="A18" s="941">
        <v>11</v>
      </c>
      <c r="B18" s="953"/>
      <c r="C18" s="683" t="s">
        <v>666</v>
      </c>
      <c r="D18" s="946">
        <v>390</v>
      </c>
      <c r="E18" s="946"/>
      <c r="F18" s="946"/>
      <c r="G18" s="946">
        <f>100+172</f>
        <v>272</v>
      </c>
      <c r="H18" s="946"/>
      <c r="I18" s="946">
        <v>40</v>
      </c>
      <c r="J18" s="946"/>
      <c r="K18" s="946"/>
      <c r="L18" s="946"/>
      <c r="M18" s="946">
        <v>230</v>
      </c>
      <c r="N18" s="946"/>
      <c r="O18" s="946"/>
      <c r="P18" s="698">
        <v>-932</v>
      </c>
      <c r="Q18" s="954">
        <f t="shared" si="0"/>
        <v>0</v>
      </c>
    </row>
    <row r="19" spans="1:17" s="595" customFormat="1" ht="17.25">
      <c r="A19" s="945">
        <v>12</v>
      </c>
      <c r="B19" s="1349"/>
      <c r="C19" s="609" t="s">
        <v>637</v>
      </c>
      <c r="D19" s="947">
        <f aca="true" t="shared" si="4" ref="D19:P19">SUM(D17:D18)</f>
        <v>390</v>
      </c>
      <c r="E19" s="947">
        <f t="shared" si="4"/>
        <v>0</v>
      </c>
      <c r="F19" s="947">
        <f t="shared" si="4"/>
        <v>0</v>
      </c>
      <c r="G19" s="947">
        <f t="shared" si="4"/>
        <v>272</v>
      </c>
      <c r="H19" s="947">
        <f t="shared" si="4"/>
        <v>0</v>
      </c>
      <c r="I19" s="947">
        <f t="shared" si="4"/>
        <v>40</v>
      </c>
      <c r="J19" s="947">
        <f t="shared" si="4"/>
        <v>0</v>
      </c>
      <c r="K19" s="947">
        <f t="shared" si="4"/>
        <v>0</v>
      </c>
      <c r="L19" s="947">
        <f t="shared" si="4"/>
        <v>0</v>
      </c>
      <c r="M19" s="947">
        <f t="shared" si="4"/>
        <v>230</v>
      </c>
      <c r="N19" s="947">
        <f t="shared" si="4"/>
        <v>0</v>
      </c>
      <c r="O19" s="947">
        <f t="shared" si="4"/>
        <v>2000</v>
      </c>
      <c r="P19" s="947">
        <f t="shared" si="4"/>
        <v>203</v>
      </c>
      <c r="Q19" s="1351">
        <f t="shared" si="0"/>
        <v>3135</v>
      </c>
    </row>
    <row r="20" spans="1:18" s="653" customFormat="1" ht="34.5" customHeight="1">
      <c r="A20" s="941">
        <v>13</v>
      </c>
      <c r="B20" s="1349" t="s">
        <v>669</v>
      </c>
      <c r="C20" s="653" t="s">
        <v>1199</v>
      </c>
      <c r="D20" s="698"/>
      <c r="E20" s="698"/>
      <c r="F20" s="698"/>
      <c r="G20" s="698"/>
      <c r="H20" s="698"/>
      <c r="I20" s="698"/>
      <c r="J20" s="698"/>
      <c r="K20" s="698"/>
      <c r="L20" s="698"/>
      <c r="M20" s="698"/>
      <c r="N20" s="698"/>
      <c r="O20" s="698">
        <v>2000</v>
      </c>
      <c r="P20" s="698">
        <v>817</v>
      </c>
      <c r="Q20" s="1350">
        <f t="shared" si="0"/>
        <v>2817</v>
      </c>
      <c r="R20" s="948"/>
    </row>
    <row r="21" spans="1:17" s="683" customFormat="1" ht="17.25">
      <c r="A21" s="945">
        <v>14</v>
      </c>
      <c r="B21" s="953"/>
      <c r="C21" s="683" t="s">
        <v>666</v>
      </c>
      <c r="D21" s="946">
        <v>50</v>
      </c>
      <c r="E21" s="946"/>
      <c r="F21" s="946"/>
      <c r="G21" s="946">
        <v>51</v>
      </c>
      <c r="H21" s="946">
        <v>224</v>
      </c>
      <c r="I21" s="946"/>
      <c r="J21" s="946"/>
      <c r="K21" s="946"/>
      <c r="L21" s="946"/>
      <c r="M21" s="946">
        <v>100</v>
      </c>
      <c r="N21" s="946">
        <v>170</v>
      </c>
      <c r="O21" s="946"/>
      <c r="P21" s="698">
        <v>-595</v>
      </c>
      <c r="Q21" s="954">
        <f t="shared" si="0"/>
        <v>0</v>
      </c>
    </row>
    <row r="22" spans="1:17" s="595" customFormat="1" ht="17.25">
      <c r="A22" s="941">
        <v>15</v>
      </c>
      <c r="B22" s="1349"/>
      <c r="C22" s="609" t="s">
        <v>637</v>
      </c>
      <c r="D22" s="949">
        <f aca="true" t="shared" si="5" ref="D22:P22">SUM(D20:D21)</f>
        <v>50</v>
      </c>
      <c r="E22" s="949">
        <f t="shared" si="5"/>
        <v>0</v>
      </c>
      <c r="F22" s="949">
        <f t="shared" si="5"/>
        <v>0</v>
      </c>
      <c r="G22" s="949">
        <f t="shared" si="5"/>
        <v>51</v>
      </c>
      <c r="H22" s="949">
        <f t="shared" si="5"/>
        <v>224</v>
      </c>
      <c r="I22" s="949">
        <f t="shared" si="5"/>
        <v>0</v>
      </c>
      <c r="J22" s="949">
        <f t="shared" si="5"/>
        <v>0</v>
      </c>
      <c r="K22" s="949">
        <f t="shared" si="5"/>
        <v>0</v>
      </c>
      <c r="L22" s="949">
        <f t="shared" si="5"/>
        <v>0</v>
      </c>
      <c r="M22" s="949">
        <f t="shared" si="5"/>
        <v>100</v>
      </c>
      <c r="N22" s="949">
        <f t="shared" si="5"/>
        <v>170</v>
      </c>
      <c r="O22" s="949">
        <f t="shared" si="5"/>
        <v>2000</v>
      </c>
      <c r="P22" s="949">
        <f t="shared" si="5"/>
        <v>222</v>
      </c>
      <c r="Q22" s="1351">
        <f t="shared" si="0"/>
        <v>2817</v>
      </c>
    </row>
    <row r="23" spans="1:17" s="653" customFormat="1" ht="34.5" customHeight="1">
      <c r="A23" s="945">
        <v>16</v>
      </c>
      <c r="B23" s="1349" t="s">
        <v>670</v>
      </c>
      <c r="C23" s="653" t="s">
        <v>1199</v>
      </c>
      <c r="D23" s="698"/>
      <c r="E23" s="698"/>
      <c r="F23" s="698"/>
      <c r="G23" s="698"/>
      <c r="H23" s="698"/>
      <c r="I23" s="698"/>
      <c r="J23" s="698"/>
      <c r="K23" s="698"/>
      <c r="L23" s="698"/>
      <c r="M23" s="698"/>
      <c r="N23" s="698"/>
      <c r="O23" s="698">
        <v>2000</v>
      </c>
      <c r="P23" s="698">
        <v>636</v>
      </c>
      <c r="Q23" s="1350">
        <f t="shared" si="0"/>
        <v>2636</v>
      </c>
    </row>
    <row r="24" spans="1:17" s="683" customFormat="1" ht="17.25">
      <c r="A24" s="941">
        <v>17</v>
      </c>
      <c r="B24" s="953"/>
      <c r="C24" s="683" t="s">
        <v>666</v>
      </c>
      <c r="D24" s="946">
        <v>600</v>
      </c>
      <c r="E24" s="946"/>
      <c r="F24" s="946"/>
      <c r="G24" s="946">
        <v>100</v>
      </c>
      <c r="H24" s="946">
        <v>150</v>
      </c>
      <c r="I24" s="946"/>
      <c r="J24" s="946"/>
      <c r="K24" s="946"/>
      <c r="L24" s="946"/>
      <c r="M24" s="946">
        <v>200</v>
      </c>
      <c r="N24" s="946">
        <v>150</v>
      </c>
      <c r="O24" s="946">
        <v>-564</v>
      </c>
      <c r="P24" s="698">
        <v>-636</v>
      </c>
      <c r="Q24" s="954">
        <f t="shared" si="0"/>
        <v>0</v>
      </c>
    </row>
    <row r="25" spans="1:17" s="595" customFormat="1" ht="17.25">
      <c r="A25" s="945">
        <v>18</v>
      </c>
      <c r="B25" s="1349"/>
      <c r="C25" s="609" t="s">
        <v>637</v>
      </c>
      <c r="D25" s="949">
        <f aca="true" t="shared" si="6" ref="D25:P25">SUM(D23:D24)</f>
        <v>600</v>
      </c>
      <c r="E25" s="949">
        <f t="shared" si="6"/>
        <v>0</v>
      </c>
      <c r="F25" s="949">
        <f t="shared" si="6"/>
        <v>0</v>
      </c>
      <c r="G25" s="949">
        <f t="shared" si="6"/>
        <v>100</v>
      </c>
      <c r="H25" s="949">
        <f t="shared" si="6"/>
        <v>150</v>
      </c>
      <c r="I25" s="949">
        <f t="shared" si="6"/>
        <v>0</v>
      </c>
      <c r="J25" s="949">
        <f t="shared" si="6"/>
        <v>0</v>
      </c>
      <c r="K25" s="949">
        <f t="shared" si="6"/>
        <v>0</v>
      </c>
      <c r="L25" s="949">
        <f t="shared" si="6"/>
        <v>0</v>
      </c>
      <c r="M25" s="949">
        <f t="shared" si="6"/>
        <v>200</v>
      </c>
      <c r="N25" s="949">
        <f t="shared" si="6"/>
        <v>150</v>
      </c>
      <c r="O25" s="949">
        <f t="shared" si="6"/>
        <v>1436</v>
      </c>
      <c r="P25" s="949">
        <f t="shared" si="6"/>
        <v>0</v>
      </c>
      <c r="Q25" s="1351">
        <f t="shared" si="0"/>
        <v>2636</v>
      </c>
    </row>
    <row r="26" spans="1:17" s="653" customFormat="1" ht="34.5" customHeight="1">
      <c r="A26" s="941">
        <v>19</v>
      </c>
      <c r="B26" s="1349" t="s">
        <v>671</v>
      </c>
      <c r="C26" s="653" t="s">
        <v>1199</v>
      </c>
      <c r="D26" s="698"/>
      <c r="E26" s="698"/>
      <c r="F26" s="698"/>
      <c r="G26" s="698"/>
      <c r="H26" s="698"/>
      <c r="I26" s="698"/>
      <c r="J26" s="698"/>
      <c r="K26" s="698"/>
      <c r="L26" s="698"/>
      <c r="M26" s="698"/>
      <c r="N26" s="698"/>
      <c r="O26" s="698">
        <v>2000</v>
      </c>
      <c r="P26" s="698">
        <v>1458</v>
      </c>
      <c r="Q26" s="1350">
        <f t="shared" si="0"/>
        <v>3458</v>
      </c>
    </row>
    <row r="27" spans="1:17" s="683" customFormat="1" ht="17.25">
      <c r="A27" s="945">
        <v>20</v>
      </c>
      <c r="B27" s="953"/>
      <c r="C27" s="683" t="s">
        <v>666</v>
      </c>
      <c r="D27" s="946"/>
      <c r="E27" s="946"/>
      <c r="F27" s="946"/>
      <c r="G27" s="946">
        <v>150</v>
      </c>
      <c r="H27" s="946"/>
      <c r="I27" s="946"/>
      <c r="J27" s="946"/>
      <c r="K27" s="946"/>
      <c r="L27" s="946"/>
      <c r="M27" s="946">
        <v>510</v>
      </c>
      <c r="N27" s="946">
        <v>680</v>
      </c>
      <c r="O27" s="946"/>
      <c r="P27" s="698">
        <v>-1340</v>
      </c>
      <c r="Q27" s="954">
        <f t="shared" si="0"/>
        <v>0</v>
      </c>
    </row>
    <row r="28" spans="1:17" s="595" customFormat="1" ht="17.25">
      <c r="A28" s="941">
        <v>21</v>
      </c>
      <c r="B28" s="1349"/>
      <c r="C28" s="609" t="s">
        <v>637</v>
      </c>
      <c r="D28" s="947">
        <f aca="true" t="shared" si="7" ref="D28:P28">SUM(D26:D27)</f>
        <v>0</v>
      </c>
      <c r="E28" s="947">
        <f t="shared" si="7"/>
        <v>0</v>
      </c>
      <c r="F28" s="947">
        <f t="shared" si="7"/>
        <v>0</v>
      </c>
      <c r="G28" s="947">
        <f t="shared" si="7"/>
        <v>150</v>
      </c>
      <c r="H28" s="947">
        <f t="shared" si="7"/>
        <v>0</v>
      </c>
      <c r="I28" s="947">
        <f t="shared" si="7"/>
        <v>0</v>
      </c>
      <c r="J28" s="947">
        <f t="shared" si="7"/>
        <v>0</v>
      </c>
      <c r="K28" s="947">
        <f t="shared" si="7"/>
        <v>0</v>
      </c>
      <c r="L28" s="947">
        <f t="shared" si="7"/>
        <v>0</v>
      </c>
      <c r="M28" s="947">
        <f t="shared" si="7"/>
        <v>510</v>
      </c>
      <c r="N28" s="947">
        <f t="shared" si="7"/>
        <v>680</v>
      </c>
      <c r="O28" s="947">
        <f t="shared" si="7"/>
        <v>2000</v>
      </c>
      <c r="P28" s="947">
        <f t="shared" si="7"/>
        <v>118</v>
      </c>
      <c r="Q28" s="1351">
        <f t="shared" si="0"/>
        <v>3458</v>
      </c>
    </row>
    <row r="29" spans="1:17" s="653" customFormat="1" ht="34.5" customHeight="1">
      <c r="A29" s="945">
        <v>22</v>
      </c>
      <c r="B29" s="1349" t="s">
        <v>672</v>
      </c>
      <c r="C29" s="653" t="s">
        <v>1199</v>
      </c>
      <c r="D29" s="698"/>
      <c r="E29" s="698"/>
      <c r="F29" s="698"/>
      <c r="G29" s="698"/>
      <c r="H29" s="698"/>
      <c r="I29" s="698"/>
      <c r="J29" s="698"/>
      <c r="K29" s="698"/>
      <c r="L29" s="698"/>
      <c r="M29" s="698"/>
      <c r="N29" s="698"/>
      <c r="O29" s="698">
        <v>2000</v>
      </c>
      <c r="P29" s="698">
        <v>108</v>
      </c>
      <c r="Q29" s="1350">
        <f t="shared" si="0"/>
        <v>2108</v>
      </c>
    </row>
    <row r="30" spans="1:17" s="683" customFormat="1" ht="18" customHeight="1">
      <c r="A30" s="941">
        <v>23</v>
      </c>
      <c r="B30" s="953"/>
      <c r="C30" s="683" t="s">
        <v>666</v>
      </c>
      <c r="D30" s="946"/>
      <c r="E30" s="946"/>
      <c r="F30" s="946"/>
      <c r="G30" s="946">
        <v>100</v>
      </c>
      <c r="H30" s="946"/>
      <c r="I30" s="946"/>
      <c r="J30" s="946"/>
      <c r="K30" s="946"/>
      <c r="L30" s="946"/>
      <c r="M30" s="946"/>
      <c r="N30" s="946">
        <v>200</v>
      </c>
      <c r="O30" s="946">
        <v>-192</v>
      </c>
      <c r="P30" s="698">
        <v>-108</v>
      </c>
      <c r="Q30" s="954">
        <f t="shared" si="0"/>
        <v>0</v>
      </c>
    </row>
    <row r="31" spans="1:17" s="595" customFormat="1" ht="18" customHeight="1">
      <c r="A31" s="945">
        <v>24</v>
      </c>
      <c r="B31" s="1349"/>
      <c r="C31" s="609" t="s">
        <v>637</v>
      </c>
      <c r="D31" s="947">
        <f aca="true" t="shared" si="8" ref="D31:P31">SUM(D29:D30)</f>
        <v>0</v>
      </c>
      <c r="E31" s="947">
        <f t="shared" si="8"/>
        <v>0</v>
      </c>
      <c r="F31" s="947">
        <f t="shared" si="8"/>
        <v>0</v>
      </c>
      <c r="G31" s="947">
        <f t="shared" si="8"/>
        <v>100</v>
      </c>
      <c r="H31" s="947">
        <f t="shared" si="8"/>
        <v>0</v>
      </c>
      <c r="I31" s="947">
        <f t="shared" si="8"/>
        <v>0</v>
      </c>
      <c r="J31" s="947">
        <f t="shared" si="8"/>
        <v>0</v>
      </c>
      <c r="K31" s="947">
        <f t="shared" si="8"/>
        <v>0</v>
      </c>
      <c r="L31" s="947">
        <f t="shared" si="8"/>
        <v>0</v>
      </c>
      <c r="M31" s="947">
        <f t="shared" si="8"/>
        <v>0</v>
      </c>
      <c r="N31" s="947">
        <f t="shared" si="8"/>
        <v>200</v>
      </c>
      <c r="O31" s="947">
        <f t="shared" si="8"/>
        <v>1808</v>
      </c>
      <c r="P31" s="947">
        <f t="shared" si="8"/>
        <v>0</v>
      </c>
      <c r="Q31" s="1351">
        <f t="shared" si="0"/>
        <v>2108</v>
      </c>
    </row>
    <row r="32" spans="1:17" s="653" customFormat="1" ht="36" customHeight="1">
      <c r="A32" s="941">
        <v>25</v>
      </c>
      <c r="B32" s="1349" t="s">
        <v>673</v>
      </c>
      <c r="C32" s="653" t="s">
        <v>1199</v>
      </c>
      <c r="D32" s="698"/>
      <c r="E32" s="698"/>
      <c r="F32" s="698"/>
      <c r="G32" s="698"/>
      <c r="H32" s="698"/>
      <c r="I32" s="698"/>
      <c r="J32" s="698"/>
      <c r="K32" s="698"/>
      <c r="L32" s="698"/>
      <c r="M32" s="698"/>
      <c r="N32" s="698"/>
      <c r="O32" s="698">
        <v>2000</v>
      </c>
      <c r="P32" s="698">
        <v>74</v>
      </c>
      <c r="Q32" s="1350">
        <f t="shared" si="0"/>
        <v>2074</v>
      </c>
    </row>
    <row r="33" spans="1:17" s="683" customFormat="1" ht="17.25">
      <c r="A33" s="945">
        <v>26</v>
      </c>
      <c r="B33" s="953"/>
      <c r="C33" s="683" t="s">
        <v>666</v>
      </c>
      <c r="D33" s="946">
        <v>50</v>
      </c>
      <c r="E33" s="946"/>
      <c r="F33" s="946"/>
      <c r="G33" s="946">
        <v>110</v>
      </c>
      <c r="H33" s="946"/>
      <c r="I33" s="946"/>
      <c r="J33" s="946"/>
      <c r="K33" s="946"/>
      <c r="L33" s="946"/>
      <c r="M33" s="946"/>
      <c r="N33" s="946">
        <v>280</v>
      </c>
      <c r="O33" s="946">
        <v>-366</v>
      </c>
      <c r="P33" s="698">
        <v>-74</v>
      </c>
      <c r="Q33" s="954">
        <f t="shared" si="0"/>
        <v>0</v>
      </c>
    </row>
    <row r="34" spans="1:17" s="595" customFormat="1" ht="17.25">
      <c r="A34" s="941">
        <v>27</v>
      </c>
      <c r="B34" s="1349"/>
      <c r="C34" s="609" t="s">
        <v>637</v>
      </c>
      <c r="D34" s="947">
        <f aca="true" t="shared" si="9" ref="D34:P34">SUM(D32:D33)</f>
        <v>50</v>
      </c>
      <c r="E34" s="947">
        <f t="shared" si="9"/>
        <v>0</v>
      </c>
      <c r="F34" s="947">
        <f t="shared" si="9"/>
        <v>0</v>
      </c>
      <c r="G34" s="947">
        <f t="shared" si="9"/>
        <v>110</v>
      </c>
      <c r="H34" s="947">
        <f t="shared" si="9"/>
        <v>0</v>
      </c>
      <c r="I34" s="947">
        <f t="shared" si="9"/>
        <v>0</v>
      </c>
      <c r="J34" s="947">
        <f t="shared" si="9"/>
        <v>0</v>
      </c>
      <c r="K34" s="947">
        <f t="shared" si="9"/>
        <v>0</v>
      </c>
      <c r="L34" s="947">
        <f t="shared" si="9"/>
        <v>0</v>
      </c>
      <c r="M34" s="947">
        <f t="shared" si="9"/>
        <v>0</v>
      </c>
      <c r="N34" s="947">
        <f t="shared" si="9"/>
        <v>280</v>
      </c>
      <c r="O34" s="947">
        <f t="shared" si="9"/>
        <v>1634</v>
      </c>
      <c r="P34" s="947">
        <f t="shared" si="9"/>
        <v>0</v>
      </c>
      <c r="Q34" s="1351">
        <f t="shared" si="0"/>
        <v>2074</v>
      </c>
    </row>
    <row r="35" spans="1:17" s="653" customFormat="1" ht="36" customHeight="1">
      <c r="A35" s="945">
        <v>28</v>
      </c>
      <c r="B35" s="1349" t="s">
        <v>674</v>
      </c>
      <c r="C35" s="653" t="s">
        <v>1199</v>
      </c>
      <c r="D35" s="698"/>
      <c r="E35" s="698"/>
      <c r="F35" s="698"/>
      <c r="G35" s="698"/>
      <c r="H35" s="698"/>
      <c r="I35" s="698"/>
      <c r="J35" s="698"/>
      <c r="K35" s="698"/>
      <c r="L35" s="698"/>
      <c r="M35" s="698"/>
      <c r="N35" s="698"/>
      <c r="O35" s="698">
        <v>2000</v>
      </c>
      <c r="P35" s="698">
        <v>1007</v>
      </c>
      <c r="Q35" s="1350">
        <f t="shared" si="0"/>
        <v>3007</v>
      </c>
    </row>
    <row r="36" spans="1:17" s="683" customFormat="1" ht="17.25">
      <c r="A36" s="941">
        <v>29</v>
      </c>
      <c r="B36" s="953"/>
      <c r="C36" s="683" t="s">
        <v>666</v>
      </c>
      <c r="D36" s="946">
        <v>1000</v>
      </c>
      <c r="E36" s="946"/>
      <c r="F36" s="946"/>
      <c r="G36" s="946">
        <v>100</v>
      </c>
      <c r="H36" s="946">
        <v>96</v>
      </c>
      <c r="I36" s="946">
        <v>140</v>
      </c>
      <c r="J36" s="946"/>
      <c r="K36" s="946"/>
      <c r="L36" s="946"/>
      <c r="M36" s="946"/>
      <c r="N36" s="946"/>
      <c r="O36" s="946">
        <v>-329</v>
      </c>
      <c r="P36" s="698">
        <v>-1007</v>
      </c>
      <c r="Q36" s="954">
        <f t="shared" si="0"/>
        <v>0</v>
      </c>
    </row>
    <row r="37" spans="1:17" s="595" customFormat="1" ht="17.25">
      <c r="A37" s="945">
        <v>30</v>
      </c>
      <c r="B37" s="1349"/>
      <c r="C37" s="609" t="s">
        <v>637</v>
      </c>
      <c r="D37" s="949">
        <f aca="true" t="shared" si="10" ref="D37:P37">SUM(D35:D36)</f>
        <v>1000</v>
      </c>
      <c r="E37" s="949">
        <f t="shared" si="10"/>
        <v>0</v>
      </c>
      <c r="F37" s="949">
        <f t="shared" si="10"/>
        <v>0</v>
      </c>
      <c r="G37" s="949">
        <f t="shared" si="10"/>
        <v>100</v>
      </c>
      <c r="H37" s="949">
        <f t="shared" si="10"/>
        <v>96</v>
      </c>
      <c r="I37" s="949">
        <f t="shared" si="10"/>
        <v>140</v>
      </c>
      <c r="J37" s="949">
        <f t="shared" si="10"/>
        <v>0</v>
      </c>
      <c r="K37" s="949">
        <f t="shared" si="10"/>
        <v>0</v>
      </c>
      <c r="L37" s="949">
        <f t="shared" si="10"/>
        <v>0</v>
      </c>
      <c r="M37" s="949">
        <f t="shared" si="10"/>
        <v>0</v>
      </c>
      <c r="N37" s="949">
        <f t="shared" si="10"/>
        <v>0</v>
      </c>
      <c r="O37" s="949">
        <f t="shared" si="10"/>
        <v>1671</v>
      </c>
      <c r="P37" s="949">
        <f t="shared" si="10"/>
        <v>0</v>
      </c>
      <c r="Q37" s="1351">
        <f t="shared" si="0"/>
        <v>3007</v>
      </c>
    </row>
    <row r="38" spans="1:17" s="653" customFormat="1" ht="36" customHeight="1">
      <c r="A38" s="941">
        <v>31</v>
      </c>
      <c r="B38" s="1349" t="s">
        <v>675</v>
      </c>
      <c r="C38" s="653" t="s">
        <v>1199</v>
      </c>
      <c r="D38" s="698"/>
      <c r="E38" s="698"/>
      <c r="F38" s="698"/>
      <c r="G38" s="698"/>
      <c r="H38" s="698"/>
      <c r="I38" s="698"/>
      <c r="J38" s="698"/>
      <c r="K38" s="698"/>
      <c r="L38" s="698"/>
      <c r="M38" s="698"/>
      <c r="N38" s="698"/>
      <c r="O38" s="698">
        <v>2000</v>
      </c>
      <c r="P38" s="698">
        <v>1661</v>
      </c>
      <c r="Q38" s="1350">
        <f t="shared" si="0"/>
        <v>3661</v>
      </c>
    </row>
    <row r="39" spans="1:17" s="683" customFormat="1" ht="17.25">
      <c r="A39" s="945">
        <v>32</v>
      </c>
      <c r="B39" s="953"/>
      <c r="C39" s="683" t="s">
        <v>666</v>
      </c>
      <c r="D39" s="946">
        <v>387</v>
      </c>
      <c r="E39" s="946"/>
      <c r="F39" s="946"/>
      <c r="G39" s="946">
        <v>141</v>
      </c>
      <c r="H39" s="946">
        <v>300</v>
      </c>
      <c r="I39" s="946">
        <v>35</v>
      </c>
      <c r="J39" s="946"/>
      <c r="K39" s="946"/>
      <c r="L39" s="946"/>
      <c r="M39" s="946">
        <v>250</v>
      </c>
      <c r="N39" s="946"/>
      <c r="O39" s="946"/>
      <c r="P39" s="698">
        <v>-1113</v>
      </c>
      <c r="Q39" s="954">
        <f t="shared" si="0"/>
        <v>0</v>
      </c>
    </row>
    <row r="40" spans="1:17" s="595" customFormat="1" ht="17.25">
      <c r="A40" s="941">
        <v>33</v>
      </c>
      <c r="B40" s="1349"/>
      <c r="C40" s="609" t="s">
        <v>637</v>
      </c>
      <c r="D40" s="949">
        <f aca="true" t="shared" si="11" ref="D40:P40">SUM(D38:D39)</f>
        <v>387</v>
      </c>
      <c r="E40" s="949">
        <f t="shared" si="11"/>
        <v>0</v>
      </c>
      <c r="F40" s="949">
        <f t="shared" si="11"/>
        <v>0</v>
      </c>
      <c r="G40" s="949">
        <f t="shared" si="11"/>
        <v>141</v>
      </c>
      <c r="H40" s="949">
        <f t="shared" si="11"/>
        <v>300</v>
      </c>
      <c r="I40" s="949">
        <f t="shared" si="11"/>
        <v>35</v>
      </c>
      <c r="J40" s="949">
        <f t="shared" si="11"/>
        <v>0</v>
      </c>
      <c r="K40" s="949">
        <f t="shared" si="11"/>
        <v>0</v>
      </c>
      <c r="L40" s="949">
        <f t="shared" si="11"/>
        <v>0</v>
      </c>
      <c r="M40" s="949">
        <f t="shared" si="11"/>
        <v>250</v>
      </c>
      <c r="N40" s="949">
        <f t="shared" si="11"/>
        <v>0</v>
      </c>
      <c r="O40" s="949">
        <f t="shared" si="11"/>
        <v>2000</v>
      </c>
      <c r="P40" s="949">
        <f t="shared" si="11"/>
        <v>548</v>
      </c>
      <c r="Q40" s="1351">
        <f t="shared" si="0"/>
        <v>3661</v>
      </c>
    </row>
    <row r="41" spans="1:17" s="653" customFormat="1" ht="36" customHeight="1">
      <c r="A41" s="945">
        <v>34</v>
      </c>
      <c r="B41" s="1349" t="s">
        <v>676</v>
      </c>
      <c r="C41" s="653" t="s">
        <v>1199</v>
      </c>
      <c r="D41" s="698"/>
      <c r="E41" s="698"/>
      <c r="F41" s="698"/>
      <c r="G41" s="698"/>
      <c r="H41" s="698"/>
      <c r="I41" s="698"/>
      <c r="J41" s="698"/>
      <c r="K41" s="698"/>
      <c r="L41" s="698"/>
      <c r="M41" s="698"/>
      <c r="N41" s="698"/>
      <c r="O41" s="698">
        <v>2000</v>
      </c>
      <c r="P41" s="698">
        <v>1</v>
      </c>
      <c r="Q41" s="1350">
        <f t="shared" si="0"/>
        <v>2001</v>
      </c>
    </row>
    <row r="42" spans="1:17" s="683" customFormat="1" ht="17.25">
      <c r="A42" s="941">
        <v>35</v>
      </c>
      <c r="B42" s="953"/>
      <c r="C42" s="683" t="s">
        <v>666</v>
      </c>
      <c r="D42" s="946"/>
      <c r="E42" s="946"/>
      <c r="F42" s="946"/>
      <c r="G42" s="946"/>
      <c r="H42" s="946"/>
      <c r="I42" s="946">
        <v>20</v>
      </c>
      <c r="J42" s="946"/>
      <c r="K42" s="946"/>
      <c r="L42" s="946"/>
      <c r="M42" s="946">
        <v>400</v>
      </c>
      <c r="N42" s="946">
        <v>770</v>
      </c>
      <c r="O42" s="946">
        <v>-1189</v>
      </c>
      <c r="P42" s="698">
        <v>-1</v>
      </c>
      <c r="Q42" s="954">
        <f t="shared" si="0"/>
        <v>0</v>
      </c>
    </row>
    <row r="43" spans="1:17" s="951" customFormat="1" ht="36" customHeight="1" thickBot="1">
      <c r="A43" s="950">
        <v>36</v>
      </c>
      <c r="B43" s="1352"/>
      <c r="C43" s="951" t="s">
        <v>637</v>
      </c>
      <c r="D43" s="952">
        <f aca="true" t="shared" si="12" ref="D43:P43">SUM(D41:D42)</f>
        <v>0</v>
      </c>
      <c r="E43" s="952">
        <f t="shared" si="12"/>
        <v>0</v>
      </c>
      <c r="F43" s="952">
        <f t="shared" si="12"/>
        <v>0</v>
      </c>
      <c r="G43" s="952">
        <f t="shared" si="12"/>
        <v>0</v>
      </c>
      <c r="H43" s="952">
        <f t="shared" si="12"/>
        <v>0</v>
      </c>
      <c r="I43" s="952">
        <f t="shared" si="12"/>
        <v>20</v>
      </c>
      <c r="J43" s="952">
        <f t="shared" si="12"/>
        <v>0</v>
      </c>
      <c r="K43" s="952">
        <f t="shared" si="12"/>
        <v>0</v>
      </c>
      <c r="L43" s="952">
        <f t="shared" si="12"/>
        <v>0</v>
      </c>
      <c r="M43" s="952">
        <f t="shared" si="12"/>
        <v>400</v>
      </c>
      <c r="N43" s="952">
        <f t="shared" si="12"/>
        <v>770</v>
      </c>
      <c r="O43" s="952">
        <f t="shared" si="12"/>
        <v>811</v>
      </c>
      <c r="P43" s="952">
        <f t="shared" si="12"/>
        <v>0</v>
      </c>
      <c r="Q43" s="1353">
        <f t="shared" si="0"/>
        <v>2001</v>
      </c>
    </row>
    <row r="44" spans="1:17" s="1" customFormat="1" ht="24.75" customHeight="1">
      <c r="A44" s="939">
        <v>37</v>
      </c>
      <c r="B44" s="1354"/>
      <c r="C44" s="1355" t="s">
        <v>1199</v>
      </c>
      <c r="D44" s="1356">
        <f aca="true" t="shared" si="13" ref="D44:Q45">SUM(D41,D38,D35,D32,D29,D26,D23,D20,D17,D14,D11,D8)</f>
        <v>0</v>
      </c>
      <c r="E44" s="1356">
        <f t="shared" si="13"/>
        <v>0</v>
      </c>
      <c r="F44" s="1356">
        <f t="shared" si="13"/>
        <v>0</v>
      </c>
      <c r="G44" s="1356">
        <f t="shared" si="13"/>
        <v>0</v>
      </c>
      <c r="H44" s="1356">
        <f t="shared" si="13"/>
        <v>0</v>
      </c>
      <c r="I44" s="1356">
        <f t="shared" si="13"/>
        <v>0</v>
      </c>
      <c r="J44" s="1356">
        <f t="shared" si="13"/>
        <v>0</v>
      </c>
      <c r="K44" s="1356">
        <f t="shared" si="13"/>
        <v>0</v>
      </c>
      <c r="L44" s="1356">
        <f t="shared" si="13"/>
        <v>0</v>
      </c>
      <c r="M44" s="1356">
        <f t="shared" si="13"/>
        <v>0</v>
      </c>
      <c r="N44" s="1356">
        <f t="shared" si="13"/>
        <v>0</v>
      </c>
      <c r="O44" s="1356">
        <f t="shared" si="13"/>
        <v>24000</v>
      </c>
      <c r="P44" s="1356">
        <f t="shared" si="13"/>
        <v>7595</v>
      </c>
      <c r="Q44" s="1357">
        <f t="shared" si="13"/>
        <v>31595</v>
      </c>
    </row>
    <row r="45" spans="1:17" s="689" customFormat="1" ht="24.75" customHeight="1">
      <c r="A45" s="1358">
        <v>38</v>
      </c>
      <c r="B45" s="1359"/>
      <c r="C45" s="689" t="s">
        <v>666</v>
      </c>
      <c r="D45" s="1360">
        <f t="shared" si="13"/>
        <v>2727</v>
      </c>
      <c r="E45" s="1360">
        <f t="shared" si="13"/>
        <v>0</v>
      </c>
      <c r="F45" s="1360">
        <f t="shared" si="13"/>
        <v>0</v>
      </c>
      <c r="G45" s="1360">
        <f t="shared" si="13"/>
        <v>1224</v>
      </c>
      <c r="H45" s="1360">
        <f t="shared" si="13"/>
        <v>770</v>
      </c>
      <c r="I45" s="1360">
        <f t="shared" si="13"/>
        <v>535</v>
      </c>
      <c r="J45" s="1360">
        <f t="shared" si="13"/>
        <v>0</v>
      </c>
      <c r="K45" s="1360">
        <f t="shared" si="13"/>
        <v>100</v>
      </c>
      <c r="L45" s="1360">
        <f t="shared" si="13"/>
        <v>0</v>
      </c>
      <c r="M45" s="1360">
        <f t="shared" si="13"/>
        <v>2610</v>
      </c>
      <c r="N45" s="1360">
        <f t="shared" si="13"/>
        <v>2970</v>
      </c>
      <c r="O45" s="1360">
        <f t="shared" si="13"/>
        <v>-4609</v>
      </c>
      <c r="P45" s="1360">
        <f t="shared" si="13"/>
        <v>-6327</v>
      </c>
      <c r="Q45" s="1361">
        <f t="shared" si="13"/>
        <v>0</v>
      </c>
    </row>
    <row r="46" spans="1:17" s="304" customFormat="1" ht="24.75" customHeight="1" thickBot="1">
      <c r="A46" s="939">
        <v>39</v>
      </c>
      <c r="B46" s="1362"/>
      <c r="C46" s="1363" t="s">
        <v>677</v>
      </c>
      <c r="D46" s="1364">
        <f aca="true" t="shared" si="14" ref="D46:P46">SUM(D44:D45)</f>
        <v>2727</v>
      </c>
      <c r="E46" s="1364">
        <f t="shared" si="14"/>
        <v>0</v>
      </c>
      <c r="F46" s="1364">
        <f t="shared" si="14"/>
        <v>0</v>
      </c>
      <c r="G46" s="1364">
        <f t="shared" si="14"/>
        <v>1224</v>
      </c>
      <c r="H46" s="1364">
        <f t="shared" si="14"/>
        <v>770</v>
      </c>
      <c r="I46" s="1364">
        <f t="shared" si="14"/>
        <v>535</v>
      </c>
      <c r="J46" s="1364">
        <f t="shared" si="14"/>
        <v>0</v>
      </c>
      <c r="K46" s="1364">
        <f t="shared" si="14"/>
        <v>100</v>
      </c>
      <c r="L46" s="1364">
        <f t="shared" si="14"/>
        <v>0</v>
      </c>
      <c r="M46" s="1364">
        <f t="shared" si="14"/>
        <v>2610</v>
      </c>
      <c r="N46" s="1364">
        <f t="shared" si="14"/>
        <v>2970</v>
      </c>
      <c r="O46" s="1364">
        <f t="shared" si="14"/>
        <v>19391</v>
      </c>
      <c r="P46" s="1364">
        <f t="shared" si="14"/>
        <v>1268</v>
      </c>
      <c r="Q46" s="1365">
        <f>SUM(D46:P46)</f>
        <v>31595</v>
      </c>
    </row>
    <row r="47" spans="4:17" ht="17.25"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</row>
    <row r="48" spans="4:17" ht="17.25"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</row>
    <row r="49" spans="4:17" ht="17.25"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</row>
    <row r="50" spans="4:17" ht="17.25"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</row>
    <row r="51" spans="4:17" ht="17.25"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</row>
    <row r="52" spans="4:17" ht="17.25"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</row>
    <row r="53" spans="3:17" ht="17.25">
      <c r="C53" s="595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</row>
    <row r="54" spans="4:17" ht="17.25">
      <c r="D54" s="955"/>
      <c r="E54" s="955"/>
      <c r="F54" s="955"/>
      <c r="G54" s="955"/>
      <c r="H54" s="955"/>
      <c r="I54" s="955"/>
      <c r="J54" s="955"/>
      <c r="K54" s="955"/>
      <c r="L54" s="955"/>
      <c r="M54" s="955"/>
      <c r="N54" s="955"/>
      <c r="O54" s="956"/>
      <c r="P54" s="956"/>
      <c r="Q54" s="955"/>
    </row>
    <row r="55" spans="4:17" ht="17.25"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41"/>
      <c r="O55" s="141"/>
      <c r="P55" s="141"/>
      <c r="Q55" s="141"/>
    </row>
    <row r="56" spans="3:17" ht="17.25">
      <c r="C56" s="152"/>
      <c r="D56" s="152"/>
      <c r="E56" s="152"/>
      <c r="F56" s="152"/>
      <c r="G56" s="152"/>
      <c r="H56" s="152"/>
      <c r="I56" s="152"/>
      <c r="J56" s="152"/>
      <c r="K56" s="152"/>
      <c r="L56" s="152"/>
      <c r="M56" s="141"/>
      <c r="N56" s="141"/>
      <c r="O56" s="141"/>
      <c r="P56" s="141"/>
      <c r="Q56" s="152"/>
    </row>
    <row r="57" spans="4:17" ht="17.25">
      <c r="D57" s="152"/>
      <c r="E57" s="152"/>
      <c r="F57" s="152"/>
      <c r="G57" s="152"/>
      <c r="H57" s="152"/>
      <c r="I57" s="152"/>
      <c r="J57" s="152"/>
      <c r="K57" s="152"/>
      <c r="L57" s="152"/>
      <c r="M57" s="141"/>
      <c r="N57" s="141"/>
      <c r="O57" s="141"/>
      <c r="P57" s="141"/>
      <c r="Q57" s="152"/>
    </row>
    <row r="58" spans="4:17" ht="17.25"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</row>
  </sheetData>
  <sheetProtection/>
  <mergeCells count="13">
    <mergeCell ref="Q6:Q7"/>
    <mergeCell ref="A6:A7"/>
    <mergeCell ref="B6:C7"/>
    <mergeCell ref="D6:D7"/>
    <mergeCell ref="E6:E7"/>
    <mergeCell ref="G6:G7"/>
    <mergeCell ref="O6:P6"/>
    <mergeCell ref="B5:C5"/>
    <mergeCell ref="N1:Q1"/>
    <mergeCell ref="B2:Q2"/>
    <mergeCell ref="B3:Q3"/>
    <mergeCell ref="O4:Q4"/>
    <mergeCell ref="B1:M1"/>
  </mergeCells>
  <printOptions horizontalCentered="1"/>
  <pageMargins left="0" right="0" top="0.3937007874015748" bottom="0.3937007874015748" header="0.5118110236220472" footer="0.511811023622047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9"/>
  <sheetViews>
    <sheetView view="pageBreakPreview" zoomScale="85" zoomScaleSheetLayoutView="85" zoomScalePageLayoutView="0" workbookViewId="0" topLeftCell="A61">
      <selection activeCell="B1" sqref="B1:J1"/>
    </sheetView>
  </sheetViews>
  <sheetFormatPr defaultColWidth="9.125" defaultRowHeight="12.75"/>
  <cols>
    <col min="1" max="1" width="2.625" style="551" bestFit="1" customWidth="1"/>
    <col min="2" max="2" width="7.00390625" style="144" bestFit="1" customWidth="1"/>
    <col min="3" max="5" width="5.75390625" style="144" customWidth="1"/>
    <col min="6" max="6" width="56.875" style="142" customWidth="1"/>
    <col min="7" max="8" width="12.75390625" style="141" customWidth="1"/>
    <col min="9" max="9" width="12.75390625" style="323" customWidth="1"/>
    <col min="10" max="10" width="12.75390625" style="324" customWidth="1"/>
    <col min="11" max="11" width="11.75390625" style="142" customWidth="1"/>
    <col min="12" max="12" width="12.75390625" style="142" customWidth="1"/>
    <col min="13" max="16384" width="9.125" style="142" customWidth="1"/>
  </cols>
  <sheetData>
    <row r="1" spans="2:10" ht="16.5">
      <c r="B1" s="1380" t="s">
        <v>1204</v>
      </c>
      <c r="C1" s="1380"/>
      <c r="D1" s="1380"/>
      <c r="E1" s="1380"/>
      <c r="F1" s="1380"/>
      <c r="G1" s="1380"/>
      <c r="H1" s="1380"/>
      <c r="I1" s="1380"/>
      <c r="J1" s="1380"/>
    </row>
    <row r="2" spans="1:12" s="143" customFormat="1" ht="18" customHeight="1">
      <c r="A2" s="561"/>
      <c r="B2" s="1381" t="s">
        <v>441</v>
      </c>
      <c r="C2" s="1381"/>
      <c r="D2" s="1381"/>
      <c r="E2" s="1381"/>
      <c r="F2" s="1381"/>
      <c r="G2" s="1381"/>
      <c r="H2" s="1381"/>
      <c r="I2" s="1381"/>
      <c r="J2" s="1381"/>
      <c r="K2" s="1381"/>
      <c r="L2" s="1381"/>
    </row>
    <row r="3" spans="1:12" s="143" customFormat="1" ht="18" customHeight="1">
      <c r="A3" s="561"/>
      <c r="B3" s="1382" t="s">
        <v>602</v>
      </c>
      <c r="C3" s="1382"/>
      <c r="D3" s="1382"/>
      <c r="E3" s="1382"/>
      <c r="F3" s="1382"/>
      <c r="G3" s="1382"/>
      <c r="H3" s="1382"/>
      <c r="I3" s="1382"/>
      <c r="J3" s="1382"/>
      <c r="K3" s="1382"/>
      <c r="L3" s="1382"/>
    </row>
    <row r="4" spans="1:12" s="143" customFormat="1" ht="18" customHeight="1">
      <c r="A4" s="561"/>
      <c r="B4" s="1383" t="s">
        <v>603</v>
      </c>
      <c r="C4" s="1383"/>
      <c r="D4" s="1383"/>
      <c r="E4" s="1383"/>
      <c r="F4" s="1383"/>
      <c r="G4" s="1383"/>
      <c r="H4" s="1383"/>
      <c r="I4" s="1383"/>
      <c r="J4" s="1383"/>
      <c r="K4" s="1383"/>
      <c r="L4" s="1383"/>
    </row>
    <row r="5" spans="2:12" ht="16.5">
      <c r="B5" s="229"/>
      <c r="C5" s="229"/>
      <c r="D5" s="229"/>
      <c r="E5" s="229"/>
      <c r="F5" s="229"/>
      <c r="G5" s="230"/>
      <c r="H5" s="230"/>
      <c r="I5" s="610"/>
      <c r="J5" s="610"/>
      <c r="K5" s="1379" t="s">
        <v>0</v>
      </c>
      <c r="L5" s="1379"/>
    </row>
    <row r="6" spans="1:12" s="558" customFormat="1" ht="15" thickBot="1">
      <c r="A6" s="551"/>
      <c r="B6" s="555" t="s">
        <v>1</v>
      </c>
      <c r="C6" s="555" t="s">
        <v>3</v>
      </c>
      <c r="D6" s="555" t="s">
        <v>2</v>
      </c>
      <c r="E6" s="555" t="s">
        <v>4</v>
      </c>
      <c r="F6" s="555" t="s">
        <v>5</v>
      </c>
      <c r="G6" s="556" t="s">
        <v>21</v>
      </c>
      <c r="H6" s="556" t="s">
        <v>22</v>
      </c>
      <c r="I6" s="557" t="s">
        <v>23</v>
      </c>
      <c r="J6" s="557" t="s">
        <v>201</v>
      </c>
      <c r="K6" s="551" t="s">
        <v>129</v>
      </c>
      <c r="L6" s="551" t="s">
        <v>31</v>
      </c>
    </row>
    <row r="7" spans="1:23" s="238" customFormat="1" ht="57.75" thickBot="1">
      <c r="A7" s="552"/>
      <c r="B7" s="231" t="s">
        <v>24</v>
      </c>
      <c r="C7" s="232" t="s">
        <v>25</v>
      </c>
      <c r="D7" s="233" t="s">
        <v>442</v>
      </c>
      <c r="E7" s="233" t="s">
        <v>443</v>
      </c>
      <c r="F7" s="234" t="s">
        <v>6</v>
      </c>
      <c r="G7" s="235" t="s">
        <v>444</v>
      </c>
      <c r="H7" s="235" t="s">
        <v>205</v>
      </c>
      <c r="I7" s="236" t="s">
        <v>801</v>
      </c>
      <c r="J7" s="587" t="s">
        <v>600</v>
      </c>
      <c r="K7" s="588" t="s">
        <v>352</v>
      </c>
      <c r="L7" s="589" t="s">
        <v>601</v>
      </c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</row>
    <row r="8" spans="1:23" s="246" customFormat="1" ht="36" customHeight="1">
      <c r="A8" s="552">
        <v>1</v>
      </c>
      <c r="B8" s="239"/>
      <c r="C8" s="240"/>
      <c r="D8" s="241">
        <v>1</v>
      </c>
      <c r="E8" s="241"/>
      <c r="F8" s="242" t="s">
        <v>377</v>
      </c>
      <c r="G8" s="243">
        <f>SUM(G9,G16,G26,G31,G32,G15,G30)</f>
        <v>11976121</v>
      </c>
      <c r="H8" s="243">
        <f>SUM(H9,H16,H26,H31,H32,H15,H30)</f>
        <v>10513484</v>
      </c>
      <c r="I8" s="244">
        <f>SUM(I9,I16,I26,I31,I32,I15,I30)</f>
        <v>12146773</v>
      </c>
      <c r="J8" s="590">
        <f>SUM(J9,J16,J26,J31,J32,J15,J30)</f>
        <v>10476265</v>
      </c>
      <c r="K8" s="243">
        <f>SUM(K9,K16,K26,K31,K32,K15,K30)</f>
        <v>162302</v>
      </c>
      <c r="L8" s="717">
        <f>SUM(L9,L16,L26,L31,L32,L15,L30)</f>
        <v>10638567</v>
      </c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</row>
    <row r="9" spans="1:23" s="246" customFormat="1" ht="36" customHeight="1">
      <c r="A9" s="552">
        <v>2</v>
      </c>
      <c r="B9" s="247">
        <v>18</v>
      </c>
      <c r="C9" s="248"/>
      <c r="D9" s="249"/>
      <c r="E9" s="249">
        <v>1</v>
      </c>
      <c r="F9" s="248" t="s">
        <v>445</v>
      </c>
      <c r="G9" s="250">
        <f>SUM(G10,G13:G13)</f>
        <v>4667298</v>
      </c>
      <c r="H9" s="250">
        <f>SUM(H10,H13:H13)</f>
        <v>3507784</v>
      </c>
      <c r="I9" s="251">
        <f>SUM(I10,I13:I13)</f>
        <v>3879913</v>
      </c>
      <c r="J9" s="591">
        <f>SUM(J10,J13:J13)</f>
        <v>2950575</v>
      </c>
      <c r="K9" s="250">
        <f>SUM(K10,K13:K13)</f>
        <v>130873</v>
      </c>
      <c r="L9" s="718">
        <f>SUM(L10,L13:L13)</f>
        <v>3081448</v>
      </c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</row>
    <row r="10" spans="1:12" s="256" customFormat="1" ht="21.75" customHeight="1">
      <c r="A10" s="552">
        <v>3</v>
      </c>
      <c r="B10" s="252"/>
      <c r="C10" s="253"/>
      <c r="D10" s="229"/>
      <c r="E10" s="229"/>
      <c r="F10" s="254" t="s">
        <v>446</v>
      </c>
      <c r="G10" s="255">
        <f aca="true" t="shared" si="0" ref="G10:L10">SUM(G11:G12)</f>
        <v>4361695</v>
      </c>
      <c r="H10" s="255">
        <f t="shared" si="0"/>
        <v>3009851</v>
      </c>
      <c r="I10" s="95">
        <f t="shared" si="0"/>
        <v>3342944</v>
      </c>
      <c r="J10" s="592">
        <f t="shared" si="0"/>
        <v>2736561</v>
      </c>
      <c r="K10" s="255">
        <f t="shared" si="0"/>
        <v>64797</v>
      </c>
      <c r="L10" s="719">
        <f t="shared" si="0"/>
        <v>2801358</v>
      </c>
    </row>
    <row r="11" spans="1:12" ht="33">
      <c r="A11" s="552">
        <v>4</v>
      </c>
      <c r="B11" s="146"/>
      <c r="C11" s="257"/>
      <c r="D11" s="257"/>
      <c r="E11" s="257"/>
      <c r="F11" s="258" t="s">
        <v>447</v>
      </c>
      <c r="G11" s="152">
        <v>2618843</v>
      </c>
      <c r="H11" s="152">
        <v>2963093</v>
      </c>
      <c r="I11" s="41">
        <v>3101194</v>
      </c>
      <c r="J11" s="593">
        <v>2736561</v>
      </c>
      <c r="K11" s="152">
        <v>49234</v>
      </c>
      <c r="L11" s="147">
        <f>SUM(J11:K11)</f>
        <v>2785795</v>
      </c>
    </row>
    <row r="12" spans="1:12" ht="33">
      <c r="A12" s="552">
        <v>5</v>
      </c>
      <c r="B12" s="145"/>
      <c r="C12" s="257"/>
      <c r="D12" s="257"/>
      <c r="E12" s="257"/>
      <c r="F12" s="258" t="s">
        <v>448</v>
      </c>
      <c r="G12" s="152">
        <f>242852+1500000</f>
        <v>1742852</v>
      </c>
      <c r="H12" s="152">
        <v>46758</v>
      </c>
      <c r="I12" s="41">
        <v>241750</v>
      </c>
      <c r="J12" s="593"/>
      <c r="K12" s="152">
        <v>15563</v>
      </c>
      <c r="L12" s="147">
        <f>SUM(J12:K12)</f>
        <v>15563</v>
      </c>
    </row>
    <row r="13" spans="1:12" s="256" customFormat="1" ht="21.75" customHeight="1">
      <c r="A13" s="552">
        <v>6</v>
      </c>
      <c r="B13" s="252"/>
      <c r="C13" s="259"/>
      <c r="D13" s="257"/>
      <c r="E13" s="257"/>
      <c r="F13" s="260" t="s">
        <v>449</v>
      </c>
      <c r="G13" s="255">
        <v>305603</v>
      </c>
      <c r="H13" s="255">
        <v>497933</v>
      </c>
      <c r="I13" s="95">
        <v>536969</v>
      </c>
      <c r="J13" s="594">
        <v>214014</v>
      </c>
      <c r="K13" s="255">
        <v>66076</v>
      </c>
      <c r="L13" s="719">
        <f>SUM(J13:K13)</f>
        <v>280090</v>
      </c>
    </row>
    <row r="14" spans="1:12" ht="16.5">
      <c r="A14" s="552">
        <v>7</v>
      </c>
      <c r="B14" s="145"/>
      <c r="C14" s="257"/>
      <c r="D14" s="257"/>
      <c r="E14" s="257"/>
      <c r="F14" s="258" t="s">
        <v>450</v>
      </c>
      <c r="G14" s="152">
        <v>180166</v>
      </c>
      <c r="H14" s="152">
        <v>143683</v>
      </c>
      <c r="I14" s="41">
        <v>152164</v>
      </c>
      <c r="J14" s="593">
        <v>128400</v>
      </c>
      <c r="K14" s="152"/>
      <c r="L14" s="147">
        <f>SUM(J14:K14)</f>
        <v>128400</v>
      </c>
    </row>
    <row r="15" spans="1:12" ht="42" customHeight="1">
      <c r="A15" s="553">
        <v>8</v>
      </c>
      <c r="B15" s="261" t="s">
        <v>451</v>
      </c>
      <c r="C15" s="257"/>
      <c r="D15" s="257"/>
      <c r="E15" s="262">
        <v>2</v>
      </c>
      <c r="F15" s="248" t="s">
        <v>452</v>
      </c>
      <c r="G15" s="263">
        <v>164408</v>
      </c>
      <c r="H15" s="263">
        <v>115009</v>
      </c>
      <c r="I15" s="263">
        <v>217215</v>
      </c>
      <c r="J15" s="596">
        <v>84306</v>
      </c>
      <c r="K15" s="152">
        <v>31429</v>
      </c>
      <c r="L15" s="147">
        <f>SUM(J15:K15)</f>
        <v>115735</v>
      </c>
    </row>
    <row r="16" spans="1:12" s="267" customFormat="1" ht="36" customHeight="1">
      <c r="A16" s="552">
        <v>9</v>
      </c>
      <c r="B16" s="145">
        <v>18</v>
      </c>
      <c r="C16" s="253"/>
      <c r="D16" s="229"/>
      <c r="E16" s="229">
        <v>3</v>
      </c>
      <c r="F16" s="264" t="s">
        <v>453</v>
      </c>
      <c r="G16" s="265">
        <f>SUM(G17,G25:G25)</f>
        <v>5488153</v>
      </c>
      <c r="H16" s="265">
        <f>SUM(H17,H25:H25)</f>
        <v>5485000</v>
      </c>
      <c r="I16" s="266">
        <f>SUM(I17,I25:I25)</f>
        <v>6245413</v>
      </c>
      <c r="J16" s="597">
        <f>SUM(J17,J25:J25)</f>
        <v>5845000</v>
      </c>
      <c r="K16" s="265">
        <f>SUM(K17,K25:K25)</f>
        <v>0</v>
      </c>
      <c r="L16" s="721">
        <f>SUM(L17,L25:L25)</f>
        <v>5845000</v>
      </c>
    </row>
    <row r="17" spans="1:12" s="256" customFormat="1" ht="21.75" customHeight="1">
      <c r="A17" s="552">
        <v>10</v>
      </c>
      <c r="B17" s="252"/>
      <c r="C17" s="253"/>
      <c r="D17" s="229"/>
      <c r="E17" s="229"/>
      <c r="F17" s="260" t="s">
        <v>454</v>
      </c>
      <c r="G17" s="255">
        <f>SUM(G18:G24)</f>
        <v>5470662</v>
      </c>
      <c r="H17" s="255">
        <f>SUM(H18:H24)</f>
        <v>5465000</v>
      </c>
      <c r="I17" s="95">
        <f>SUM(I18:I24)</f>
        <v>6228040</v>
      </c>
      <c r="J17" s="592">
        <f>SUM(J18:J24)</f>
        <v>5825000</v>
      </c>
      <c r="K17" s="255">
        <f>SUM(K18:K24)</f>
        <v>0</v>
      </c>
      <c r="L17" s="719">
        <f>SUM(L18:L24)</f>
        <v>5825000</v>
      </c>
    </row>
    <row r="18" spans="1:12" ht="16.5">
      <c r="A18" s="552">
        <v>11</v>
      </c>
      <c r="B18" s="145"/>
      <c r="C18" s="229"/>
      <c r="D18" s="229"/>
      <c r="E18" s="229"/>
      <c r="F18" s="258" t="s">
        <v>366</v>
      </c>
      <c r="G18" s="152">
        <v>1127194</v>
      </c>
      <c r="H18" s="152">
        <v>1130000</v>
      </c>
      <c r="I18" s="41">
        <v>1152985</v>
      </c>
      <c r="J18" s="593">
        <v>1120000</v>
      </c>
      <c r="K18" s="152"/>
      <c r="L18" s="147">
        <f>SUM(J18:K18)</f>
        <v>1120000</v>
      </c>
    </row>
    <row r="19" spans="1:12" ht="16.5">
      <c r="A19" s="552">
        <v>12</v>
      </c>
      <c r="B19" s="145"/>
      <c r="C19" s="229"/>
      <c r="D19" s="229"/>
      <c r="E19" s="229"/>
      <c r="F19" s="258" t="s">
        <v>369</v>
      </c>
      <c r="G19" s="152">
        <v>32272</v>
      </c>
      <c r="H19" s="152">
        <v>35000</v>
      </c>
      <c r="I19" s="41">
        <v>33109</v>
      </c>
      <c r="J19" s="593">
        <v>30000</v>
      </c>
      <c r="K19" s="152"/>
      <c r="L19" s="147">
        <f aca="true" t="shared" si="1" ref="L19:L32">SUM(J19:K19)</f>
        <v>30000</v>
      </c>
    </row>
    <row r="20" spans="1:12" ht="16.5">
      <c r="A20" s="552">
        <v>13</v>
      </c>
      <c r="B20" s="145"/>
      <c r="C20" s="229"/>
      <c r="D20" s="229"/>
      <c r="E20" s="229"/>
      <c r="F20" s="258" t="s">
        <v>368</v>
      </c>
      <c r="G20" s="152">
        <v>142370</v>
      </c>
      <c r="H20" s="152">
        <v>140000</v>
      </c>
      <c r="I20" s="41">
        <v>117063</v>
      </c>
      <c r="J20" s="593">
        <v>135000</v>
      </c>
      <c r="K20" s="152"/>
      <c r="L20" s="147">
        <f t="shared" si="1"/>
        <v>135000</v>
      </c>
    </row>
    <row r="21" spans="1:12" ht="16.5">
      <c r="A21" s="552">
        <v>14</v>
      </c>
      <c r="B21" s="145"/>
      <c r="C21" s="229"/>
      <c r="D21" s="229"/>
      <c r="E21" s="229"/>
      <c r="F21" s="258" t="s">
        <v>367</v>
      </c>
      <c r="G21" s="152">
        <v>137270</v>
      </c>
      <c r="H21" s="152">
        <v>135000</v>
      </c>
      <c r="I21" s="41">
        <v>125591</v>
      </c>
      <c r="J21" s="593">
        <v>125000</v>
      </c>
      <c r="K21" s="152"/>
      <c r="L21" s="147">
        <f t="shared" si="1"/>
        <v>125000</v>
      </c>
    </row>
    <row r="22" spans="1:12" ht="16.5">
      <c r="A22" s="552">
        <v>15</v>
      </c>
      <c r="B22" s="145"/>
      <c r="C22" s="229"/>
      <c r="D22" s="229"/>
      <c r="E22" s="229"/>
      <c r="F22" s="258" t="s">
        <v>365</v>
      </c>
      <c r="G22" s="152">
        <v>3789124</v>
      </c>
      <c r="H22" s="152">
        <v>3800000</v>
      </c>
      <c r="I22" s="41">
        <v>4587535</v>
      </c>
      <c r="J22" s="593">
        <v>4200000</v>
      </c>
      <c r="K22" s="152"/>
      <c r="L22" s="147">
        <f t="shared" si="1"/>
        <v>4200000</v>
      </c>
    </row>
    <row r="23" spans="1:12" ht="16.5">
      <c r="A23" s="552">
        <v>16</v>
      </c>
      <c r="B23" s="145"/>
      <c r="C23" s="229"/>
      <c r="D23" s="229"/>
      <c r="E23" s="229"/>
      <c r="F23" s="258" t="s">
        <v>370</v>
      </c>
      <c r="G23" s="152">
        <v>188896</v>
      </c>
      <c r="H23" s="152">
        <v>190000</v>
      </c>
      <c r="I23" s="41">
        <v>176853</v>
      </c>
      <c r="J23" s="593">
        <v>185000</v>
      </c>
      <c r="K23" s="152"/>
      <c r="L23" s="147">
        <f t="shared" si="1"/>
        <v>185000</v>
      </c>
    </row>
    <row r="24" spans="1:12" ht="16.5">
      <c r="A24" s="552">
        <v>17</v>
      </c>
      <c r="B24" s="145"/>
      <c r="C24" s="229"/>
      <c r="D24" s="229"/>
      <c r="E24" s="229"/>
      <c r="F24" s="258" t="s">
        <v>455</v>
      </c>
      <c r="G24" s="152">
        <v>53536</v>
      </c>
      <c r="H24" s="152">
        <v>35000</v>
      </c>
      <c r="I24" s="41">
        <v>34904</v>
      </c>
      <c r="J24" s="593">
        <v>30000</v>
      </c>
      <c r="K24" s="152"/>
      <c r="L24" s="147">
        <f t="shared" si="1"/>
        <v>30000</v>
      </c>
    </row>
    <row r="25" spans="1:12" s="256" customFormat="1" ht="34.5">
      <c r="A25" s="553">
        <v>18</v>
      </c>
      <c r="B25" s="252"/>
      <c r="C25" s="253"/>
      <c r="D25" s="229"/>
      <c r="E25" s="229"/>
      <c r="F25" s="260" t="s">
        <v>456</v>
      </c>
      <c r="G25" s="255">
        <v>17491</v>
      </c>
      <c r="H25" s="255">
        <v>20000</v>
      </c>
      <c r="I25" s="95">
        <v>17373</v>
      </c>
      <c r="J25" s="594">
        <v>20000</v>
      </c>
      <c r="K25" s="255"/>
      <c r="L25" s="719">
        <f t="shared" si="1"/>
        <v>20000</v>
      </c>
    </row>
    <row r="26" spans="1:12" s="267" customFormat="1" ht="36" customHeight="1">
      <c r="A26" s="552">
        <v>19</v>
      </c>
      <c r="B26" s="145">
        <v>18</v>
      </c>
      <c r="C26" s="253"/>
      <c r="D26" s="229"/>
      <c r="E26" s="229">
        <v>4</v>
      </c>
      <c r="F26" s="264" t="s">
        <v>381</v>
      </c>
      <c r="G26" s="265">
        <v>506309</v>
      </c>
      <c r="H26" s="265">
        <v>426096</v>
      </c>
      <c r="I26" s="266">
        <v>572465</v>
      </c>
      <c r="J26" s="597">
        <v>430110</v>
      </c>
      <c r="K26" s="282"/>
      <c r="L26" s="719">
        <f t="shared" si="1"/>
        <v>430110</v>
      </c>
    </row>
    <row r="27" spans="1:12" ht="16.5">
      <c r="A27" s="552">
        <v>20</v>
      </c>
      <c r="B27" s="145"/>
      <c r="C27" s="229"/>
      <c r="D27" s="229"/>
      <c r="E27" s="229"/>
      <c r="F27" s="258" t="s">
        <v>457</v>
      </c>
      <c r="G27" s="152">
        <v>354114</v>
      </c>
      <c r="H27" s="152">
        <v>251050</v>
      </c>
      <c r="I27" s="41">
        <v>286478</v>
      </c>
      <c r="J27" s="593">
        <v>44990</v>
      </c>
      <c r="K27" s="152"/>
      <c r="L27" s="147">
        <f t="shared" si="1"/>
        <v>44990</v>
      </c>
    </row>
    <row r="28" spans="1:12" ht="16.5">
      <c r="A28" s="552">
        <v>21</v>
      </c>
      <c r="B28" s="145"/>
      <c r="C28" s="229"/>
      <c r="D28" s="229"/>
      <c r="E28" s="229"/>
      <c r="F28" s="258" t="s">
        <v>458</v>
      </c>
      <c r="G28" s="152">
        <v>25037</v>
      </c>
      <c r="H28" s="152">
        <v>35000</v>
      </c>
      <c r="I28" s="41">
        <v>152617</v>
      </c>
      <c r="J28" s="593">
        <v>187110</v>
      </c>
      <c r="K28" s="152"/>
      <c r="L28" s="147">
        <f t="shared" si="1"/>
        <v>187110</v>
      </c>
    </row>
    <row r="29" spans="1:13" ht="16.5">
      <c r="A29" s="552">
        <v>22</v>
      </c>
      <c r="B29" s="145"/>
      <c r="C29" s="229"/>
      <c r="D29" s="229"/>
      <c r="E29" s="229"/>
      <c r="F29" s="258" t="s">
        <v>459</v>
      </c>
      <c r="G29" s="152">
        <v>123672</v>
      </c>
      <c r="H29" s="152">
        <v>67500</v>
      </c>
      <c r="I29" s="41">
        <v>110448</v>
      </c>
      <c r="J29" s="593">
        <v>159710</v>
      </c>
      <c r="K29" s="152"/>
      <c r="L29" s="147">
        <f t="shared" si="1"/>
        <v>159710</v>
      </c>
      <c r="M29" s="229"/>
    </row>
    <row r="30" spans="1:12" s="267" customFormat="1" ht="36" customHeight="1">
      <c r="A30" s="552">
        <v>23</v>
      </c>
      <c r="B30" s="268" t="s">
        <v>451</v>
      </c>
      <c r="C30" s="253"/>
      <c r="D30" s="229"/>
      <c r="E30" s="229">
        <v>5</v>
      </c>
      <c r="F30" s="264" t="s">
        <v>460</v>
      </c>
      <c r="G30" s="265">
        <v>1033576</v>
      </c>
      <c r="H30" s="265">
        <v>899595</v>
      </c>
      <c r="I30" s="266">
        <v>1124260</v>
      </c>
      <c r="J30" s="597">
        <v>1082274</v>
      </c>
      <c r="K30" s="282"/>
      <c r="L30" s="719">
        <f t="shared" si="1"/>
        <v>1082274</v>
      </c>
    </row>
    <row r="31" spans="1:12" s="267" customFormat="1" ht="36" customHeight="1">
      <c r="A31" s="552">
        <v>24</v>
      </c>
      <c r="B31" s="145">
        <v>18</v>
      </c>
      <c r="C31" s="253"/>
      <c r="D31" s="229"/>
      <c r="E31" s="229">
        <v>6</v>
      </c>
      <c r="F31" s="264" t="s">
        <v>461</v>
      </c>
      <c r="G31" s="265">
        <v>2914</v>
      </c>
      <c r="H31" s="265"/>
      <c r="I31" s="266">
        <v>601</v>
      </c>
      <c r="J31" s="597"/>
      <c r="K31" s="282"/>
      <c r="L31" s="719">
        <f t="shared" si="1"/>
        <v>0</v>
      </c>
    </row>
    <row r="32" spans="1:12" s="256" customFormat="1" ht="34.5">
      <c r="A32" s="554">
        <v>25</v>
      </c>
      <c r="B32" s="269" t="s">
        <v>451</v>
      </c>
      <c r="C32" s="270"/>
      <c r="D32" s="270"/>
      <c r="E32" s="271">
        <v>7</v>
      </c>
      <c r="F32" s="272" t="s">
        <v>462</v>
      </c>
      <c r="G32" s="273">
        <v>113463</v>
      </c>
      <c r="H32" s="273">
        <v>80000</v>
      </c>
      <c r="I32" s="273">
        <v>106906</v>
      </c>
      <c r="J32" s="598">
        <v>84000</v>
      </c>
      <c r="K32" s="1090"/>
      <c r="L32" s="722">
        <f t="shared" si="1"/>
        <v>84000</v>
      </c>
    </row>
    <row r="33" spans="1:23" s="246" customFormat="1" ht="36" customHeight="1">
      <c r="A33" s="552">
        <v>26</v>
      </c>
      <c r="B33" s="274"/>
      <c r="C33" s="275"/>
      <c r="D33" s="276">
        <v>2</v>
      </c>
      <c r="E33" s="276"/>
      <c r="F33" s="277" t="s">
        <v>378</v>
      </c>
      <c r="G33" s="278">
        <f aca="true" t="shared" si="2" ref="G33:L33">SUM(G34,G39:G40,G42:G44)</f>
        <v>1861642</v>
      </c>
      <c r="H33" s="278">
        <f t="shared" si="2"/>
        <v>6190156</v>
      </c>
      <c r="I33" s="279">
        <f t="shared" si="2"/>
        <v>4934964</v>
      </c>
      <c r="J33" s="599">
        <f t="shared" si="2"/>
        <v>2369913</v>
      </c>
      <c r="K33" s="278">
        <f t="shared" si="2"/>
        <v>2706592</v>
      </c>
      <c r="L33" s="723">
        <f t="shared" si="2"/>
        <v>5076505</v>
      </c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</row>
    <row r="34" spans="1:12" s="267" customFormat="1" ht="33" customHeight="1">
      <c r="A34" s="552">
        <v>27</v>
      </c>
      <c r="B34" s="145"/>
      <c r="C34" s="253"/>
      <c r="D34" s="229"/>
      <c r="E34" s="229">
        <v>8</v>
      </c>
      <c r="F34" s="264" t="s">
        <v>463</v>
      </c>
      <c r="G34" s="265">
        <f>SUM(G35,G38)</f>
        <v>1717783</v>
      </c>
      <c r="H34" s="265">
        <f>SUM(H35,H38)</f>
        <v>5640156</v>
      </c>
      <c r="I34" s="266">
        <f>SUM(I35,I38)</f>
        <v>4516247</v>
      </c>
      <c r="J34" s="600">
        <f>SUM(J35,J38)</f>
        <v>1867624</v>
      </c>
      <c r="K34" s="266">
        <f>SUM(K35,K38)</f>
        <v>2694209</v>
      </c>
      <c r="L34" s="724">
        <f>SUM(L35,L38)</f>
        <v>4561833</v>
      </c>
    </row>
    <row r="35" spans="1:12" s="290" customFormat="1" ht="21.75" customHeight="1">
      <c r="A35" s="553">
        <v>28</v>
      </c>
      <c r="B35" s="150">
        <v>18</v>
      </c>
      <c r="C35" s="1096"/>
      <c r="D35" s="1097"/>
      <c r="E35" s="1097"/>
      <c r="F35" s="1042" t="s">
        <v>464</v>
      </c>
      <c r="G35" s="1043">
        <f>SUM(G36:G37)</f>
        <v>341018</v>
      </c>
      <c r="H35" s="1043">
        <f>SUM(H36:H37)</f>
        <v>1733964</v>
      </c>
      <c r="I35" s="1044">
        <f>SUM(I36:I37)</f>
        <v>3925237</v>
      </c>
      <c r="J35" s="1045">
        <f>SUM(J36:J37)</f>
        <v>0</v>
      </c>
      <c r="K35" s="1043">
        <f>SUM(K36:K37)</f>
        <v>8810</v>
      </c>
      <c r="L35" s="1046">
        <f>SUM(L36:L37)</f>
        <v>8810</v>
      </c>
    </row>
    <row r="36" spans="1:12" ht="16.5">
      <c r="A36" s="552">
        <v>29</v>
      </c>
      <c r="B36" s="145"/>
      <c r="C36" s="257"/>
      <c r="D36" s="257"/>
      <c r="E36" s="257"/>
      <c r="F36" s="280" t="s">
        <v>465</v>
      </c>
      <c r="G36" s="41">
        <v>7800</v>
      </c>
      <c r="H36" s="41"/>
      <c r="I36" s="41">
        <v>2183601</v>
      </c>
      <c r="J36" s="593"/>
      <c r="K36" s="152">
        <v>8810</v>
      </c>
      <c r="L36" s="147">
        <f>SUM(J36:K36)</f>
        <v>8810</v>
      </c>
    </row>
    <row r="37" spans="1:12" ht="33">
      <c r="A37" s="554">
        <v>30</v>
      </c>
      <c r="B37" s="145"/>
      <c r="C37" s="257"/>
      <c r="D37" s="257"/>
      <c r="E37" s="257"/>
      <c r="F37" s="280" t="s">
        <v>466</v>
      </c>
      <c r="G37" s="41">
        <v>333218</v>
      </c>
      <c r="H37" s="41">
        <v>1733964</v>
      </c>
      <c r="I37" s="41">
        <v>1741636</v>
      </c>
      <c r="J37" s="593"/>
      <c r="K37" s="152"/>
      <c r="L37" s="720"/>
    </row>
    <row r="38" spans="1:12" s="290" customFormat="1" ht="21.75" customHeight="1">
      <c r="A38" s="553">
        <v>31</v>
      </c>
      <c r="B38" s="150">
        <v>18</v>
      </c>
      <c r="C38" s="1096"/>
      <c r="D38" s="1097"/>
      <c r="E38" s="1097"/>
      <c r="F38" s="1042" t="s">
        <v>467</v>
      </c>
      <c r="G38" s="1044">
        <v>1376765</v>
      </c>
      <c r="H38" s="1044">
        <v>3906192</v>
      </c>
      <c r="I38" s="1044">
        <v>591010</v>
      </c>
      <c r="J38" s="1047">
        <v>1867624</v>
      </c>
      <c r="K38" s="1043">
        <v>2685399</v>
      </c>
      <c r="L38" s="1046">
        <f>SUM(J38:K38)</f>
        <v>4553023</v>
      </c>
    </row>
    <row r="39" spans="1:12" s="256" customFormat="1" ht="33" customHeight="1">
      <c r="A39" s="554">
        <v>32</v>
      </c>
      <c r="B39" s="269" t="s">
        <v>451</v>
      </c>
      <c r="C39" s="259"/>
      <c r="D39" s="259"/>
      <c r="E39" s="257">
        <v>9</v>
      </c>
      <c r="F39" s="260" t="s">
        <v>468</v>
      </c>
      <c r="G39" s="95">
        <v>14500</v>
      </c>
      <c r="H39" s="95"/>
      <c r="I39" s="95"/>
      <c r="J39" s="594"/>
      <c r="K39" s="255"/>
      <c r="L39" s="725"/>
    </row>
    <row r="40" spans="1:12" s="267" customFormat="1" ht="33" customHeight="1">
      <c r="A40" s="552">
        <v>33</v>
      </c>
      <c r="B40" s="145">
        <v>18</v>
      </c>
      <c r="C40" s="253"/>
      <c r="D40" s="229"/>
      <c r="E40" s="229">
        <v>10</v>
      </c>
      <c r="F40" s="264" t="s">
        <v>469</v>
      </c>
      <c r="G40" s="265">
        <f>SUM(G41)</f>
        <v>94021</v>
      </c>
      <c r="H40" s="265">
        <f>SUM(H41)</f>
        <v>550000</v>
      </c>
      <c r="I40" s="266">
        <f>SUM(I41)</f>
        <v>409229</v>
      </c>
      <c r="J40" s="597">
        <f>SUM(J41)</f>
        <v>500000</v>
      </c>
      <c r="K40" s="265">
        <f>SUM(K41)</f>
        <v>0</v>
      </c>
      <c r="L40" s="721">
        <f>SUM(L41)</f>
        <v>500000</v>
      </c>
    </row>
    <row r="41" spans="1:12" ht="16.5">
      <c r="A41" s="552">
        <v>34</v>
      </c>
      <c r="B41" s="145"/>
      <c r="C41" s="229"/>
      <c r="D41" s="229"/>
      <c r="E41" s="229"/>
      <c r="F41" s="258" t="s">
        <v>470</v>
      </c>
      <c r="G41" s="152">
        <v>94021</v>
      </c>
      <c r="H41" s="152">
        <v>550000</v>
      </c>
      <c r="I41" s="41">
        <v>409229</v>
      </c>
      <c r="J41" s="593">
        <v>500000</v>
      </c>
      <c r="K41" s="152"/>
      <c r="L41" s="147">
        <f>SUM(J41:K41)</f>
        <v>500000</v>
      </c>
    </row>
    <row r="42" spans="1:12" ht="33" customHeight="1">
      <c r="A42" s="552">
        <v>35</v>
      </c>
      <c r="B42" s="145"/>
      <c r="C42" s="229"/>
      <c r="D42" s="229"/>
      <c r="E42" s="229">
        <v>11</v>
      </c>
      <c r="F42" s="281" t="s">
        <v>471</v>
      </c>
      <c r="G42" s="95">
        <v>5025</v>
      </c>
      <c r="H42" s="255"/>
      <c r="I42" s="95">
        <v>543</v>
      </c>
      <c r="J42" s="594">
        <v>2289</v>
      </c>
      <c r="K42" s="152">
        <v>2383</v>
      </c>
      <c r="L42" s="719">
        <f>SUM(J42:K42)</f>
        <v>4672</v>
      </c>
    </row>
    <row r="43" spans="1:12" s="267" customFormat="1" ht="33" customHeight="1">
      <c r="A43" s="552">
        <v>36</v>
      </c>
      <c r="B43" s="145">
        <v>18</v>
      </c>
      <c r="C43" s="253"/>
      <c r="D43" s="229"/>
      <c r="E43" s="229">
        <v>12</v>
      </c>
      <c r="F43" s="264" t="s">
        <v>472</v>
      </c>
      <c r="G43" s="282">
        <v>30313</v>
      </c>
      <c r="H43" s="282"/>
      <c r="I43" s="283">
        <v>8945</v>
      </c>
      <c r="J43" s="601"/>
      <c r="K43" s="282"/>
      <c r="L43" s="726"/>
    </row>
    <row r="44" spans="1:12" s="256" customFormat="1" ht="33" customHeight="1">
      <c r="A44" s="553">
        <v>37</v>
      </c>
      <c r="B44" s="261" t="s">
        <v>451</v>
      </c>
      <c r="C44" s="253"/>
      <c r="D44" s="253"/>
      <c r="E44" s="257">
        <v>13</v>
      </c>
      <c r="F44" s="284" t="s">
        <v>473</v>
      </c>
      <c r="G44" s="95"/>
      <c r="H44" s="255"/>
      <c r="I44" s="95"/>
      <c r="J44" s="594"/>
      <c r="K44" s="255">
        <v>10000</v>
      </c>
      <c r="L44" s="719">
        <f>SUM(J44:K44)</f>
        <v>10000</v>
      </c>
    </row>
    <row r="45" spans="1:12" s="290" customFormat="1" ht="36" customHeight="1">
      <c r="A45" s="553">
        <v>38</v>
      </c>
      <c r="B45" s="150">
        <v>18</v>
      </c>
      <c r="C45" s="285"/>
      <c r="D45" s="286"/>
      <c r="E45" s="286"/>
      <c r="F45" s="287" t="s">
        <v>474</v>
      </c>
      <c r="G45" s="288">
        <f>SUM(G46:G47)</f>
        <v>1149</v>
      </c>
      <c r="H45" s="288">
        <f>SUM(H46:H47)</f>
        <v>0</v>
      </c>
      <c r="I45" s="289">
        <f>SUM(I46:I47)</f>
        <v>0</v>
      </c>
      <c r="J45" s="602">
        <f>SUM(J46:J47)</f>
        <v>2600</v>
      </c>
      <c r="K45" s="289">
        <f>SUM(K46:K47)</f>
        <v>0</v>
      </c>
      <c r="L45" s="727">
        <f>SUM(L46:L47)</f>
        <v>2600</v>
      </c>
    </row>
    <row r="46" spans="1:12" ht="33">
      <c r="A46" s="552">
        <v>39</v>
      </c>
      <c r="B46" s="145"/>
      <c r="C46" s="229"/>
      <c r="D46" s="229"/>
      <c r="E46" s="229"/>
      <c r="F46" s="585" t="s">
        <v>596</v>
      </c>
      <c r="G46" s="152">
        <v>1149</v>
      </c>
      <c r="H46" s="152"/>
      <c r="I46" s="41"/>
      <c r="J46" s="593">
        <v>2600</v>
      </c>
      <c r="K46" s="152"/>
      <c r="L46" s="147">
        <f>SUM(J46:K46)</f>
        <v>2600</v>
      </c>
    </row>
    <row r="47" spans="1:12" ht="16.5">
      <c r="A47" s="552">
        <v>40</v>
      </c>
      <c r="B47" s="145"/>
      <c r="C47" s="229"/>
      <c r="D47" s="229"/>
      <c r="E47" s="229"/>
      <c r="F47" s="151" t="s">
        <v>469</v>
      </c>
      <c r="G47" s="152"/>
      <c r="H47" s="152"/>
      <c r="I47" s="41"/>
      <c r="J47" s="593"/>
      <c r="K47" s="152"/>
      <c r="L47" s="720"/>
    </row>
    <row r="48" spans="1:12" s="290" customFormat="1" ht="36" customHeight="1" thickBot="1">
      <c r="A48" s="553">
        <v>41</v>
      </c>
      <c r="B48" s="291"/>
      <c r="C48" s="292"/>
      <c r="D48" s="293"/>
      <c r="E48" s="293"/>
      <c r="F48" s="294" t="s">
        <v>475</v>
      </c>
      <c r="G48" s="295">
        <f>SUM(G8,G33,G45)</f>
        <v>13838912</v>
      </c>
      <c r="H48" s="295">
        <f>SUM(H8,H33,H45)</f>
        <v>16703640</v>
      </c>
      <c r="I48" s="296">
        <f>SUM(I8,I33,I45)</f>
        <v>17081737</v>
      </c>
      <c r="J48" s="603">
        <f>SUM(J8,J33,J45)</f>
        <v>12848778</v>
      </c>
      <c r="K48" s="295">
        <f>SUM(K8,K33,K45)</f>
        <v>2868894</v>
      </c>
      <c r="L48" s="728">
        <f>SUM(L8,L33,L45)</f>
        <v>15717672</v>
      </c>
    </row>
    <row r="49" spans="1:12" s="290" customFormat="1" ht="36" customHeight="1" thickBot="1" thickTop="1">
      <c r="A49" s="553">
        <v>42</v>
      </c>
      <c r="B49" s="297"/>
      <c r="C49" s="298"/>
      <c r="D49" s="299"/>
      <c r="E49" s="299"/>
      <c r="F49" s="300" t="s">
        <v>476</v>
      </c>
      <c r="G49" s="301">
        <v>-2125695</v>
      </c>
      <c r="H49" s="301">
        <f>+H48-'2.Onki'!H32</f>
        <v>395560</v>
      </c>
      <c r="I49" s="302"/>
      <c r="J49" s="604">
        <f>+J48-'2.Onki'!J32</f>
        <v>-1048266</v>
      </c>
      <c r="K49" s="302">
        <v>-1845667</v>
      </c>
      <c r="L49" s="729">
        <v>-2809251</v>
      </c>
    </row>
    <row r="50" spans="1:12" s="290" customFormat="1" ht="30" customHeight="1">
      <c r="A50" s="553">
        <v>43</v>
      </c>
      <c r="B50" s="303"/>
      <c r="C50" s="1096"/>
      <c r="D50" s="1097"/>
      <c r="E50" s="1097">
        <v>14</v>
      </c>
      <c r="F50" s="304" t="s">
        <v>477</v>
      </c>
      <c r="G50" s="305">
        <f>SUM(G51,G62)</f>
        <v>1012025</v>
      </c>
      <c r="H50" s="305">
        <f>SUM(H51,H62)</f>
        <v>1352433</v>
      </c>
      <c r="I50" s="306">
        <f>SUM(I51,I62)</f>
        <v>1478425</v>
      </c>
      <c r="J50" s="605">
        <f>SUM(J51,J62)</f>
        <v>1100000</v>
      </c>
      <c r="K50" s="306">
        <f>SUM(K51,K62)</f>
        <v>1845667</v>
      </c>
      <c r="L50" s="730">
        <f>SUM(L51,L62)</f>
        <v>2945667</v>
      </c>
    </row>
    <row r="51" spans="1:12" s="290" customFormat="1" ht="30" customHeight="1">
      <c r="A51" s="553">
        <v>44</v>
      </c>
      <c r="B51" s="307"/>
      <c r="C51" s="285"/>
      <c r="D51" s="286"/>
      <c r="E51" s="286"/>
      <c r="F51" s="287" t="s">
        <v>478</v>
      </c>
      <c r="G51" s="308">
        <f>SUM(G52,G58)</f>
        <v>260256</v>
      </c>
      <c r="H51" s="308">
        <f>SUM(H52,H58)</f>
        <v>0</v>
      </c>
      <c r="I51" s="309">
        <f>SUM(I52,I58)+I61</f>
        <v>1151708</v>
      </c>
      <c r="J51" s="606">
        <f>SUM(J52,J58)</f>
        <v>1100000</v>
      </c>
      <c r="K51" s="309">
        <f>SUM(K52,K58)</f>
        <v>1085072</v>
      </c>
      <c r="L51" s="731">
        <f>SUM(L52,L58)</f>
        <v>2185072</v>
      </c>
    </row>
    <row r="52" spans="1:12" s="267" customFormat="1" ht="30" customHeight="1">
      <c r="A52" s="552">
        <v>45</v>
      </c>
      <c r="B52" s="252"/>
      <c r="C52" s="253"/>
      <c r="D52" s="229">
        <v>1</v>
      </c>
      <c r="E52" s="229"/>
      <c r="F52" s="264" t="s">
        <v>598</v>
      </c>
      <c r="G52" s="282">
        <f>SUM(G53:G57)</f>
        <v>255986</v>
      </c>
      <c r="H52" s="282">
        <f>SUM(H53:H57)</f>
        <v>0</v>
      </c>
      <c r="I52" s="283">
        <f>SUM(I53:I57)</f>
        <v>1067026</v>
      </c>
      <c r="J52" s="601">
        <f>SUM(J53:J57)</f>
        <v>450000</v>
      </c>
      <c r="K52" s="282">
        <f>SUM(K53:K57)</f>
        <v>1085072</v>
      </c>
      <c r="L52" s="732">
        <f>SUM(L53:L57)</f>
        <v>1535072</v>
      </c>
    </row>
    <row r="53" spans="1:12" ht="16.5">
      <c r="A53" s="552">
        <v>46</v>
      </c>
      <c r="B53" s="261" t="s">
        <v>451</v>
      </c>
      <c r="C53" s="229"/>
      <c r="D53" s="229"/>
      <c r="E53" s="229"/>
      <c r="F53" s="258" t="s">
        <v>479</v>
      </c>
      <c r="G53" s="152">
        <v>39832</v>
      </c>
      <c r="H53" s="152"/>
      <c r="I53" s="41">
        <v>142701</v>
      </c>
      <c r="J53" s="593"/>
      <c r="K53" s="152">
        <v>216837</v>
      </c>
      <c r="L53" s="147">
        <f>SUM(J53:K53)</f>
        <v>216837</v>
      </c>
    </row>
    <row r="54" spans="1:12" ht="16.5">
      <c r="A54" s="552">
        <v>47</v>
      </c>
      <c r="B54" s="145">
        <v>17</v>
      </c>
      <c r="C54" s="229"/>
      <c r="D54" s="229"/>
      <c r="E54" s="229"/>
      <c r="F54" s="258" t="s">
        <v>480</v>
      </c>
      <c r="G54" s="152">
        <v>140469</v>
      </c>
      <c r="H54" s="152"/>
      <c r="I54" s="41">
        <v>171583</v>
      </c>
      <c r="J54" s="593"/>
      <c r="K54" s="152">
        <v>145507</v>
      </c>
      <c r="L54" s="147">
        <f>SUM(J54:K54)</f>
        <v>145507</v>
      </c>
    </row>
    <row r="55" spans="1:12" ht="16.5">
      <c r="A55" s="552">
        <v>48</v>
      </c>
      <c r="B55" s="145">
        <v>18</v>
      </c>
      <c r="C55" s="229"/>
      <c r="D55" s="229"/>
      <c r="E55" s="229"/>
      <c r="F55" s="258" t="s">
        <v>361</v>
      </c>
      <c r="G55" s="152">
        <v>66256</v>
      </c>
      <c r="H55" s="152"/>
      <c r="I55" s="41">
        <v>752742</v>
      </c>
      <c r="J55" s="593"/>
      <c r="K55" s="152">
        <v>722728</v>
      </c>
      <c r="L55" s="147">
        <f>SUM(J55:K55)</f>
        <v>722728</v>
      </c>
    </row>
    <row r="56" spans="1:12" ht="16.5">
      <c r="A56" s="552">
        <v>49</v>
      </c>
      <c r="B56" s="145">
        <v>18</v>
      </c>
      <c r="C56" s="310"/>
      <c r="D56" s="229"/>
      <c r="E56" s="229"/>
      <c r="F56" s="258" t="s">
        <v>481</v>
      </c>
      <c r="G56" s="152">
        <v>8112</v>
      </c>
      <c r="H56" s="152"/>
      <c r="I56" s="41"/>
      <c r="J56" s="593">
        <v>450000</v>
      </c>
      <c r="K56" s="152"/>
      <c r="L56" s="147">
        <f>SUM(J56:K56)</f>
        <v>450000</v>
      </c>
    </row>
    <row r="57" spans="1:12" ht="16.5">
      <c r="A57" s="552">
        <v>50</v>
      </c>
      <c r="B57" s="145">
        <v>18</v>
      </c>
      <c r="C57" s="229"/>
      <c r="D57" s="229"/>
      <c r="E57" s="229"/>
      <c r="F57" s="258" t="s">
        <v>474</v>
      </c>
      <c r="G57" s="152">
        <v>1317</v>
      </c>
      <c r="H57" s="152"/>
      <c r="I57" s="41"/>
      <c r="J57" s="593"/>
      <c r="K57" s="152"/>
      <c r="L57" s="720"/>
    </row>
    <row r="58" spans="1:12" s="267" customFormat="1" ht="30" customHeight="1">
      <c r="A58" s="552">
        <v>51</v>
      </c>
      <c r="B58" s="252"/>
      <c r="C58" s="253"/>
      <c r="D58" s="229">
        <v>2</v>
      </c>
      <c r="E58" s="229"/>
      <c r="F58" s="264" t="s">
        <v>597</v>
      </c>
      <c r="G58" s="282">
        <f>SUM(G59:G60)</f>
        <v>4270</v>
      </c>
      <c r="H58" s="282">
        <f>SUM(H59:H60)</f>
        <v>0</v>
      </c>
      <c r="I58" s="283">
        <f>SUM(I59:I60)</f>
        <v>0</v>
      </c>
      <c r="J58" s="601">
        <f>J59+J60</f>
        <v>650000</v>
      </c>
      <c r="K58" s="282">
        <f>K59+K60</f>
        <v>0</v>
      </c>
      <c r="L58" s="732">
        <f>L59+L60</f>
        <v>650000</v>
      </c>
    </row>
    <row r="59" spans="1:12" s="256" customFormat="1" ht="17.25">
      <c r="A59" s="552">
        <v>52</v>
      </c>
      <c r="B59" s="268" t="s">
        <v>451</v>
      </c>
      <c r="C59" s="229"/>
      <c r="D59" s="229"/>
      <c r="E59" s="229"/>
      <c r="F59" s="311" t="s">
        <v>479</v>
      </c>
      <c r="G59" s="152">
        <v>4270</v>
      </c>
      <c r="H59" s="152"/>
      <c r="I59" s="41"/>
      <c r="J59" s="593"/>
      <c r="K59" s="255"/>
      <c r="L59" s="725"/>
    </row>
    <row r="60" spans="1:12" s="256" customFormat="1" ht="17.25">
      <c r="A60" s="552">
        <v>53</v>
      </c>
      <c r="B60" s="145">
        <v>18</v>
      </c>
      <c r="C60" s="229"/>
      <c r="D60" s="229"/>
      <c r="E60" s="229"/>
      <c r="F60" s="311" t="s">
        <v>482</v>
      </c>
      <c r="G60" s="152"/>
      <c r="H60" s="152"/>
      <c r="I60" s="41"/>
      <c r="J60" s="593">
        <v>650000</v>
      </c>
      <c r="K60" s="255"/>
      <c r="L60" s="719">
        <f>SUM(J60:K60)</f>
        <v>650000</v>
      </c>
    </row>
    <row r="61" spans="1:12" s="256" customFormat="1" ht="17.25">
      <c r="A61" s="552"/>
      <c r="B61" s="145"/>
      <c r="C61" s="229"/>
      <c r="D61" s="229"/>
      <c r="E61" s="229"/>
      <c r="F61" s="264" t="s">
        <v>802</v>
      </c>
      <c r="G61" s="152"/>
      <c r="H61" s="152"/>
      <c r="I61" s="41">
        <v>84682</v>
      </c>
      <c r="J61" s="593"/>
      <c r="K61" s="255"/>
      <c r="L61" s="719"/>
    </row>
    <row r="62" spans="1:12" s="290" customFormat="1" ht="36" customHeight="1">
      <c r="A62" s="553">
        <v>54</v>
      </c>
      <c r="B62" s="307"/>
      <c r="C62" s="285"/>
      <c r="D62" s="286"/>
      <c r="E62" s="286"/>
      <c r="F62" s="287" t="s">
        <v>483</v>
      </c>
      <c r="G62" s="308">
        <f>SUM(G63:G65)</f>
        <v>751769</v>
      </c>
      <c r="H62" s="308">
        <f>SUM(H63:H65)</f>
        <v>1352433</v>
      </c>
      <c r="I62" s="309">
        <f>SUM(I63:I65)</f>
        <v>326717</v>
      </c>
      <c r="J62" s="606">
        <f>SUM(J63:J65)</f>
        <v>0</v>
      </c>
      <c r="K62" s="309">
        <f>SUM(K63:K65)</f>
        <v>760595</v>
      </c>
      <c r="L62" s="731">
        <f>SUM(L63:L65)</f>
        <v>760595</v>
      </c>
    </row>
    <row r="63" spans="1:12" s="267" customFormat="1" ht="30" customHeight="1">
      <c r="A63" s="552">
        <v>55</v>
      </c>
      <c r="B63" s="252">
        <v>18</v>
      </c>
      <c r="C63" s="253"/>
      <c r="D63" s="229">
        <v>2</v>
      </c>
      <c r="E63" s="229"/>
      <c r="F63" s="264" t="s">
        <v>484</v>
      </c>
      <c r="G63" s="282"/>
      <c r="H63" s="282"/>
      <c r="I63" s="283"/>
      <c r="J63" s="601"/>
      <c r="K63" s="282"/>
      <c r="L63" s="726"/>
    </row>
    <row r="64" spans="1:12" ht="16.5">
      <c r="A64" s="552">
        <v>56</v>
      </c>
      <c r="B64" s="145"/>
      <c r="C64" s="229"/>
      <c r="D64" s="229"/>
      <c r="E64" s="229"/>
      <c r="F64" s="258" t="s">
        <v>484</v>
      </c>
      <c r="G64" s="152">
        <v>751769</v>
      </c>
      <c r="H64" s="152">
        <v>500000</v>
      </c>
      <c r="I64" s="41"/>
      <c r="J64" s="593"/>
      <c r="K64" s="152"/>
      <c r="L64" s="147">
        <f>SUM(J64:K64)</f>
        <v>0</v>
      </c>
    </row>
    <row r="65" spans="1:12" ht="16.5">
      <c r="A65" s="552">
        <v>57</v>
      </c>
      <c r="B65" s="145"/>
      <c r="C65" s="229"/>
      <c r="D65" s="229"/>
      <c r="E65" s="229"/>
      <c r="F65" s="312" t="s">
        <v>485</v>
      </c>
      <c r="G65" s="313"/>
      <c r="H65" s="313">
        <v>852433</v>
      </c>
      <c r="I65" s="314">
        <v>326717</v>
      </c>
      <c r="J65" s="607"/>
      <c r="K65" s="313">
        <v>760595</v>
      </c>
      <c r="L65" s="148">
        <f>SUM(J65:K65)</f>
        <v>760595</v>
      </c>
    </row>
    <row r="66" spans="1:12" s="267" customFormat="1" ht="30" customHeight="1">
      <c r="A66" s="552">
        <v>58</v>
      </c>
      <c r="B66" s="252"/>
      <c r="C66" s="253"/>
      <c r="D66" s="229"/>
      <c r="E66" s="229"/>
      <c r="F66" s="264" t="s">
        <v>486</v>
      </c>
      <c r="G66" s="282"/>
      <c r="H66" s="282"/>
      <c r="I66" s="283"/>
      <c r="J66" s="601"/>
      <c r="K66" s="282"/>
      <c r="L66" s="147"/>
    </row>
    <row r="67" spans="1:12" s="256" customFormat="1" ht="17.25">
      <c r="A67" s="552">
        <v>59</v>
      </c>
      <c r="B67" s="268" t="s">
        <v>451</v>
      </c>
      <c r="C67" s="253"/>
      <c r="D67" s="229"/>
      <c r="E67" s="229"/>
      <c r="F67" s="315" t="s">
        <v>487</v>
      </c>
      <c r="G67" s="152">
        <v>-75002</v>
      </c>
      <c r="H67" s="255"/>
      <c r="I67" s="95"/>
      <c r="J67" s="594"/>
      <c r="K67" s="255"/>
      <c r="L67" s="147">
        <f>SUM(J67:K67)</f>
        <v>0</v>
      </c>
    </row>
    <row r="68" spans="1:12" ht="16.5">
      <c r="A68" s="552">
        <v>60</v>
      </c>
      <c r="B68" s="145">
        <v>18</v>
      </c>
      <c r="C68" s="229"/>
      <c r="D68" s="229"/>
      <c r="E68" s="229"/>
      <c r="F68" s="316" t="s">
        <v>488</v>
      </c>
      <c r="G68" s="152">
        <v>-4457</v>
      </c>
      <c r="H68" s="152"/>
      <c r="I68" s="41"/>
      <c r="J68" s="593"/>
      <c r="K68" s="152"/>
      <c r="L68" s="147">
        <f>SUM(J68:K68)</f>
        <v>0</v>
      </c>
    </row>
    <row r="69" spans="1:12" s="290" customFormat="1" ht="36" customHeight="1" thickBot="1">
      <c r="A69" s="553">
        <v>61</v>
      </c>
      <c r="B69" s="317"/>
      <c r="C69" s="318"/>
      <c r="D69" s="319"/>
      <c r="E69" s="319"/>
      <c r="F69" s="320" t="s">
        <v>489</v>
      </c>
      <c r="G69" s="321">
        <f>SUM(G48,G50,G66:G68)</f>
        <v>14771478</v>
      </c>
      <c r="H69" s="321">
        <f>SUM(H48,H50,H66:H68)</f>
        <v>18056073</v>
      </c>
      <c r="I69" s="322">
        <f>SUM(I48,I50,I66:I68)</f>
        <v>18560162</v>
      </c>
      <c r="J69" s="608">
        <f>SUM(J48,J50,J66:J68)</f>
        <v>13948778</v>
      </c>
      <c r="K69" s="322">
        <f>SUM(K48,K50,K66:K68)</f>
        <v>4714561</v>
      </c>
      <c r="L69" s="733">
        <f>SUM(L48,L50,L66:L68)</f>
        <v>18663339</v>
      </c>
    </row>
  </sheetData>
  <sheetProtection/>
  <mergeCells count="5">
    <mergeCell ref="K5:L5"/>
    <mergeCell ref="B1:J1"/>
    <mergeCell ref="B2:L2"/>
    <mergeCell ref="B3:L3"/>
    <mergeCell ref="B4:L4"/>
  </mergeCells>
  <printOptions horizontalCentered="1"/>
  <pageMargins left="0.1968503937007874" right="0.1968503937007874" top="0.5905511811023623" bottom="0.5905511811023623" header="0.5118110236220472" footer="0.5118110236220472"/>
  <pageSetup fitToHeight="2" fitToWidth="1" horizontalDpi="600" verticalDpi="600" orientation="portrait" paperSize="9" scale="63" r:id="rId1"/>
  <rowBreaks count="1" manualBreakCount="1">
    <brk id="4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8"/>
  <sheetViews>
    <sheetView view="pageBreakPreview" zoomScaleSheetLayoutView="100" zoomScalePageLayoutView="0" workbookViewId="0" topLeftCell="A28">
      <selection activeCell="B1" sqref="B1:F1"/>
    </sheetView>
  </sheetViews>
  <sheetFormatPr defaultColWidth="9.125" defaultRowHeight="12.75"/>
  <cols>
    <col min="1" max="1" width="3.75390625" style="327" customWidth="1"/>
    <col min="2" max="2" width="4.75390625" style="387" bestFit="1" customWidth="1"/>
    <col min="3" max="3" width="3.125" style="389" bestFit="1" customWidth="1"/>
    <col min="4" max="4" width="4.75390625" style="389" bestFit="1" customWidth="1"/>
    <col min="5" max="5" width="4.625" style="389" bestFit="1" customWidth="1"/>
    <col min="6" max="6" width="44.75390625" style="328" bestFit="1" customWidth="1"/>
    <col min="7" max="7" width="11.75390625" style="328" customWidth="1"/>
    <col min="8" max="8" width="11.125" style="328" customWidth="1"/>
    <col min="9" max="9" width="11.00390625" style="328" customWidth="1"/>
    <col min="10" max="10" width="12.75390625" style="328" customWidth="1"/>
    <col min="11" max="11" width="11.75390625" style="328" customWidth="1"/>
    <col min="12" max="12" width="12.75390625" style="328" customWidth="1"/>
    <col min="13" max="16384" width="9.125" style="328" customWidth="1"/>
  </cols>
  <sheetData>
    <row r="1" spans="2:10" ht="16.5">
      <c r="B1" s="1385" t="s">
        <v>1205</v>
      </c>
      <c r="C1" s="1385"/>
      <c r="D1" s="1385"/>
      <c r="E1" s="1385"/>
      <c r="F1" s="1385"/>
      <c r="H1" s="329"/>
      <c r="I1" s="330"/>
      <c r="J1" s="330"/>
    </row>
    <row r="2" spans="1:12" s="332" customFormat="1" ht="18" customHeight="1">
      <c r="A2" s="331"/>
      <c r="B2" s="1386" t="s">
        <v>441</v>
      </c>
      <c r="C2" s="1386"/>
      <c r="D2" s="1386"/>
      <c r="E2" s="1386"/>
      <c r="F2" s="1386"/>
      <c r="G2" s="1386"/>
      <c r="H2" s="1386"/>
      <c r="I2" s="1386"/>
      <c r="J2" s="1386"/>
      <c r="K2" s="1386"/>
      <c r="L2" s="1386"/>
    </row>
    <row r="3" spans="1:12" s="332" customFormat="1" ht="18" customHeight="1">
      <c r="A3" s="331"/>
      <c r="B3" s="1386" t="s">
        <v>633</v>
      </c>
      <c r="C3" s="1386"/>
      <c r="D3" s="1386"/>
      <c r="E3" s="1386"/>
      <c r="F3" s="1386"/>
      <c r="G3" s="1386"/>
      <c r="H3" s="1386"/>
      <c r="I3" s="1386"/>
      <c r="J3" s="1386"/>
      <c r="K3" s="1386"/>
      <c r="L3" s="1386"/>
    </row>
    <row r="4" spans="1:12" s="332" customFormat="1" ht="18" customHeight="1">
      <c r="A4" s="331"/>
      <c r="B4" s="1387" t="s">
        <v>603</v>
      </c>
      <c r="C4" s="1387"/>
      <c r="D4" s="1387"/>
      <c r="E4" s="1387"/>
      <c r="F4" s="1387"/>
      <c r="G4" s="1387"/>
      <c r="H4" s="1387"/>
      <c r="I4" s="1387"/>
      <c r="J4" s="1387"/>
      <c r="K4" s="1387"/>
      <c r="L4" s="1387"/>
    </row>
    <row r="5" spans="1:12" s="337" customFormat="1" ht="14.25" customHeight="1">
      <c r="A5" s="327"/>
      <c r="B5" s="333"/>
      <c r="C5" s="334"/>
      <c r="D5" s="327"/>
      <c r="E5" s="334"/>
      <c r="F5" s="335"/>
      <c r="G5" s="335"/>
      <c r="H5" s="336"/>
      <c r="J5" s="745"/>
      <c r="K5" s="1384" t="s">
        <v>0</v>
      </c>
      <c r="L5" s="1384"/>
    </row>
    <row r="6" spans="2:12" s="327" customFormat="1" ht="15" thickBot="1">
      <c r="B6" s="333" t="s">
        <v>1</v>
      </c>
      <c r="C6" s="327" t="s">
        <v>3</v>
      </c>
      <c r="D6" s="327" t="s">
        <v>2</v>
      </c>
      <c r="E6" s="327" t="s">
        <v>4</v>
      </c>
      <c r="F6" s="327" t="s">
        <v>5</v>
      </c>
      <c r="G6" s="327" t="s">
        <v>21</v>
      </c>
      <c r="H6" s="327" t="s">
        <v>22</v>
      </c>
      <c r="I6" s="338" t="s">
        <v>23</v>
      </c>
      <c r="J6" s="338" t="s">
        <v>201</v>
      </c>
      <c r="K6" s="327" t="s">
        <v>129</v>
      </c>
      <c r="L6" s="327" t="s">
        <v>31</v>
      </c>
    </row>
    <row r="7" spans="1:12" s="344" customFormat="1" ht="86.25" thickBot="1">
      <c r="A7" s="331"/>
      <c r="B7" s="339" t="s">
        <v>490</v>
      </c>
      <c r="C7" s="340" t="s">
        <v>25</v>
      </c>
      <c r="D7" s="341" t="s">
        <v>442</v>
      </c>
      <c r="E7" s="341" t="s">
        <v>443</v>
      </c>
      <c r="F7" s="342" t="s">
        <v>6</v>
      </c>
      <c r="G7" s="343" t="s">
        <v>403</v>
      </c>
      <c r="H7" s="343" t="s">
        <v>205</v>
      </c>
      <c r="I7" s="236" t="s">
        <v>801</v>
      </c>
      <c r="J7" s="705" t="s">
        <v>600</v>
      </c>
      <c r="K7" s="1124" t="s">
        <v>352</v>
      </c>
      <c r="L7" s="1125" t="s">
        <v>601</v>
      </c>
    </row>
    <row r="8" spans="1:12" s="350" customFormat="1" ht="30" customHeight="1">
      <c r="A8" s="327">
        <v>1</v>
      </c>
      <c r="B8" s="345" t="s">
        <v>451</v>
      </c>
      <c r="C8" s="346"/>
      <c r="D8" s="347"/>
      <c r="E8" s="346"/>
      <c r="F8" s="348" t="s">
        <v>491</v>
      </c>
      <c r="G8" s="349">
        <f>SUM(G9:G10)</f>
        <v>6047359</v>
      </c>
      <c r="H8" s="349">
        <f>SUM(H9:H10)</f>
        <v>6127521</v>
      </c>
      <c r="I8" s="349">
        <f>SUM(I9:I10)</f>
        <v>6668003</v>
      </c>
      <c r="J8" s="706">
        <f>SUM(J9:J10)</f>
        <v>6418114</v>
      </c>
      <c r="K8" s="349">
        <f>SUM(K9:K10)</f>
        <v>437449</v>
      </c>
      <c r="L8" s="735">
        <f>SUM(L9:L10)</f>
        <v>6855563</v>
      </c>
    </row>
    <row r="9" spans="1:12" ht="25.5" customHeight="1">
      <c r="A9" s="327">
        <v>2</v>
      </c>
      <c r="B9" s="351"/>
      <c r="C9" s="352"/>
      <c r="D9" s="352">
        <v>1</v>
      </c>
      <c r="E9" s="352"/>
      <c r="F9" s="353" t="s">
        <v>206</v>
      </c>
      <c r="G9" s="353">
        <v>5941271</v>
      </c>
      <c r="H9" s="353">
        <v>6014645</v>
      </c>
      <c r="I9" s="353">
        <v>6505741</v>
      </c>
      <c r="J9" s="707">
        <v>6347833</v>
      </c>
      <c r="K9" s="353">
        <v>308052</v>
      </c>
      <c r="L9" s="736">
        <f>SUM(J9:K9)</f>
        <v>6655885</v>
      </c>
    </row>
    <row r="10" spans="1:12" ht="25.5" customHeight="1">
      <c r="A10" s="327">
        <v>3</v>
      </c>
      <c r="B10" s="351"/>
      <c r="C10" s="352"/>
      <c r="D10" s="352">
        <v>2</v>
      </c>
      <c r="E10" s="352"/>
      <c r="F10" s="353" t="s">
        <v>410</v>
      </c>
      <c r="G10" s="353">
        <f>SUM(G11:G12)</f>
        <v>106088</v>
      </c>
      <c r="H10" s="353">
        <f>SUM(H11:H12)</f>
        <v>112876</v>
      </c>
      <c r="I10" s="353">
        <f>SUM(I11:I12)</f>
        <v>162262</v>
      </c>
      <c r="J10" s="707">
        <f>SUM(J11:J12)</f>
        <v>70281</v>
      </c>
      <c r="K10" s="353">
        <f>SUM(K11:K12)</f>
        <v>129397</v>
      </c>
      <c r="L10" s="736">
        <f>SUM(L11:L12)</f>
        <v>199678</v>
      </c>
    </row>
    <row r="11" spans="1:12" ht="16.5">
      <c r="A11" s="327">
        <v>4</v>
      </c>
      <c r="B11" s="351"/>
      <c r="C11" s="352"/>
      <c r="D11" s="352"/>
      <c r="E11" s="352">
        <v>1</v>
      </c>
      <c r="F11" s="354" t="s">
        <v>411</v>
      </c>
      <c r="G11" s="353">
        <v>105407</v>
      </c>
      <c r="H11" s="353">
        <v>94211</v>
      </c>
      <c r="I11" s="353">
        <v>138538</v>
      </c>
      <c r="J11" s="707">
        <v>64149</v>
      </c>
      <c r="K11" s="353">
        <v>90680</v>
      </c>
      <c r="L11" s="736">
        <f>SUM(J11:K11)</f>
        <v>154829</v>
      </c>
    </row>
    <row r="12" spans="1:12" ht="16.5">
      <c r="A12" s="327">
        <v>5</v>
      </c>
      <c r="B12" s="351"/>
      <c r="C12" s="352"/>
      <c r="D12" s="352"/>
      <c r="E12" s="352">
        <v>2</v>
      </c>
      <c r="F12" s="354" t="s">
        <v>412</v>
      </c>
      <c r="G12" s="353">
        <v>681</v>
      </c>
      <c r="H12" s="353">
        <v>18665</v>
      </c>
      <c r="I12" s="353">
        <v>23724</v>
      </c>
      <c r="J12" s="707">
        <v>6132</v>
      </c>
      <c r="K12" s="353">
        <v>38717</v>
      </c>
      <c r="L12" s="736">
        <f>SUM(J12:K12)</f>
        <v>44849</v>
      </c>
    </row>
    <row r="13" spans="1:12" s="350" customFormat="1" ht="30" customHeight="1">
      <c r="A13" s="327">
        <v>6</v>
      </c>
      <c r="B13" s="355" t="s">
        <v>492</v>
      </c>
      <c r="C13" s="356"/>
      <c r="D13" s="357"/>
      <c r="E13" s="357"/>
      <c r="F13" s="358" t="s">
        <v>361</v>
      </c>
      <c r="G13" s="358">
        <f>SUM(G14:G15,G24,G25)</f>
        <v>6973981</v>
      </c>
      <c r="H13" s="358">
        <f>SUM(H14:H15,H24,H25)</f>
        <v>10180559</v>
      </c>
      <c r="I13" s="358">
        <f>SUM(I14:I15,I24,I25)</f>
        <v>7966953</v>
      </c>
      <c r="J13" s="708">
        <f>SUM(J14:J15,J24,J25)</f>
        <v>7478930</v>
      </c>
      <c r="K13" s="358">
        <f>SUM(K14:K15,K24,K25)</f>
        <v>4192430</v>
      </c>
      <c r="L13" s="737">
        <f>SUM(L14:L15,L24,L25)</f>
        <v>11671360</v>
      </c>
    </row>
    <row r="14" spans="1:12" s="350" customFormat="1" ht="25.5" customHeight="1">
      <c r="A14" s="327">
        <v>7</v>
      </c>
      <c r="B14" s="351"/>
      <c r="C14" s="359"/>
      <c r="D14" s="352">
        <v>1</v>
      </c>
      <c r="E14" s="359"/>
      <c r="F14" s="360" t="s">
        <v>206</v>
      </c>
      <c r="G14" s="360">
        <v>3823797</v>
      </c>
      <c r="H14" s="360">
        <v>4181144</v>
      </c>
      <c r="I14" s="360">
        <v>4371390</v>
      </c>
      <c r="J14" s="709">
        <v>4180802</v>
      </c>
      <c r="K14" s="360">
        <v>847931</v>
      </c>
      <c r="L14" s="738">
        <f>SUM(J14:K14)</f>
        <v>5028733</v>
      </c>
    </row>
    <row r="15" spans="1:12" ht="25.5" customHeight="1">
      <c r="A15" s="327">
        <v>8</v>
      </c>
      <c r="B15" s="351"/>
      <c r="C15" s="359"/>
      <c r="D15" s="359"/>
      <c r="E15" s="359"/>
      <c r="F15" s="360" t="s">
        <v>493</v>
      </c>
      <c r="G15" s="360">
        <f>SUM(G16,G20)</f>
        <v>0</v>
      </c>
      <c r="H15" s="360">
        <f>SUM(H16,H20)</f>
        <v>1273579</v>
      </c>
      <c r="I15" s="360">
        <f>SUM(I16,I20)</f>
        <v>0</v>
      </c>
      <c r="J15" s="709">
        <f>SUM(J16,J20)</f>
        <v>156619</v>
      </c>
      <c r="K15" s="360">
        <f>SUM(K16,K20)</f>
        <v>326498</v>
      </c>
      <c r="L15" s="738">
        <f>SUM(L16,L20)</f>
        <v>483117</v>
      </c>
    </row>
    <row r="16" spans="1:12" s="365" customFormat="1" ht="25.5" customHeight="1">
      <c r="A16" s="327">
        <v>9</v>
      </c>
      <c r="B16" s="361"/>
      <c r="C16" s="362"/>
      <c r="D16" s="352">
        <v>1</v>
      </c>
      <c r="E16" s="362"/>
      <c r="F16" s="363" t="s">
        <v>494</v>
      </c>
      <c r="G16" s="364">
        <f>SUM(G18:G19)</f>
        <v>0</v>
      </c>
      <c r="H16" s="364">
        <f>SUM(H18:H19)</f>
        <v>120000</v>
      </c>
      <c r="I16" s="364">
        <f>SUM(I18:I19)</f>
        <v>0</v>
      </c>
      <c r="J16" s="710">
        <f>SUM(J18:J19)+J17</f>
        <v>156619</v>
      </c>
      <c r="K16" s="364">
        <f>SUM(K18:K19)+K17</f>
        <v>-3341</v>
      </c>
      <c r="L16" s="739">
        <f>SUM(L18:L19)+L17</f>
        <v>153278</v>
      </c>
    </row>
    <row r="17" spans="1:12" s="365" customFormat="1" ht="25.5" customHeight="1">
      <c r="A17" s="327">
        <v>10</v>
      </c>
      <c r="B17" s="361"/>
      <c r="C17" s="362"/>
      <c r="D17" s="352"/>
      <c r="E17" s="362"/>
      <c r="F17" s="366" t="s">
        <v>495</v>
      </c>
      <c r="G17" s="364"/>
      <c r="H17" s="364"/>
      <c r="I17" s="364"/>
      <c r="J17" s="710">
        <v>57784</v>
      </c>
      <c r="K17" s="364"/>
      <c r="L17" s="739">
        <f>SUM(J17:K17)</f>
        <v>57784</v>
      </c>
    </row>
    <row r="18" spans="1:12" ht="17.25">
      <c r="A18" s="327">
        <v>11</v>
      </c>
      <c r="B18" s="351"/>
      <c r="C18" s="352"/>
      <c r="D18" s="352"/>
      <c r="E18" s="352"/>
      <c r="F18" s="366" t="s">
        <v>496</v>
      </c>
      <c r="G18" s="353"/>
      <c r="H18" s="353">
        <v>96000</v>
      </c>
      <c r="I18" s="353"/>
      <c r="J18" s="707">
        <v>74835</v>
      </c>
      <c r="K18" s="353"/>
      <c r="L18" s="739">
        <f>SUM(J18:K18)</f>
        <v>74835</v>
      </c>
    </row>
    <row r="19" spans="1:12" ht="17.25">
      <c r="A19" s="327">
        <v>12</v>
      </c>
      <c r="B19" s="351"/>
      <c r="C19" s="352"/>
      <c r="D19" s="352"/>
      <c r="E19" s="352"/>
      <c r="F19" s="366" t="s">
        <v>497</v>
      </c>
      <c r="G19" s="353"/>
      <c r="H19" s="353">
        <v>24000</v>
      </c>
      <c r="I19" s="353"/>
      <c r="J19" s="707">
        <v>24000</v>
      </c>
      <c r="K19" s="353">
        <v>-3341</v>
      </c>
      <c r="L19" s="739">
        <f>SUM(J19:K19)</f>
        <v>20659</v>
      </c>
    </row>
    <row r="20" spans="1:12" s="365" customFormat="1" ht="25.5" customHeight="1">
      <c r="A20" s="327">
        <v>13</v>
      </c>
      <c r="B20" s="361"/>
      <c r="C20" s="362"/>
      <c r="D20" s="352">
        <v>2</v>
      </c>
      <c r="E20" s="362"/>
      <c r="F20" s="363" t="s">
        <v>498</v>
      </c>
      <c r="G20" s="364">
        <f>SUM(G21:G23)</f>
        <v>0</v>
      </c>
      <c r="H20" s="364">
        <f>SUM(H21:H23)</f>
        <v>1153579</v>
      </c>
      <c r="I20" s="364">
        <f>SUM(I21:I23)</f>
        <v>0</v>
      </c>
      <c r="J20" s="710">
        <f>SUM(J21:J23)</f>
        <v>0</v>
      </c>
      <c r="K20" s="364">
        <f>SUM(K21:K23)</f>
        <v>329839</v>
      </c>
      <c r="L20" s="739">
        <f>SUM(L21:L23)</f>
        <v>329839</v>
      </c>
    </row>
    <row r="21" spans="1:12" ht="17.25">
      <c r="A21" s="327">
        <v>14</v>
      </c>
      <c r="B21" s="351"/>
      <c r="C21" s="352"/>
      <c r="D21" s="362"/>
      <c r="E21" s="352"/>
      <c r="F21" s="366" t="s">
        <v>499</v>
      </c>
      <c r="G21" s="353"/>
      <c r="H21" s="353">
        <v>815433</v>
      </c>
      <c r="I21" s="353"/>
      <c r="J21" s="707"/>
      <c r="K21" s="353">
        <v>329839</v>
      </c>
      <c r="L21" s="736">
        <f>SUM(J21:K21)</f>
        <v>329839</v>
      </c>
    </row>
    <row r="22" spans="1:12" ht="16.5">
      <c r="A22" s="327">
        <v>15</v>
      </c>
      <c r="B22" s="351"/>
      <c r="C22" s="352"/>
      <c r="D22" s="352"/>
      <c r="E22" s="352"/>
      <c r="F22" s="366" t="s">
        <v>500</v>
      </c>
      <c r="G22" s="353"/>
      <c r="H22" s="353">
        <v>121471</v>
      </c>
      <c r="I22" s="353"/>
      <c r="J22" s="707"/>
      <c r="K22" s="353"/>
      <c r="L22" s="736"/>
    </row>
    <row r="23" spans="1:12" ht="16.5">
      <c r="A23" s="327">
        <v>16</v>
      </c>
      <c r="B23" s="351"/>
      <c r="C23" s="352"/>
      <c r="D23" s="352"/>
      <c r="E23" s="352"/>
      <c r="F23" s="366" t="s">
        <v>501</v>
      </c>
      <c r="G23" s="353"/>
      <c r="H23" s="353">
        <v>216675</v>
      </c>
      <c r="I23" s="353"/>
      <c r="J23" s="707"/>
      <c r="K23" s="353"/>
      <c r="L23" s="736"/>
    </row>
    <row r="24" spans="1:12" s="332" customFormat="1" ht="25.5" customHeight="1">
      <c r="A24" s="331">
        <v>17</v>
      </c>
      <c r="B24" s="367"/>
      <c r="C24" s="368"/>
      <c r="D24" s="368"/>
      <c r="E24" s="368"/>
      <c r="F24" s="369" t="s">
        <v>502</v>
      </c>
      <c r="G24" s="369">
        <v>0</v>
      </c>
      <c r="H24" s="369">
        <v>85000</v>
      </c>
      <c r="I24" s="369">
        <v>0</v>
      </c>
      <c r="J24" s="711">
        <v>100000</v>
      </c>
      <c r="K24" s="712"/>
      <c r="L24" s="740">
        <f>SUM(J24:K24)</f>
        <v>100000</v>
      </c>
    </row>
    <row r="25" spans="1:12" s="350" customFormat="1" ht="25.5" customHeight="1">
      <c r="A25" s="327">
        <v>18</v>
      </c>
      <c r="B25" s="351"/>
      <c r="C25" s="359"/>
      <c r="D25" s="352">
        <v>2</v>
      </c>
      <c r="E25" s="359"/>
      <c r="F25" s="360" t="s">
        <v>410</v>
      </c>
      <c r="G25" s="360">
        <f>SUM(G26:G28)</f>
        <v>3150184</v>
      </c>
      <c r="H25" s="360">
        <f>SUM(H26:H28)</f>
        <v>4640836</v>
      </c>
      <c r="I25" s="360">
        <f>SUM(I26:I28)</f>
        <v>3595563</v>
      </c>
      <c r="J25" s="709">
        <f>SUM(J26:J28)</f>
        <v>3041509</v>
      </c>
      <c r="K25" s="360">
        <f>SUM(K26:K28)</f>
        <v>3018001</v>
      </c>
      <c r="L25" s="738">
        <f>SUM(L26:L28)</f>
        <v>6059510</v>
      </c>
    </row>
    <row r="26" spans="1:12" ht="17.25">
      <c r="A26" s="327">
        <v>19</v>
      </c>
      <c r="B26" s="351"/>
      <c r="C26" s="359"/>
      <c r="D26" s="352"/>
      <c r="E26" s="352">
        <v>1</v>
      </c>
      <c r="F26" s="354" t="s">
        <v>411</v>
      </c>
      <c r="G26" s="353">
        <v>2292451</v>
      </c>
      <c r="H26" s="353">
        <v>3017086</v>
      </c>
      <c r="I26" s="353">
        <v>3000675</v>
      </c>
      <c r="J26" s="707">
        <v>1712579</v>
      </c>
      <c r="K26" s="353">
        <v>2978930</v>
      </c>
      <c r="L26" s="736">
        <f>SUM(J26:K26)</f>
        <v>4691509</v>
      </c>
    </row>
    <row r="27" spans="1:12" ht="17.25">
      <c r="A27" s="327">
        <v>20</v>
      </c>
      <c r="B27" s="351"/>
      <c r="C27" s="359"/>
      <c r="D27" s="352"/>
      <c r="E27" s="352">
        <v>2</v>
      </c>
      <c r="F27" s="354" t="s">
        <v>412</v>
      </c>
      <c r="G27" s="353">
        <v>54477</v>
      </c>
      <c r="H27" s="353">
        <v>204950</v>
      </c>
      <c r="I27" s="353">
        <v>557965</v>
      </c>
      <c r="J27" s="707">
        <v>580300</v>
      </c>
      <c r="K27" s="353">
        <v>29071</v>
      </c>
      <c r="L27" s="736">
        <f>SUM(J27:K27)</f>
        <v>609371</v>
      </c>
    </row>
    <row r="28" spans="1:12" ht="17.25">
      <c r="A28" s="327">
        <v>21</v>
      </c>
      <c r="B28" s="351"/>
      <c r="C28" s="359"/>
      <c r="D28" s="352"/>
      <c r="E28" s="352">
        <v>3</v>
      </c>
      <c r="F28" s="354" t="s">
        <v>413</v>
      </c>
      <c r="G28" s="353">
        <v>803256</v>
      </c>
      <c r="H28" s="353">
        <v>1418800</v>
      </c>
      <c r="I28" s="353">
        <v>36923</v>
      </c>
      <c r="J28" s="707">
        <v>748630</v>
      </c>
      <c r="K28" s="353">
        <v>10000</v>
      </c>
      <c r="L28" s="736">
        <f>SUM(J28:K28)</f>
        <v>758630</v>
      </c>
    </row>
    <row r="29" spans="1:12" s="350" customFormat="1" ht="30" customHeight="1">
      <c r="A29" s="327">
        <v>22</v>
      </c>
      <c r="B29" s="351" t="s">
        <v>492</v>
      </c>
      <c r="C29" s="356"/>
      <c r="D29" s="357"/>
      <c r="E29" s="356"/>
      <c r="F29" s="358" t="s">
        <v>503</v>
      </c>
      <c r="G29" s="358">
        <f>SUM(G30:G31)</f>
        <v>47</v>
      </c>
      <c r="H29" s="358">
        <f>SUM(H30:H31)</f>
        <v>0</v>
      </c>
      <c r="I29" s="358">
        <f>SUM(I30:I31)</f>
        <v>0</v>
      </c>
      <c r="J29" s="708">
        <f>SUM(J30:J31)</f>
        <v>0</v>
      </c>
      <c r="K29" s="358">
        <f>SUM(K30:K31)</f>
        <v>0</v>
      </c>
      <c r="L29" s="737">
        <f>SUM(L30:L31)</f>
        <v>0</v>
      </c>
    </row>
    <row r="30" spans="1:12" ht="16.5">
      <c r="A30" s="327">
        <v>23</v>
      </c>
      <c r="B30" s="351"/>
      <c r="C30" s="352"/>
      <c r="D30" s="352">
        <v>1</v>
      </c>
      <c r="E30" s="352"/>
      <c r="F30" s="370" t="s">
        <v>206</v>
      </c>
      <c r="G30" s="353">
        <v>47</v>
      </c>
      <c r="H30" s="353"/>
      <c r="I30" s="353"/>
      <c r="J30" s="707"/>
      <c r="K30" s="353"/>
      <c r="L30" s="736"/>
    </row>
    <row r="31" spans="1:12" s="375" customFormat="1" ht="24" customHeight="1" thickBot="1">
      <c r="A31" s="454">
        <v>24</v>
      </c>
      <c r="B31" s="371"/>
      <c r="C31" s="372"/>
      <c r="D31" s="372">
        <v>2</v>
      </c>
      <c r="E31" s="372"/>
      <c r="F31" s="373" t="s">
        <v>410</v>
      </c>
      <c r="G31" s="374"/>
      <c r="H31" s="374"/>
      <c r="I31" s="374"/>
      <c r="J31" s="713"/>
      <c r="K31" s="374"/>
      <c r="L31" s="741"/>
    </row>
    <row r="32" spans="1:12" s="369" customFormat="1" ht="39.75" customHeight="1" thickBot="1">
      <c r="A32" s="331">
        <v>25</v>
      </c>
      <c r="B32" s="376"/>
      <c r="C32" s="377"/>
      <c r="D32" s="378"/>
      <c r="E32" s="377"/>
      <c r="F32" s="379" t="s">
        <v>504</v>
      </c>
      <c r="G32" s="379">
        <f>SUM(G8,G13,G29)</f>
        <v>13021387</v>
      </c>
      <c r="H32" s="379">
        <f>SUM(H8,H13,H29)</f>
        <v>16308080</v>
      </c>
      <c r="I32" s="379">
        <f>SUM(I8,I13,I29)</f>
        <v>14634956</v>
      </c>
      <c r="J32" s="714">
        <f>SUM(J8,J13,J29)</f>
        <v>13897044</v>
      </c>
      <c r="K32" s="379">
        <f>SUM(K8,K13,K29)</f>
        <v>4629879</v>
      </c>
      <c r="L32" s="742">
        <f>SUM(L8,L13,L29)</f>
        <v>18526923</v>
      </c>
    </row>
    <row r="33" spans="1:12" s="330" customFormat="1" ht="30" customHeight="1">
      <c r="A33" s="327">
        <v>26</v>
      </c>
      <c r="B33" s="351" t="s">
        <v>492</v>
      </c>
      <c r="C33" s="352"/>
      <c r="D33" s="352"/>
      <c r="E33" s="352"/>
      <c r="F33" s="360" t="s">
        <v>505</v>
      </c>
      <c r="G33" s="360">
        <f>SUM(G37:G38,G34)</f>
        <v>745861</v>
      </c>
      <c r="H33" s="360">
        <f>SUM(H37:H38,H34)</f>
        <v>1747993</v>
      </c>
      <c r="I33" s="360">
        <f>SUM(I37:I38,I34)</f>
        <v>1740134</v>
      </c>
      <c r="J33" s="709">
        <f>SUM(J37:J38,J34)</f>
        <v>51734</v>
      </c>
      <c r="K33" s="360">
        <f>SUM(K37:K38,K34)+K35</f>
        <v>84682</v>
      </c>
      <c r="L33" s="360">
        <f>SUM(L37:L38,L34)+L35</f>
        <v>136416</v>
      </c>
    </row>
    <row r="34" spans="1:12" s="330" customFormat="1" ht="16.5">
      <c r="A34" s="327">
        <v>27</v>
      </c>
      <c r="B34" s="351"/>
      <c r="C34" s="352"/>
      <c r="D34" s="352">
        <v>1</v>
      </c>
      <c r="E34" s="352"/>
      <c r="F34" s="380" t="s">
        <v>506</v>
      </c>
      <c r="G34" s="380"/>
      <c r="H34" s="380"/>
      <c r="I34" s="380"/>
      <c r="J34" s="715"/>
      <c r="K34" s="380"/>
      <c r="L34" s="743"/>
    </row>
    <row r="35" spans="1:12" s="330" customFormat="1" ht="16.5">
      <c r="A35" s="327">
        <v>28</v>
      </c>
      <c r="B35" s="351"/>
      <c r="C35" s="352"/>
      <c r="D35" s="352"/>
      <c r="E35" s="352"/>
      <c r="F35" s="380" t="s">
        <v>1200</v>
      </c>
      <c r="G35" s="380"/>
      <c r="H35" s="380"/>
      <c r="I35" s="380"/>
      <c r="J35" s="715"/>
      <c r="K35" s="380">
        <v>84682</v>
      </c>
      <c r="L35" s="736">
        <f>SUM(J35:K35)</f>
        <v>84682</v>
      </c>
    </row>
    <row r="36" spans="1:12" ht="16.5">
      <c r="A36" s="327">
        <v>29</v>
      </c>
      <c r="B36" s="351"/>
      <c r="C36" s="352"/>
      <c r="D36" s="352">
        <v>2</v>
      </c>
      <c r="E36" s="352"/>
      <c r="F36" s="380" t="s">
        <v>507</v>
      </c>
      <c r="G36" s="353"/>
      <c r="H36" s="353"/>
      <c r="I36" s="353"/>
      <c r="J36" s="707"/>
      <c r="K36" s="353"/>
      <c r="L36" s="736"/>
    </row>
    <row r="37" spans="1:12" ht="16.5">
      <c r="A37" s="327">
        <v>30</v>
      </c>
      <c r="B37" s="351"/>
      <c r="C37" s="352"/>
      <c r="D37" s="352"/>
      <c r="E37" s="352"/>
      <c r="F37" s="381" t="s">
        <v>508</v>
      </c>
      <c r="G37" s="353">
        <v>745787</v>
      </c>
      <c r="H37" s="353">
        <v>1747993</v>
      </c>
      <c r="I37" s="353">
        <v>1740134</v>
      </c>
      <c r="J37" s="707">
        <v>51734</v>
      </c>
      <c r="K37" s="353"/>
      <c r="L37" s="736">
        <f>SUM(J37:K37)</f>
        <v>51734</v>
      </c>
    </row>
    <row r="38" spans="1:12" s="375" customFormat="1" ht="18" customHeight="1">
      <c r="A38" s="327">
        <v>31</v>
      </c>
      <c r="B38" s="371"/>
      <c r="C38" s="372"/>
      <c r="D38" s="372"/>
      <c r="E38" s="372"/>
      <c r="F38" s="382" t="s">
        <v>509</v>
      </c>
      <c r="G38" s="374">
        <v>74</v>
      </c>
      <c r="H38" s="374"/>
      <c r="I38" s="374"/>
      <c r="J38" s="713"/>
      <c r="K38" s="734"/>
      <c r="L38" s="744">
        <f>SUM(J38:K38)</f>
        <v>0</v>
      </c>
    </row>
    <row r="39" spans="1:12" s="267" customFormat="1" ht="30" customHeight="1">
      <c r="A39" s="327">
        <v>32</v>
      </c>
      <c r="B39" s="252"/>
      <c r="C39" s="253"/>
      <c r="D39" s="229"/>
      <c r="E39" s="229"/>
      <c r="F39" s="383" t="s">
        <v>486</v>
      </c>
      <c r="G39" s="384"/>
      <c r="H39" s="384"/>
      <c r="I39" s="385"/>
      <c r="J39" s="716"/>
      <c r="K39" s="264"/>
      <c r="L39" s="726"/>
    </row>
    <row r="40" spans="1:12" s="256" customFormat="1" ht="17.25">
      <c r="A40" s="327">
        <v>33</v>
      </c>
      <c r="B40" s="268" t="s">
        <v>451</v>
      </c>
      <c r="C40" s="253"/>
      <c r="D40" s="229"/>
      <c r="E40" s="229"/>
      <c r="F40" s="315" t="s">
        <v>487</v>
      </c>
      <c r="G40" s="152">
        <v>-1939</v>
      </c>
      <c r="H40" s="255"/>
      <c r="I40" s="95"/>
      <c r="J40" s="594"/>
      <c r="K40" s="595"/>
      <c r="L40" s="147">
        <f>SUM(J40:K40)</f>
        <v>0</v>
      </c>
    </row>
    <row r="41" spans="1:12" s="142" customFormat="1" ht="17.25" thickBot="1">
      <c r="A41" s="327">
        <v>34</v>
      </c>
      <c r="B41" s="145">
        <v>18</v>
      </c>
      <c r="C41" s="229"/>
      <c r="D41" s="229"/>
      <c r="E41" s="229"/>
      <c r="F41" s="316" t="s">
        <v>488</v>
      </c>
      <c r="G41" s="152">
        <v>-56553</v>
      </c>
      <c r="H41" s="152"/>
      <c r="I41" s="41"/>
      <c r="J41" s="593"/>
      <c r="K41" s="151"/>
      <c r="L41" s="147">
        <f>SUM(J41:K41)</f>
        <v>0</v>
      </c>
    </row>
    <row r="42" spans="1:12" s="369" customFormat="1" ht="39.75" customHeight="1" thickBot="1">
      <c r="A42" s="331">
        <v>35</v>
      </c>
      <c r="B42" s="376"/>
      <c r="C42" s="377"/>
      <c r="D42" s="378"/>
      <c r="E42" s="377"/>
      <c r="F42" s="379" t="s">
        <v>510</v>
      </c>
      <c r="G42" s="379">
        <f>SUM(G32:G33,G40:G41)</f>
        <v>13708756</v>
      </c>
      <c r="H42" s="379">
        <f>SUM(H32:H33,H40:H41)</f>
        <v>18056073</v>
      </c>
      <c r="I42" s="379">
        <f>SUM(I32:I33,I40:I41)</f>
        <v>16375090</v>
      </c>
      <c r="J42" s="714">
        <f>SUM(J32:J33,J40:J41)</f>
        <v>13948778</v>
      </c>
      <c r="K42" s="379">
        <f>SUM(K32:K33,K40:K41)</f>
        <v>4714561</v>
      </c>
      <c r="L42" s="742">
        <f>SUM(L32:L33,L40:L41)</f>
        <v>18663339</v>
      </c>
    </row>
    <row r="43" spans="2:10" ht="16.5">
      <c r="B43" s="386"/>
      <c r="C43" s="352"/>
      <c r="D43" s="352"/>
      <c r="E43" s="352"/>
      <c r="F43" s="353"/>
      <c r="G43" s="353"/>
      <c r="H43" s="353"/>
      <c r="I43" s="353"/>
      <c r="J43" s="353"/>
    </row>
    <row r="44" spans="2:9" ht="16.5">
      <c r="B44" s="386"/>
      <c r="C44" s="352"/>
      <c r="D44" s="352"/>
      <c r="E44" s="352"/>
      <c r="F44" s="353"/>
      <c r="G44" s="353"/>
      <c r="H44" s="353"/>
      <c r="I44" s="353"/>
    </row>
    <row r="45" spans="2:9" ht="16.5">
      <c r="B45" s="386"/>
      <c r="C45" s="352"/>
      <c r="D45" s="352"/>
      <c r="E45" s="352"/>
      <c r="F45" s="353"/>
      <c r="G45" s="353"/>
      <c r="H45" s="353"/>
      <c r="I45" s="353"/>
    </row>
    <row r="46" spans="2:9" ht="16.5">
      <c r="B46" s="386"/>
      <c r="C46" s="352"/>
      <c r="D46" s="352"/>
      <c r="E46" s="352"/>
      <c r="F46" s="353"/>
      <c r="G46" s="353"/>
      <c r="H46" s="353"/>
      <c r="I46" s="353"/>
    </row>
    <row r="47" spans="2:9" ht="17.25">
      <c r="B47" s="386"/>
      <c r="C47" s="359"/>
      <c r="D47" s="352"/>
      <c r="E47" s="359"/>
      <c r="F47" s="360"/>
      <c r="G47" s="360"/>
      <c r="H47" s="360"/>
      <c r="I47" s="360"/>
    </row>
    <row r="48" spans="2:9" ht="16.5">
      <c r="B48" s="386"/>
      <c r="C48" s="352"/>
      <c r="D48" s="352"/>
      <c r="E48" s="352"/>
      <c r="F48" s="353"/>
      <c r="G48" s="353"/>
      <c r="H48" s="353"/>
      <c r="I48" s="353"/>
    </row>
    <row r="49" spans="2:9" ht="16.5">
      <c r="B49" s="386"/>
      <c r="C49" s="352"/>
      <c r="D49" s="352"/>
      <c r="E49" s="352"/>
      <c r="F49" s="353"/>
      <c r="G49" s="353"/>
      <c r="H49" s="353"/>
      <c r="I49" s="353"/>
    </row>
    <row r="58" spans="1:5" s="350" customFormat="1" ht="17.25">
      <c r="A58" s="334"/>
      <c r="B58" s="387"/>
      <c r="C58" s="388"/>
      <c r="D58" s="389"/>
      <c r="E58" s="388"/>
    </row>
    <row r="63" spans="1:5" s="350" customFormat="1" ht="17.25">
      <c r="A63" s="334"/>
      <c r="B63" s="387"/>
      <c r="C63" s="388"/>
      <c r="D63" s="389"/>
      <c r="E63" s="388"/>
    </row>
    <row r="65" spans="1:5" s="350" customFormat="1" ht="17.25">
      <c r="A65" s="334"/>
      <c r="B65" s="387"/>
      <c r="C65" s="388"/>
      <c r="D65" s="389"/>
      <c r="E65" s="388"/>
    </row>
    <row r="72" ht="16.5">
      <c r="F72" s="353"/>
    </row>
    <row r="73" ht="16.5">
      <c r="F73" s="353"/>
    </row>
    <row r="74" ht="16.5">
      <c r="F74" s="353"/>
    </row>
    <row r="75" ht="16.5">
      <c r="F75" s="353"/>
    </row>
    <row r="76" ht="16.5">
      <c r="F76" s="353"/>
    </row>
    <row r="77" ht="16.5">
      <c r="F77" s="353"/>
    </row>
    <row r="78" ht="16.5">
      <c r="F78" s="353"/>
    </row>
  </sheetData>
  <sheetProtection/>
  <mergeCells count="5">
    <mergeCell ref="K5:L5"/>
    <mergeCell ref="B1:F1"/>
    <mergeCell ref="B2:L2"/>
    <mergeCell ref="B3:L3"/>
    <mergeCell ref="B4:L4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252"/>
  <sheetViews>
    <sheetView view="pageBreakPreview" zoomScale="85" zoomScaleSheetLayoutView="85" zoomScalePageLayoutView="0" workbookViewId="0" topLeftCell="A241">
      <selection activeCell="D88" sqref="D88"/>
    </sheetView>
  </sheetViews>
  <sheetFormatPr defaultColWidth="9.125" defaultRowHeight="12.75"/>
  <cols>
    <col min="1" max="1" width="3.375" style="1132" bestFit="1" customWidth="1"/>
    <col min="2" max="2" width="4.125" style="1130" customWidth="1"/>
    <col min="3" max="3" width="5.875" style="1130" bestFit="1" customWidth="1"/>
    <col min="4" max="4" width="50.75390625" style="1130" customWidth="1"/>
    <col min="5" max="5" width="9.375" style="1130" bestFit="1" customWidth="1"/>
    <col min="6" max="6" width="14.00390625" style="1130" bestFit="1" customWidth="1"/>
    <col min="7" max="7" width="11.00390625" style="1130" bestFit="1" customWidth="1"/>
    <col min="8" max="8" width="12.375" style="1130" bestFit="1" customWidth="1"/>
    <col min="9" max="9" width="13.25390625" style="1130" customWidth="1"/>
    <col min="10" max="11" width="12.75390625" style="1130" customWidth="1"/>
    <col min="12" max="12" width="9.875" style="1130" bestFit="1" customWidth="1"/>
    <col min="13" max="13" width="12.75390625" style="1133" customWidth="1"/>
    <col min="14" max="14" width="12.75390625" style="1130" customWidth="1"/>
    <col min="15" max="16384" width="9.125" style="1130" customWidth="1"/>
  </cols>
  <sheetData>
    <row r="1" spans="1:15" ht="15" customHeight="1">
      <c r="A1" s="187"/>
      <c r="B1" s="1388" t="s">
        <v>1206</v>
      </c>
      <c r="C1" s="1388"/>
      <c r="D1" s="1388"/>
      <c r="E1" s="153"/>
      <c r="F1" s="153"/>
      <c r="G1" s="153"/>
      <c r="H1" s="153"/>
      <c r="I1" s="153"/>
      <c r="J1" s="153"/>
      <c r="K1" s="153"/>
      <c r="L1" s="153"/>
      <c r="M1" s="154"/>
      <c r="N1" s="153"/>
      <c r="O1" s="153"/>
    </row>
    <row r="2" spans="1:17" ht="24.75" customHeight="1">
      <c r="A2" s="187"/>
      <c r="B2" s="1389" t="s">
        <v>376</v>
      </c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77"/>
      <c r="P2" s="177"/>
      <c r="Q2" s="177"/>
    </row>
    <row r="3" spans="1:17" ht="24.75" customHeight="1">
      <c r="A3" s="187"/>
      <c r="B3" s="1389" t="s">
        <v>634</v>
      </c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77"/>
      <c r="P3" s="177"/>
      <c r="Q3" s="177"/>
    </row>
    <row r="4" spans="1:15" ht="15">
      <c r="A4" s="187"/>
      <c r="B4" s="1108"/>
      <c r="C4" s="153"/>
      <c r="D4" s="153"/>
      <c r="E4" s="155"/>
      <c r="F4" s="155"/>
      <c r="G4" s="155"/>
      <c r="H4" s="155"/>
      <c r="I4" s="155"/>
      <c r="J4" s="155"/>
      <c r="K4" s="153"/>
      <c r="L4" s="153"/>
      <c r="M4" s="1390" t="s">
        <v>0</v>
      </c>
      <c r="N4" s="1390"/>
      <c r="O4" s="153"/>
    </row>
    <row r="5" spans="2:14" s="187" customFormat="1" ht="15" thickBot="1">
      <c r="B5" s="187" t="s">
        <v>1</v>
      </c>
      <c r="C5" s="187" t="s">
        <v>3</v>
      </c>
      <c r="D5" s="187" t="s">
        <v>2</v>
      </c>
      <c r="E5" s="559" t="s">
        <v>4</v>
      </c>
      <c r="F5" s="559" t="s">
        <v>5</v>
      </c>
      <c r="G5" s="559" t="s">
        <v>21</v>
      </c>
      <c r="H5" s="559" t="s">
        <v>22</v>
      </c>
      <c r="I5" s="559" t="s">
        <v>23</v>
      </c>
      <c r="J5" s="559" t="s">
        <v>201</v>
      </c>
      <c r="K5" s="187" t="s">
        <v>129</v>
      </c>
      <c r="L5" s="187" t="s">
        <v>31</v>
      </c>
      <c r="M5" s="560" t="s">
        <v>202</v>
      </c>
      <c r="N5" s="187" t="s">
        <v>203</v>
      </c>
    </row>
    <row r="6" spans="1:14" s="1108" customFormat="1" ht="30" customHeight="1">
      <c r="A6" s="187"/>
      <c r="B6" s="1391" t="s">
        <v>24</v>
      </c>
      <c r="C6" s="1393" t="s">
        <v>25</v>
      </c>
      <c r="D6" s="1395" t="s">
        <v>6</v>
      </c>
      <c r="E6" s="1397" t="s">
        <v>377</v>
      </c>
      <c r="F6" s="1397"/>
      <c r="G6" s="1397"/>
      <c r="H6" s="1398" t="s">
        <v>378</v>
      </c>
      <c r="I6" s="1398"/>
      <c r="J6" s="1398"/>
      <c r="K6" s="1398" t="s">
        <v>599</v>
      </c>
      <c r="L6" s="1398" t="s">
        <v>379</v>
      </c>
      <c r="M6" s="1398"/>
      <c r="N6" s="1400" t="s">
        <v>380</v>
      </c>
    </row>
    <row r="7" spans="1:15" ht="45" customHeight="1" thickBot="1">
      <c r="A7" s="187"/>
      <c r="B7" s="1392"/>
      <c r="C7" s="1394"/>
      <c r="D7" s="1396"/>
      <c r="E7" s="1099" t="s">
        <v>381</v>
      </c>
      <c r="F7" s="1099" t="s">
        <v>382</v>
      </c>
      <c r="G7" s="1099" t="s">
        <v>383</v>
      </c>
      <c r="H7" s="1099" t="s">
        <v>384</v>
      </c>
      <c r="I7" s="1099" t="s">
        <v>1185</v>
      </c>
      <c r="J7" s="1099" t="s">
        <v>385</v>
      </c>
      <c r="K7" s="1399"/>
      <c r="L7" s="1099" t="s">
        <v>363</v>
      </c>
      <c r="M7" s="157" t="s">
        <v>386</v>
      </c>
      <c r="N7" s="1401"/>
      <c r="O7" s="153"/>
    </row>
    <row r="8" spans="1:14" s="158" customFormat="1" ht="25.5" customHeight="1">
      <c r="A8" s="496">
        <v>1</v>
      </c>
      <c r="B8" s="159">
        <v>1</v>
      </c>
      <c r="C8" s="160"/>
      <c r="D8" s="161" t="s">
        <v>1138</v>
      </c>
      <c r="E8" s="162"/>
      <c r="F8" s="163"/>
      <c r="G8" s="163"/>
      <c r="H8" s="163"/>
      <c r="I8" s="163"/>
      <c r="J8" s="163"/>
      <c r="K8" s="163"/>
      <c r="L8" s="162"/>
      <c r="M8" s="163"/>
      <c r="N8" s="164"/>
    </row>
    <row r="9" spans="1:14" s="153" customFormat="1" ht="15">
      <c r="A9" s="746">
        <v>2</v>
      </c>
      <c r="B9" s="165"/>
      <c r="C9" s="156"/>
      <c r="D9" s="166" t="s">
        <v>635</v>
      </c>
      <c r="E9" s="162">
        <v>13613</v>
      </c>
      <c r="F9" s="162"/>
      <c r="G9" s="162"/>
      <c r="H9" s="162"/>
      <c r="I9" s="162"/>
      <c r="J9" s="162"/>
      <c r="K9" s="162"/>
      <c r="L9" s="162">
        <v>157566</v>
      </c>
      <c r="M9" s="163">
        <v>130387</v>
      </c>
      <c r="N9" s="747">
        <f aca="true" t="shared" si="0" ref="N9:N18">SUM(E9:L9)</f>
        <v>171179</v>
      </c>
    </row>
    <row r="10" spans="1:14" s="154" customFormat="1" ht="15">
      <c r="A10" s="746">
        <v>3</v>
      </c>
      <c r="B10" s="176"/>
      <c r="C10" s="748"/>
      <c r="D10" s="183" t="s">
        <v>685</v>
      </c>
      <c r="E10" s="167"/>
      <c r="F10" s="167"/>
      <c r="G10" s="167"/>
      <c r="H10" s="167"/>
      <c r="I10" s="167"/>
      <c r="J10" s="167"/>
      <c r="K10" s="167"/>
      <c r="L10" s="167">
        <v>282</v>
      </c>
      <c r="M10" s="167"/>
      <c r="N10" s="749">
        <f t="shared" si="0"/>
        <v>282</v>
      </c>
    </row>
    <row r="11" spans="1:14" s="154" customFormat="1" ht="15">
      <c r="A11" s="496">
        <v>4</v>
      </c>
      <c r="B11" s="176"/>
      <c r="C11" s="748"/>
      <c r="D11" s="183" t="s">
        <v>704</v>
      </c>
      <c r="E11" s="167"/>
      <c r="F11" s="167"/>
      <c r="G11" s="167"/>
      <c r="H11" s="167"/>
      <c r="I11" s="167"/>
      <c r="J11" s="167"/>
      <c r="K11" s="167">
        <v>6709</v>
      </c>
      <c r="L11" s="167"/>
      <c r="M11" s="167"/>
      <c r="N11" s="749">
        <f t="shared" si="0"/>
        <v>6709</v>
      </c>
    </row>
    <row r="12" spans="1:14" s="154" customFormat="1" ht="15">
      <c r="A12" s="746">
        <v>5</v>
      </c>
      <c r="B12" s="176"/>
      <c r="C12" s="748"/>
      <c r="D12" s="183" t="s">
        <v>734</v>
      </c>
      <c r="E12" s="167"/>
      <c r="F12" s="167"/>
      <c r="G12" s="167"/>
      <c r="H12" s="167"/>
      <c r="I12" s="167"/>
      <c r="J12" s="167"/>
      <c r="K12" s="167"/>
      <c r="L12" s="167">
        <v>181</v>
      </c>
      <c r="M12" s="167"/>
      <c r="N12" s="749">
        <f t="shared" si="0"/>
        <v>181</v>
      </c>
    </row>
    <row r="13" spans="1:14" s="154" customFormat="1" ht="15">
      <c r="A13" s="746">
        <v>6</v>
      </c>
      <c r="B13" s="176"/>
      <c r="C13" s="748"/>
      <c r="D13" s="183" t="s">
        <v>803</v>
      </c>
      <c r="E13" s="167"/>
      <c r="F13" s="167"/>
      <c r="G13" s="167"/>
      <c r="H13" s="167"/>
      <c r="I13" s="167"/>
      <c r="J13" s="167"/>
      <c r="K13" s="167"/>
      <c r="L13" s="167">
        <v>100</v>
      </c>
      <c r="M13" s="167"/>
      <c r="N13" s="749">
        <f t="shared" si="0"/>
        <v>100</v>
      </c>
    </row>
    <row r="14" spans="1:14" s="177" customFormat="1" ht="15">
      <c r="A14" s="496">
        <v>7</v>
      </c>
      <c r="B14" s="1101"/>
      <c r="C14" s="1102"/>
      <c r="D14" s="180" t="s">
        <v>637</v>
      </c>
      <c r="E14" s="181">
        <f>SUM(E9:E13)</f>
        <v>13613</v>
      </c>
      <c r="F14" s="181">
        <f aca="true" t="shared" si="1" ref="F14:N14">SUM(F9:F13)</f>
        <v>0</v>
      </c>
      <c r="G14" s="181">
        <f t="shared" si="1"/>
        <v>0</v>
      </c>
      <c r="H14" s="181">
        <f t="shared" si="1"/>
        <v>0</v>
      </c>
      <c r="I14" s="181">
        <f t="shared" si="1"/>
        <v>0</v>
      </c>
      <c r="J14" s="181">
        <f t="shared" si="1"/>
        <v>0</v>
      </c>
      <c r="K14" s="181">
        <f t="shared" si="1"/>
        <v>6709</v>
      </c>
      <c r="L14" s="181">
        <f t="shared" si="1"/>
        <v>158129</v>
      </c>
      <c r="M14" s="182">
        <f t="shared" si="1"/>
        <v>130387</v>
      </c>
      <c r="N14" s="168">
        <f t="shared" si="1"/>
        <v>178451</v>
      </c>
    </row>
    <row r="15" spans="1:14" s="169" customFormat="1" ht="15">
      <c r="A15" s="746">
        <v>8</v>
      </c>
      <c r="B15" s="170"/>
      <c r="C15" s="171">
        <v>1</v>
      </c>
      <c r="D15" s="172" t="s">
        <v>388</v>
      </c>
      <c r="E15" s="173"/>
      <c r="F15" s="173"/>
      <c r="G15" s="173"/>
      <c r="H15" s="173"/>
      <c r="I15" s="173"/>
      <c r="J15" s="173"/>
      <c r="K15" s="173"/>
      <c r="L15" s="173"/>
      <c r="M15" s="174"/>
      <c r="N15" s="164"/>
    </row>
    <row r="16" spans="1:14" s="169" customFormat="1" ht="15">
      <c r="A16" s="746">
        <v>9</v>
      </c>
      <c r="B16" s="170"/>
      <c r="C16" s="171"/>
      <c r="D16" s="172" t="s">
        <v>635</v>
      </c>
      <c r="E16" s="173"/>
      <c r="F16" s="173"/>
      <c r="G16" s="173"/>
      <c r="H16" s="173"/>
      <c r="I16" s="173"/>
      <c r="J16" s="173"/>
      <c r="K16" s="173"/>
      <c r="L16" s="173"/>
      <c r="M16" s="174"/>
      <c r="N16" s="747">
        <f t="shared" si="0"/>
        <v>0</v>
      </c>
    </row>
    <row r="17" spans="1:14" s="753" customFormat="1" ht="15">
      <c r="A17" s="496">
        <v>10</v>
      </c>
      <c r="B17" s="750"/>
      <c r="C17" s="751"/>
      <c r="D17" s="752" t="s">
        <v>636</v>
      </c>
      <c r="E17" s="174"/>
      <c r="F17" s="174"/>
      <c r="G17" s="174"/>
      <c r="H17" s="174"/>
      <c r="I17" s="174"/>
      <c r="J17" s="174"/>
      <c r="K17" s="174"/>
      <c r="L17" s="174"/>
      <c r="M17" s="174"/>
      <c r="N17" s="749">
        <f t="shared" si="0"/>
        <v>0</v>
      </c>
    </row>
    <row r="18" spans="1:14" s="759" customFormat="1" ht="15">
      <c r="A18" s="746">
        <v>11</v>
      </c>
      <c r="B18" s="754"/>
      <c r="C18" s="755"/>
      <c r="D18" s="756" t="s">
        <v>637</v>
      </c>
      <c r="E18" s="757">
        <f>SUM(E16:E17)</f>
        <v>0</v>
      </c>
      <c r="F18" s="757">
        <f aca="true" t="shared" si="2" ref="F18:M18">SUM(F16:F17)</f>
        <v>0</v>
      </c>
      <c r="G18" s="757">
        <f t="shared" si="2"/>
        <v>0</v>
      </c>
      <c r="H18" s="757">
        <f t="shared" si="2"/>
        <v>0</v>
      </c>
      <c r="I18" s="757">
        <f t="shared" si="2"/>
        <v>0</v>
      </c>
      <c r="J18" s="757">
        <f t="shared" si="2"/>
        <v>0</v>
      </c>
      <c r="K18" s="757">
        <f t="shared" si="2"/>
        <v>0</v>
      </c>
      <c r="L18" s="757">
        <f t="shared" si="2"/>
        <v>0</v>
      </c>
      <c r="M18" s="758">
        <f t="shared" si="2"/>
        <v>0</v>
      </c>
      <c r="N18" s="164">
        <f t="shared" si="0"/>
        <v>0</v>
      </c>
    </row>
    <row r="19" spans="1:14" s="158" customFormat="1" ht="25.5" customHeight="1">
      <c r="A19" s="746">
        <v>12</v>
      </c>
      <c r="B19" s="159">
        <v>2</v>
      </c>
      <c r="C19" s="160"/>
      <c r="D19" s="161" t="s">
        <v>1139</v>
      </c>
      <c r="E19" s="162"/>
      <c r="F19" s="163"/>
      <c r="G19" s="163"/>
      <c r="H19" s="163"/>
      <c r="I19" s="163"/>
      <c r="J19" s="163"/>
      <c r="K19" s="163"/>
      <c r="L19" s="162"/>
      <c r="M19" s="163"/>
      <c r="N19" s="164"/>
    </row>
    <row r="20" spans="1:14" s="153" customFormat="1" ht="15">
      <c r="A20" s="496">
        <v>13</v>
      </c>
      <c r="B20" s="165"/>
      <c r="C20" s="156"/>
      <c r="D20" s="166" t="s">
        <v>635</v>
      </c>
      <c r="E20" s="162">
        <v>27687</v>
      </c>
      <c r="F20" s="162"/>
      <c r="G20" s="162"/>
      <c r="H20" s="162"/>
      <c r="I20" s="162"/>
      <c r="J20" s="162"/>
      <c r="K20" s="162"/>
      <c r="L20" s="162">
        <v>263281</v>
      </c>
      <c r="M20" s="163">
        <v>233963</v>
      </c>
      <c r="N20" s="747">
        <f>SUM(E20:L20)</f>
        <v>290968</v>
      </c>
    </row>
    <row r="21" spans="1:14" s="154" customFormat="1" ht="15">
      <c r="A21" s="746">
        <v>14</v>
      </c>
      <c r="B21" s="176"/>
      <c r="C21" s="748"/>
      <c r="D21" s="183" t="s">
        <v>685</v>
      </c>
      <c r="E21" s="167"/>
      <c r="F21" s="167"/>
      <c r="G21" s="167"/>
      <c r="H21" s="167"/>
      <c r="I21" s="167"/>
      <c r="J21" s="167"/>
      <c r="K21" s="167"/>
      <c r="L21" s="167">
        <v>588</v>
      </c>
      <c r="M21" s="167"/>
      <c r="N21" s="749">
        <f>SUM(E21:L21)</f>
        <v>588</v>
      </c>
    </row>
    <row r="22" spans="1:14" s="154" customFormat="1" ht="15">
      <c r="A22" s="746">
        <v>15</v>
      </c>
      <c r="B22" s="176"/>
      <c r="C22" s="748"/>
      <c r="D22" s="183" t="s">
        <v>704</v>
      </c>
      <c r="E22" s="167"/>
      <c r="F22" s="167"/>
      <c r="G22" s="167"/>
      <c r="H22" s="167"/>
      <c r="I22" s="167"/>
      <c r="J22" s="167"/>
      <c r="K22" s="167">
        <v>5070</v>
      </c>
      <c r="L22" s="167"/>
      <c r="M22" s="167"/>
      <c r="N22" s="749">
        <f>SUM(E22:L22)</f>
        <v>5070</v>
      </c>
    </row>
    <row r="23" spans="1:14" s="154" customFormat="1" ht="15">
      <c r="A23" s="496">
        <v>16</v>
      </c>
      <c r="B23" s="176"/>
      <c r="C23" s="748"/>
      <c r="D23" s="183" t="s">
        <v>734</v>
      </c>
      <c r="E23" s="167"/>
      <c r="F23" s="167"/>
      <c r="G23" s="167"/>
      <c r="H23" s="167"/>
      <c r="I23" s="167"/>
      <c r="J23" s="167"/>
      <c r="K23" s="167"/>
      <c r="L23" s="167">
        <v>337</v>
      </c>
      <c r="M23" s="167"/>
      <c r="N23" s="749">
        <f>SUM(E23:L23)</f>
        <v>337</v>
      </c>
    </row>
    <row r="24" spans="1:14" s="177" customFormat="1" ht="15">
      <c r="A24" s="746">
        <v>17</v>
      </c>
      <c r="B24" s="1101"/>
      <c r="C24" s="1102"/>
      <c r="D24" s="180" t="s">
        <v>637</v>
      </c>
      <c r="E24" s="181">
        <f>SUM(E20:E23)</f>
        <v>27687</v>
      </c>
      <c r="F24" s="181">
        <f aca="true" t="shared" si="3" ref="F24:M24">SUM(F20:F23)</f>
        <v>0</v>
      </c>
      <c r="G24" s="181">
        <f t="shared" si="3"/>
        <v>0</v>
      </c>
      <c r="H24" s="181">
        <f t="shared" si="3"/>
        <v>0</v>
      </c>
      <c r="I24" s="181">
        <f t="shared" si="3"/>
        <v>0</v>
      </c>
      <c r="J24" s="181">
        <f t="shared" si="3"/>
        <v>0</v>
      </c>
      <c r="K24" s="181">
        <f t="shared" si="3"/>
        <v>5070</v>
      </c>
      <c r="L24" s="181">
        <f t="shared" si="3"/>
        <v>264206</v>
      </c>
      <c r="M24" s="182">
        <f t="shared" si="3"/>
        <v>233963</v>
      </c>
      <c r="N24" s="164">
        <f>SUM(E24:L24)</f>
        <v>296963</v>
      </c>
    </row>
    <row r="25" spans="1:14" s="169" customFormat="1" ht="15">
      <c r="A25" s="746">
        <v>18</v>
      </c>
      <c r="B25" s="170"/>
      <c r="C25" s="171">
        <v>1</v>
      </c>
      <c r="D25" s="172" t="s">
        <v>388</v>
      </c>
      <c r="E25" s="155"/>
      <c r="F25" s="155"/>
      <c r="G25" s="155"/>
      <c r="H25" s="155"/>
      <c r="I25" s="155"/>
      <c r="J25" s="155"/>
      <c r="K25" s="155"/>
      <c r="L25" s="155"/>
      <c r="M25" s="167"/>
      <c r="N25" s="168"/>
    </row>
    <row r="26" spans="1:14" s="169" customFormat="1" ht="15">
      <c r="A26" s="496">
        <v>19</v>
      </c>
      <c r="B26" s="170"/>
      <c r="C26" s="171"/>
      <c r="D26" s="172" t="s">
        <v>635</v>
      </c>
      <c r="E26" s="173"/>
      <c r="F26" s="173">
        <v>268</v>
      </c>
      <c r="G26" s="173"/>
      <c r="H26" s="173"/>
      <c r="I26" s="173"/>
      <c r="J26" s="173"/>
      <c r="K26" s="173"/>
      <c r="L26" s="173"/>
      <c r="M26" s="174"/>
      <c r="N26" s="747">
        <f>SUM(E26:L26)</f>
        <v>268</v>
      </c>
    </row>
    <row r="27" spans="1:14" s="753" customFormat="1" ht="15">
      <c r="A27" s="746">
        <v>20</v>
      </c>
      <c r="B27" s="750"/>
      <c r="C27" s="751"/>
      <c r="D27" s="752" t="s">
        <v>636</v>
      </c>
      <c r="E27" s="174"/>
      <c r="F27" s="174"/>
      <c r="G27" s="174"/>
      <c r="H27" s="174"/>
      <c r="I27" s="174"/>
      <c r="J27" s="174"/>
      <c r="K27" s="174"/>
      <c r="L27" s="174"/>
      <c r="M27" s="174"/>
      <c r="N27" s="749">
        <f>SUM(E27:L27)</f>
        <v>0</v>
      </c>
    </row>
    <row r="28" spans="1:14" s="759" customFormat="1" ht="15">
      <c r="A28" s="746">
        <v>21</v>
      </c>
      <c r="B28" s="754"/>
      <c r="C28" s="755"/>
      <c r="D28" s="756" t="s">
        <v>637</v>
      </c>
      <c r="E28" s="757">
        <f>SUM(E26:E27)</f>
        <v>0</v>
      </c>
      <c r="F28" s="757">
        <f>SUM(F26:F27)</f>
        <v>268</v>
      </c>
      <c r="G28" s="757">
        <f aca="true" t="shared" si="4" ref="G28:M28">SUM(G26:G27)</f>
        <v>0</v>
      </c>
      <c r="H28" s="757">
        <f t="shared" si="4"/>
        <v>0</v>
      </c>
      <c r="I28" s="757">
        <f t="shared" si="4"/>
        <v>0</v>
      </c>
      <c r="J28" s="757">
        <f t="shared" si="4"/>
        <v>0</v>
      </c>
      <c r="K28" s="757">
        <f t="shared" si="4"/>
        <v>0</v>
      </c>
      <c r="L28" s="757">
        <f t="shared" si="4"/>
        <v>0</v>
      </c>
      <c r="M28" s="758">
        <f t="shared" si="4"/>
        <v>0</v>
      </c>
      <c r="N28" s="164">
        <f>SUM(E28:L28)</f>
        <v>268</v>
      </c>
    </row>
    <row r="29" spans="1:14" s="158" customFormat="1" ht="25.5" customHeight="1">
      <c r="A29" s="496">
        <v>22</v>
      </c>
      <c r="B29" s="159">
        <v>3</v>
      </c>
      <c r="C29" s="160"/>
      <c r="D29" s="161" t="s">
        <v>1140</v>
      </c>
      <c r="E29" s="162"/>
      <c r="F29" s="163"/>
      <c r="G29" s="163"/>
      <c r="H29" s="163"/>
      <c r="I29" s="163"/>
      <c r="J29" s="163"/>
      <c r="K29" s="163"/>
      <c r="L29" s="162"/>
      <c r="M29" s="163"/>
      <c r="N29" s="164"/>
    </row>
    <row r="30" spans="1:14" s="153" customFormat="1" ht="15">
      <c r="A30" s="746">
        <v>23</v>
      </c>
      <c r="B30" s="165"/>
      <c r="C30" s="156"/>
      <c r="D30" s="166" t="s">
        <v>635</v>
      </c>
      <c r="E30" s="162">
        <v>31163</v>
      </c>
      <c r="F30" s="162"/>
      <c r="G30" s="162"/>
      <c r="H30" s="162">
        <v>2289</v>
      </c>
      <c r="I30" s="162"/>
      <c r="J30" s="162"/>
      <c r="K30" s="162"/>
      <c r="L30" s="162">
        <v>311450</v>
      </c>
      <c r="M30" s="163">
        <v>260900</v>
      </c>
      <c r="N30" s="747">
        <f>SUM(E30:L30)</f>
        <v>344902</v>
      </c>
    </row>
    <row r="31" spans="1:14" s="154" customFormat="1" ht="15">
      <c r="A31" s="746">
        <v>24</v>
      </c>
      <c r="B31" s="176"/>
      <c r="C31" s="748"/>
      <c r="D31" s="183" t="s">
        <v>685</v>
      </c>
      <c r="E31" s="167"/>
      <c r="F31" s="167"/>
      <c r="G31" s="167"/>
      <c r="H31" s="167"/>
      <c r="I31" s="167"/>
      <c r="J31" s="167"/>
      <c r="K31" s="167"/>
      <c r="L31" s="167">
        <v>221</v>
      </c>
      <c r="M31" s="167"/>
      <c r="N31" s="749">
        <f>SUM(E31:L31)</f>
        <v>221</v>
      </c>
    </row>
    <row r="32" spans="1:14" s="154" customFormat="1" ht="15">
      <c r="A32" s="496">
        <v>25</v>
      </c>
      <c r="B32" s="176"/>
      <c r="C32" s="748"/>
      <c r="D32" s="183" t="s">
        <v>704</v>
      </c>
      <c r="E32" s="167"/>
      <c r="F32" s="167"/>
      <c r="G32" s="167"/>
      <c r="H32" s="167"/>
      <c r="I32" s="167"/>
      <c r="J32" s="167"/>
      <c r="K32" s="167">
        <v>8257</v>
      </c>
      <c r="L32" s="167"/>
      <c r="M32" s="167"/>
      <c r="N32" s="749">
        <f>SUM(E32:L32)</f>
        <v>8257</v>
      </c>
    </row>
    <row r="33" spans="1:14" s="154" customFormat="1" ht="15">
      <c r="A33" s="746">
        <v>26</v>
      </c>
      <c r="B33" s="176"/>
      <c r="C33" s="748"/>
      <c r="D33" s="183" t="s">
        <v>734</v>
      </c>
      <c r="E33" s="167"/>
      <c r="F33" s="167"/>
      <c r="G33" s="167"/>
      <c r="H33" s="167"/>
      <c r="I33" s="167"/>
      <c r="J33" s="167"/>
      <c r="K33" s="167"/>
      <c r="L33" s="167">
        <v>403</v>
      </c>
      <c r="M33" s="167"/>
      <c r="N33" s="749">
        <f>SUM(E33:L33)</f>
        <v>403</v>
      </c>
    </row>
    <row r="34" spans="1:14" s="177" customFormat="1" ht="15">
      <c r="A34" s="746">
        <v>27</v>
      </c>
      <c r="B34" s="1101"/>
      <c r="C34" s="1102"/>
      <c r="D34" s="180" t="s">
        <v>637</v>
      </c>
      <c r="E34" s="181">
        <f>SUM(E30:E33)</f>
        <v>31163</v>
      </c>
      <c r="F34" s="181">
        <f aca="true" t="shared" si="5" ref="F34:M34">SUM(F30:F33)</f>
        <v>0</v>
      </c>
      <c r="G34" s="181">
        <f t="shared" si="5"/>
        <v>0</v>
      </c>
      <c r="H34" s="181">
        <f t="shared" si="5"/>
        <v>2289</v>
      </c>
      <c r="I34" s="181">
        <f t="shared" si="5"/>
        <v>0</v>
      </c>
      <c r="J34" s="181">
        <f t="shared" si="5"/>
        <v>0</v>
      </c>
      <c r="K34" s="181">
        <f t="shared" si="5"/>
        <v>8257</v>
      </c>
      <c r="L34" s="181">
        <f t="shared" si="5"/>
        <v>312074</v>
      </c>
      <c r="M34" s="182">
        <f t="shared" si="5"/>
        <v>260900</v>
      </c>
      <c r="N34" s="164">
        <f>SUM(E34:L34)</f>
        <v>353783</v>
      </c>
    </row>
    <row r="35" spans="1:14" s="169" customFormat="1" ht="15">
      <c r="A35" s="496">
        <v>28</v>
      </c>
      <c r="B35" s="170"/>
      <c r="C35" s="171">
        <v>1</v>
      </c>
      <c r="D35" s="172" t="s">
        <v>388</v>
      </c>
      <c r="E35" s="173"/>
      <c r="F35" s="173"/>
      <c r="G35" s="173"/>
      <c r="H35" s="173"/>
      <c r="I35" s="173"/>
      <c r="J35" s="173"/>
      <c r="K35" s="173"/>
      <c r="L35" s="173"/>
      <c r="M35" s="174"/>
      <c r="N35" s="175"/>
    </row>
    <row r="36" spans="1:14" s="169" customFormat="1" ht="15">
      <c r="A36" s="746">
        <v>29</v>
      </c>
      <c r="B36" s="170"/>
      <c r="C36" s="171"/>
      <c r="D36" s="172" t="s">
        <v>635</v>
      </c>
      <c r="E36" s="173"/>
      <c r="F36" s="173"/>
      <c r="G36" s="173"/>
      <c r="H36" s="173"/>
      <c r="I36" s="173"/>
      <c r="J36" s="173"/>
      <c r="K36" s="173"/>
      <c r="L36" s="173"/>
      <c r="M36" s="174"/>
      <c r="N36" s="747">
        <f>SUM(E36:L36)</f>
        <v>0</v>
      </c>
    </row>
    <row r="37" spans="1:14" s="753" customFormat="1" ht="15">
      <c r="A37" s="746">
        <v>30</v>
      </c>
      <c r="B37" s="750"/>
      <c r="C37" s="751"/>
      <c r="D37" s="752" t="s">
        <v>636</v>
      </c>
      <c r="E37" s="174"/>
      <c r="F37" s="174"/>
      <c r="G37" s="174"/>
      <c r="H37" s="174"/>
      <c r="I37" s="174"/>
      <c r="J37" s="174"/>
      <c r="K37" s="174"/>
      <c r="L37" s="174"/>
      <c r="M37" s="174"/>
      <c r="N37" s="749">
        <f>SUM(E37:L37)</f>
        <v>0</v>
      </c>
    </row>
    <row r="38" spans="1:14" s="759" customFormat="1" ht="15">
      <c r="A38" s="496">
        <v>31</v>
      </c>
      <c r="B38" s="754"/>
      <c r="C38" s="755"/>
      <c r="D38" s="756" t="s">
        <v>637</v>
      </c>
      <c r="E38" s="757">
        <f>SUM(E36:E37)</f>
        <v>0</v>
      </c>
      <c r="F38" s="757">
        <f>SUM(F36:F37)</f>
        <v>0</v>
      </c>
      <c r="G38" s="757">
        <f>SUM(G36:G37)</f>
        <v>0</v>
      </c>
      <c r="H38" s="757">
        <f>SUM(H36:H37)</f>
        <v>0</v>
      </c>
      <c r="I38" s="757">
        <f>SUM(I36:I37)</f>
        <v>0</v>
      </c>
      <c r="J38" s="757">
        <f>SUM(J36:J37)</f>
        <v>0</v>
      </c>
      <c r="K38" s="757">
        <f>SUM(K36:K37)</f>
        <v>0</v>
      </c>
      <c r="L38" s="757">
        <f>SUM(L36:L37)</f>
        <v>0</v>
      </c>
      <c r="M38" s="758">
        <f>SUM(M36:M37)</f>
        <v>0</v>
      </c>
      <c r="N38" s="164">
        <f>SUM(E38:L38)</f>
        <v>0</v>
      </c>
    </row>
    <row r="39" spans="1:14" s="158" customFormat="1" ht="25.5" customHeight="1">
      <c r="A39" s="746">
        <v>32</v>
      </c>
      <c r="B39" s="159">
        <v>4</v>
      </c>
      <c r="C39" s="160"/>
      <c r="D39" s="161" t="s">
        <v>1141</v>
      </c>
      <c r="E39" s="162"/>
      <c r="F39" s="163"/>
      <c r="G39" s="163"/>
      <c r="H39" s="163"/>
      <c r="I39" s="163"/>
      <c r="J39" s="163"/>
      <c r="K39" s="163"/>
      <c r="L39" s="162"/>
      <c r="M39" s="163"/>
      <c r="N39" s="164"/>
    </row>
    <row r="40" spans="1:14" s="153" customFormat="1" ht="15">
      <c r="A40" s="746">
        <v>33</v>
      </c>
      <c r="B40" s="165"/>
      <c r="C40" s="156"/>
      <c r="D40" s="166" t="s">
        <v>635</v>
      </c>
      <c r="E40" s="162">
        <v>25207</v>
      </c>
      <c r="F40" s="162"/>
      <c r="G40" s="162"/>
      <c r="H40" s="162"/>
      <c r="I40" s="162"/>
      <c r="J40" s="162"/>
      <c r="K40" s="162"/>
      <c r="L40" s="162">
        <v>230442</v>
      </c>
      <c r="M40" s="163">
        <v>216422</v>
      </c>
      <c r="N40" s="747">
        <f>SUM(E40:L40)</f>
        <v>255649</v>
      </c>
    </row>
    <row r="41" spans="1:14" s="154" customFormat="1" ht="15">
      <c r="A41" s="496">
        <v>34</v>
      </c>
      <c r="B41" s="176"/>
      <c r="C41" s="748"/>
      <c r="D41" s="183" t="s">
        <v>685</v>
      </c>
      <c r="E41" s="167"/>
      <c r="F41" s="167"/>
      <c r="G41" s="167"/>
      <c r="H41" s="167"/>
      <c r="I41" s="167"/>
      <c r="J41" s="167"/>
      <c r="K41" s="167"/>
      <c r="L41" s="167">
        <v>387</v>
      </c>
      <c r="M41" s="167"/>
      <c r="N41" s="749">
        <f>SUM(E41:L41)</f>
        <v>387</v>
      </c>
    </row>
    <row r="42" spans="1:14" s="154" customFormat="1" ht="15">
      <c r="A42" s="746">
        <v>35</v>
      </c>
      <c r="B42" s="176"/>
      <c r="C42" s="748"/>
      <c r="D42" s="183" t="s">
        <v>704</v>
      </c>
      <c r="E42" s="167"/>
      <c r="F42" s="167"/>
      <c r="G42" s="167"/>
      <c r="H42" s="167"/>
      <c r="I42" s="167"/>
      <c r="J42" s="167"/>
      <c r="K42" s="167">
        <v>12515</v>
      </c>
      <c r="L42" s="167"/>
      <c r="M42" s="167"/>
      <c r="N42" s="749">
        <f>SUM(E42:L42)</f>
        <v>12515</v>
      </c>
    </row>
    <row r="43" spans="1:14" s="154" customFormat="1" ht="15">
      <c r="A43" s="746">
        <v>36</v>
      </c>
      <c r="B43" s="176"/>
      <c r="C43" s="748"/>
      <c r="D43" s="183" t="s">
        <v>734</v>
      </c>
      <c r="E43" s="167"/>
      <c r="F43" s="167"/>
      <c r="G43" s="167"/>
      <c r="H43" s="167"/>
      <c r="I43" s="167"/>
      <c r="J43" s="167"/>
      <c r="K43" s="167"/>
      <c r="L43" s="167">
        <v>288</v>
      </c>
      <c r="M43" s="167"/>
      <c r="N43" s="749">
        <f>SUM(E43:L43)</f>
        <v>288</v>
      </c>
    </row>
    <row r="44" spans="1:14" s="154" customFormat="1" ht="15">
      <c r="A44" s="496">
        <v>37</v>
      </c>
      <c r="B44" s="176"/>
      <c r="C44" s="748"/>
      <c r="D44" s="183" t="s">
        <v>804</v>
      </c>
      <c r="E44" s="167"/>
      <c r="F44" s="167"/>
      <c r="G44" s="167"/>
      <c r="H44" s="167"/>
      <c r="I44" s="167"/>
      <c r="J44" s="167"/>
      <c r="K44" s="167"/>
      <c r="L44" s="167">
        <v>200</v>
      </c>
      <c r="M44" s="167"/>
      <c r="N44" s="749">
        <f>SUM(E44:L44)</f>
        <v>200</v>
      </c>
    </row>
    <row r="45" spans="1:14" s="177" customFormat="1" ht="15">
      <c r="A45" s="746">
        <v>38</v>
      </c>
      <c r="B45" s="1101"/>
      <c r="C45" s="1102"/>
      <c r="D45" s="180" t="s">
        <v>637</v>
      </c>
      <c r="E45" s="181">
        <f>SUM(E40:E44)</f>
        <v>25207</v>
      </c>
      <c r="F45" s="181">
        <f aca="true" t="shared" si="6" ref="F45:N45">SUM(F40:F44)</f>
        <v>0</v>
      </c>
      <c r="G45" s="181">
        <f t="shared" si="6"/>
        <v>0</v>
      </c>
      <c r="H45" s="181">
        <f t="shared" si="6"/>
        <v>0</v>
      </c>
      <c r="I45" s="181">
        <f t="shared" si="6"/>
        <v>0</v>
      </c>
      <c r="J45" s="181">
        <f t="shared" si="6"/>
        <v>0</v>
      </c>
      <c r="K45" s="181">
        <f t="shared" si="6"/>
        <v>12515</v>
      </c>
      <c r="L45" s="181">
        <f t="shared" si="6"/>
        <v>231317</v>
      </c>
      <c r="M45" s="182">
        <f t="shared" si="6"/>
        <v>216422</v>
      </c>
      <c r="N45" s="168">
        <f t="shared" si="6"/>
        <v>269039</v>
      </c>
    </row>
    <row r="46" spans="1:14" s="169" customFormat="1" ht="15">
      <c r="A46" s="746">
        <v>39</v>
      </c>
      <c r="B46" s="170"/>
      <c r="C46" s="171">
        <v>1</v>
      </c>
      <c r="D46" s="172" t="s">
        <v>388</v>
      </c>
      <c r="E46" s="173"/>
      <c r="F46" s="173"/>
      <c r="G46" s="173"/>
      <c r="H46" s="173"/>
      <c r="I46" s="173"/>
      <c r="J46" s="173"/>
      <c r="K46" s="173"/>
      <c r="L46" s="173"/>
      <c r="M46" s="174"/>
      <c r="N46" s="175"/>
    </row>
    <row r="47" spans="1:14" s="169" customFormat="1" ht="15">
      <c r="A47" s="496">
        <v>40</v>
      </c>
      <c r="B47" s="170"/>
      <c r="C47" s="171"/>
      <c r="D47" s="172" t="s">
        <v>635</v>
      </c>
      <c r="E47" s="173"/>
      <c r="F47" s="173"/>
      <c r="G47" s="173"/>
      <c r="H47" s="173"/>
      <c r="I47" s="173"/>
      <c r="J47" s="173"/>
      <c r="K47" s="173"/>
      <c r="L47" s="173"/>
      <c r="M47" s="174"/>
      <c r="N47" s="747">
        <f>SUM(E47:L47)</f>
        <v>0</v>
      </c>
    </row>
    <row r="48" spans="1:14" s="753" customFormat="1" ht="15">
      <c r="A48" s="746">
        <v>41</v>
      </c>
      <c r="B48" s="750"/>
      <c r="C48" s="751"/>
      <c r="D48" s="752" t="s">
        <v>636</v>
      </c>
      <c r="E48" s="174"/>
      <c r="F48" s="174"/>
      <c r="G48" s="174"/>
      <c r="H48" s="174"/>
      <c r="I48" s="174"/>
      <c r="J48" s="174"/>
      <c r="K48" s="174"/>
      <c r="L48" s="174"/>
      <c r="M48" s="174"/>
      <c r="N48" s="749">
        <f>SUM(E48:L48)</f>
        <v>0</v>
      </c>
    </row>
    <row r="49" spans="1:14" s="759" customFormat="1" ht="15">
      <c r="A49" s="746">
        <v>42</v>
      </c>
      <c r="B49" s="754"/>
      <c r="C49" s="755"/>
      <c r="D49" s="756" t="s">
        <v>637</v>
      </c>
      <c r="E49" s="757">
        <f>SUM(E47:E48)</f>
        <v>0</v>
      </c>
      <c r="F49" s="757">
        <f>SUM(F47:F48)</f>
        <v>0</v>
      </c>
      <c r="G49" s="757">
        <f>SUM(G47:G48)</f>
        <v>0</v>
      </c>
      <c r="H49" s="757">
        <f>SUM(H47:H48)</f>
        <v>0</v>
      </c>
      <c r="I49" s="757">
        <f>SUM(I47:I48)</f>
        <v>0</v>
      </c>
      <c r="J49" s="757">
        <f>SUM(J47:J48)</f>
        <v>0</v>
      </c>
      <c r="K49" s="757">
        <f>SUM(K47:K48)</f>
        <v>0</v>
      </c>
      <c r="L49" s="757">
        <f>SUM(L47:L48)</f>
        <v>0</v>
      </c>
      <c r="M49" s="758">
        <f>SUM(M47:M48)</f>
        <v>0</v>
      </c>
      <c r="N49" s="164">
        <f>SUM(E49:L49)</f>
        <v>0</v>
      </c>
    </row>
    <row r="50" spans="1:14" s="158" customFormat="1" ht="25.5" customHeight="1">
      <c r="A50" s="496">
        <v>43</v>
      </c>
      <c r="B50" s="159">
        <v>5</v>
      </c>
      <c r="C50" s="160"/>
      <c r="D50" s="161" t="s">
        <v>1142</v>
      </c>
      <c r="E50" s="162"/>
      <c r="F50" s="163"/>
      <c r="G50" s="163"/>
      <c r="H50" s="163"/>
      <c r="I50" s="163"/>
      <c r="J50" s="163"/>
      <c r="K50" s="163"/>
      <c r="L50" s="162"/>
      <c r="M50" s="163"/>
      <c r="N50" s="164"/>
    </row>
    <row r="51" spans="1:14" s="153" customFormat="1" ht="15">
      <c r="A51" s="746">
        <v>44</v>
      </c>
      <c r="B51" s="165"/>
      <c r="C51" s="156"/>
      <c r="D51" s="166" t="s">
        <v>635</v>
      </c>
      <c r="E51" s="162">
        <v>26960</v>
      </c>
      <c r="F51" s="162"/>
      <c r="G51" s="162"/>
      <c r="H51" s="162"/>
      <c r="I51" s="162"/>
      <c r="J51" s="162"/>
      <c r="K51" s="162"/>
      <c r="L51" s="162">
        <v>245429</v>
      </c>
      <c r="M51" s="163">
        <v>204347</v>
      </c>
      <c r="N51" s="747">
        <f>SUM(E51:L51)</f>
        <v>272389</v>
      </c>
    </row>
    <row r="52" spans="1:14" s="154" customFormat="1" ht="15">
      <c r="A52" s="746">
        <v>45</v>
      </c>
      <c r="B52" s="176"/>
      <c r="C52" s="748"/>
      <c r="D52" s="183" t="s">
        <v>685</v>
      </c>
      <c r="E52" s="167"/>
      <c r="F52" s="167"/>
      <c r="G52" s="167"/>
      <c r="H52" s="167"/>
      <c r="I52" s="167"/>
      <c r="J52" s="167"/>
      <c r="K52" s="167"/>
      <c r="L52" s="167">
        <v>325</v>
      </c>
      <c r="M52" s="167"/>
      <c r="N52" s="749">
        <f>SUM(E52:L52)</f>
        <v>325</v>
      </c>
    </row>
    <row r="53" spans="1:14" s="154" customFormat="1" ht="15">
      <c r="A53" s="496">
        <v>46</v>
      </c>
      <c r="B53" s="176"/>
      <c r="C53" s="748"/>
      <c r="D53" s="183" t="s">
        <v>704</v>
      </c>
      <c r="E53" s="167"/>
      <c r="F53" s="167"/>
      <c r="G53" s="167"/>
      <c r="H53" s="167"/>
      <c r="I53" s="167"/>
      <c r="J53" s="167"/>
      <c r="K53" s="167">
        <v>27772</v>
      </c>
      <c r="L53" s="167"/>
      <c r="M53" s="167"/>
      <c r="N53" s="749">
        <f>SUM(E53:L53)</f>
        <v>27772</v>
      </c>
    </row>
    <row r="54" spans="1:14" s="154" customFormat="1" ht="15">
      <c r="A54" s="746">
        <v>47</v>
      </c>
      <c r="B54" s="176"/>
      <c r="C54" s="748"/>
      <c r="D54" s="183" t="s">
        <v>734</v>
      </c>
      <c r="E54" s="167"/>
      <c r="F54" s="167"/>
      <c r="G54" s="167"/>
      <c r="H54" s="167"/>
      <c r="I54" s="167"/>
      <c r="J54" s="167"/>
      <c r="K54" s="167"/>
      <c r="L54" s="167">
        <v>296</v>
      </c>
      <c r="M54" s="167"/>
      <c r="N54" s="749">
        <f>SUM(E54:L54)</f>
        <v>296</v>
      </c>
    </row>
    <row r="55" spans="1:14" s="154" customFormat="1" ht="16.5">
      <c r="A55" s="746">
        <v>48</v>
      </c>
      <c r="B55" s="176"/>
      <c r="C55" s="748"/>
      <c r="D55" s="183" t="s">
        <v>805</v>
      </c>
      <c r="E55" s="1039"/>
      <c r="F55" s="167"/>
      <c r="G55" s="167"/>
      <c r="H55" s="167"/>
      <c r="I55" s="167"/>
      <c r="J55" s="167"/>
      <c r="K55" s="167"/>
      <c r="L55" s="167">
        <v>100</v>
      </c>
      <c r="M55" s="167"/>
      <c r="N55" s="749">
        <f>SUM(E55:L55)</f>
        <v>100</v>
      </c>
    </row>
    <row r="56" spans="1:14" s="154" customFormat="1" ht="16.5">
      <c r="A56" s="496">
        <v>49</v>
      </c>
      <c r="B56" s="176"/>
      <c r="C56" s="748"/>
      <c r="D56" s="183" t="s">
        <v>806</v>
      </c>
      <c r="E56" s="1039"/>
      <c r="F56" s="167"/>
      <c r="G56" s="167"/>
      <c r="H56" s="167"/>
      <c r="I56" s="167"/>
      <c r="J56" s="167"/>
      <c r="K56" s="167"/>
      <c r="L56" s="167">
        <v>300</v>
      </c>
      <c r="M56" s="167"/>
      <c r="N56" s="749">
        <f>SUM(E56:L56)</f>
        <v>300</v>
      </c>
    </row>
    <row r="57" spans="1:14" s="177" customFormat="1" ht="15">
      <c r="A57" s="746">
        <v>50</v>
      </c>
      <c r="B57" s="1101"/>
      <c r="C57" s="1102"/>
      <c r="D57" s="180" t="s">
        <v>637</v>
      </c>
      <c r="E57" s="181">
        <f>SUM(E51:E56)</f>
        <v>26960</v>
      </c>
      <c r="F57" s="181">
        <f aca="true" t="shared" si="7" ref="F57:N57">SUM(F51:F56)</f>
        <v>0</v>
      </c>
      <c r="G57" s="181">
        <f t="shared" si="7"/>
        <v>0</v>
      </c>
      <c r="H57" s="181">
        <f t="shared" si="7"/>
        <v>0</v>
      </c>
      <c r="I57" s="181">
        <f t="shared" si="7"/>
        <v>0</v>
      </c>
      <c r="J57" s="181">
        <f t="shared" si="7"/>
        <v>0</v>
      </c>
      <c r="K57" s="181">
        <f t="shared" si="7"/>
        <v>27772</v>
      </c>
      <c r="L57" s="181">
        <f t="shared" si="7"/>
        <v>246450</v>
      </c>
      <c r="M57" s="182">
        <f t="shared" si="7"/>
        <v>204347</v>
      </c>
      <c r="N57" s="168">
        <f t="shared" si="7"/>
        <v>301182</v>
      </c>
    </row>
    <row r="58" spans="1:14" s="169" customFormat="1" ht="15">
      <c r="A58" s="746">
        <v>51</v>
      </c>
      <c r="B58" s="170"/>
      <c r="C58" s="171">
        <v>1</v>
      </c>
      <c r="D58" s="172" t="s">
        <v>388</v>
      </c>
      <c r="E58" s="173"/>
      <c r="F58" s="173"/>
      <c r="G58" s="173"/>
      <c r="H58" s="173"/>
      <c r="I58" s="173"/>
      <c r="J58" s="173"/>
      <c r="K58" s="173"/>
      <c r="L58" s="173"/>
      <c r="M58" s="174"/>
      <c r="N58" s="175"/>
    </row>
    <row r="59" spans="1:14" s="169" customFormat="1" ht="15">
      <c r="A59" s="496">
        <v>52</v>
      </c>
      <c r="B59" s="170"/>
      <c r="C59" s="171"/>
      <c r="D59" s="172" t="s">
        <v>635</v>
      </c>
      <c r="E59" s="173"/>
      <c r="F59" s="173"/>
      <c r="G59" s="173"/>
      <c r="H59" s="173"/>
      <c r="I59" s="173"/>
      <c r="J59" s="173"/>
      <c r="K59" s="173"/>
      <c r="L59" s="173"/>
      <c r="M59" s="174"/>
      <c r="N59" s="747">
        <f>SUM(E59:L59)</f>
        <v>0</v>
      </c>
    </row>
    <row r="60" spans="1:14" s="753" customFormat="1" ht="15">
      <c r="A60" s="746">
        <v>53</v>
      </c>
      <c r="B60" s="750"/>
      <c r="C60" s="751"/>
      <c r="D60" s="752" t="s">
        <v>636</v>
      </c>
      <c r="E60" s="174"/>
      <c r="F60" s="174"/>
      <c r="G60" s="174"/>
      <c r="H60" s="174"/>
      <c r="I60" s="174"/>
      <c r="J60" s="174"/>
      <c r="K60" s="174"/>
      <c r="L60" s="174"/>
      <c r="M60" s="174"/>
      <c r="N60" s="749">
        <f>SUM(E60:L60)</f>
        <v>0</v>
      </c>
    </row>
    <row r="61" spans="1:14" s="759" customFormat="1" ht="15">
      <c r="A61" s="746">
        <v>54</v>
      </c>
      <c r="B61" s="754"/>
      <c r="C61" s="755"/>
      <c r="D61" s="756" t="s">
        <v>637</v>
      </c>
      <c r="E61" s="757">
        <f>SUM(E59:E60)</f>
        <v>0</v>
      </c>
      <c r="F61" s="757">
        <f>SUM(F59:F60)</f>
        <v>0</v>
      </c>
      <c r="G61" s="757">
        <f>SUM(G59:G60)</f>
        <v>0</v>
      </c>
      <c r="H61" s="757">
        <f>SUM(H59:H60)</f>
        <v>0</v>
      </c>
      <c r="I61" s="757">
        <f>SUM(I59:I60)</f>
        <v>0</v>
      </c>
      <c r="J61" s="757">
        <f>SUM(J59:J60)</f>
        <v>0</v>
      </c>
      <c r="K61" s="757">
        <f>SUM(K59:K60)</f>
        <v>0</v>
      </c>
      <c r="L61" s="757">
        <f>SUM(L59:L60)</f>
        <v>0</v>
      </c>
      <c r="M61" s="758">
        <f>SUM(M59:M60)</f>
        <v>0</v>
      </c>
      <c r="N61" s="164">
        <f>SUM(E61:L61)</f>
        <v>0</v>
      </c>
    </row>
    <row r="62" spans="1:14" s="158" customFormat="1" ht="25.5" customHeight="1">
      <c r="A62" s="496">
        <v>55</v>
      </c>
      <c r="B62" s="159">
        <v>6</v>
      </c>
      <c r="C62" s="160"/>
      <c r="D62" s="161" t="s">
        <v>1143</v>
      </c>
      <c r="E62" s="162"/>
      <c r="F62" s="163"/>
      <c r="G62" s="163"/>
      <c r="H62" s="163"/>
      <c r="I62" s="163"/>
      <c r="J62" s="163"/>
      <c r="K62" s="163"/>
      <c r="L62" s="162"/>
      <c r="M62" s="163"/>
      <c r="N62" s="164"/>
    </row>
    <row r="63" spans="1:14" s="153" customFormat="1" ht="15">
      <c r="A63" s="746">
        <v>56</v>
      </c>
      <c r="B63" s="165"/>
      <c r="C63" s="156"/>
      <c r="D63" s="166" t="s">
        <v>635</v>
      </c>
      <c r="E63" s="162">
        <v>14268</v>
      </c>
      <c r="F63" s="162"/>
      <c r="G63" s="162"/>
      <c r="H63" s="162"/>
      <c r="I63" s="162"/>
      <c r="J63" s="162"/>
      <c r="K63" s="162"/>
      <c r="L63" s="162">
        <v>122146</v>
      </c>
      <c r="M63" s="163">
        <v>100440</v>
      </c>
      <c r="N63" s="747">
        <f>SUM(E63:L63)</f>
        <v>136414</v>
      </c>
    </row>
    <row r="64" spans="1:14" s="154" customFormat="1" ht="15">
      <c r="A64" s="746">
        <v>57</v>
      </c>
      <c r="B64" s="176"/>
      <c r="C64" s="748"/>
      <c r="D64" s="183" t="s">
        <v>685</v>
      </c>
      <c r="E64" s="167"/>
      <c r="F64" s="167"/>
      <c r="G64" s="167"/>
      <c r="H64" s="167"/>
      <c r="I64" s="167"/>
      <c r="J64" s="167"/>
      <c r="K64" s="167"/>
      <c r="L64" s="167">
        <v>50</v>
      </c>
      <c r="M64" s="167"/>
      <c r="N64" s="749">
        <f>SUM(E64:L64)</f>
        <v>50</v>
      </c>
    </row>
    <row r="65" spans="1:14" s="154" customFormat="1" ht="15">
      <c r="A65" s="496">
        <v>58</v>
      </c>
      <c r="B65" s="176"/>
      <c r="C65" s="748"/>
      <c r="D65" s="183" t="s">
        <v>704</v>
      </c>
      <c r="E65" s="167"/>
      <c r="F65" s="167"/>
      <c r="G65" s="167"/>
      <c r="H65" s="167"/>
      <c r="I65" s="167"/>
      <c r="J65" s="167"/>
      <c r="K65" s="167">
        <v>3820</v>
      </c>
      <c r="L65" s="167"/>
      <c r="M65" s="167"/>
      <c r="N65" s="749">
        <f>SUM(E65:L65)</f>
        <v>3820</v>
      </c>
    </row>
    <row r="66" spans="1:14" s="154" customFormat="1" ht="15">
      <c r="A66" s="746">
        <v>59</v>
      </c>
      <c r="B66" s="176"/>
      <c r="C66" s="748"/>
      <c r="D66" s="183" t="s">
        <v>734</v>
      </c>
      <c r="E66" s="167"/>
      <c r="F66" s="167"/>
      <c r="G66" s="167"/>
      <c r="H66" s="167"/>
      <c r="I66" s="167"/>
      <c r="J66" s="167"/>
      <c r="K66" s="167"/>
      <c r="L66" s="167">
        <v>147</v>
      </c>
      <c r="M66" s="167"/>
      <c r="N66" s="749">
        <f>SUM(E66:L66)</f>
        <v>147</v>
      </c>
    </row>
    <row r="67" spans="1:14" s="154" customFormat="1" ht="15">
      <c r="A67" s="746">
        <v>60</v>
      </c>
      <c r="B67" s="176"/>
      <c r="C67" s="748"/>
      <c r="D67" s="183" t="s">
        <v>807</v>
      </c>
      <c r="E67" s="167"/>
      <c r="F67" s="167"/>
      <c r="G67" s="167"/>
      <c r="H67" s="167"/>
      <c r="I67" s="167"/>
      <c r="J67" s="167"/>
      <c r="K67" s="167"/>
      <c r="L67" s="167">
        <v>100</v>
      </c>
      <c r="M67" s="167"/>
      <c r="N67" s="749">
        <f>SUM(E67:L67)</f>
        <v>100</v>
      </c>
    </row>
    <row r="68" spans="1:14" s="177" customFormat="1" ht="15">
      <c r="A68" s="496">
        <v>61</v>
      </c>
      <c r="B68" s="1101"/>
      <c r="C68" s="1102"/>
      <c r="D68" s="180" t="s">
        <v>637</v>
      </c>
      <c r="E68" s="181">
        <f>SUM(E63:E67)</f>
        <v>14268</v>
      </c>
      <c r="F68" s="181">
        <f aca="true" t="shared" si="8" ref="F68:N68">SUM(F63:F67)</f>
        <v>0</v>
      </c>
      <c r="G68" s="181">
        <f t="shared" si="8"/>
        <v>0</v>
      </c>
      <c r="H68" s="181">
        <f t="shared" si="8"/>
        <v>0</v>
      </c>
      <c r="I68" s="181">
        <f t="shared" si="8"/>
        <v>0</v>
      </c>
      <c r="J68" s="181">
        <f t="shared" si="8"/>
        <v>0</v>
      </c>
      <c r="K68" s="181">
        <f t="shared" si="8"/>
        <v>3820</v>
      </c>
      <c r="L68" s="181">
        <f t="shared" si="8"/>
        <v>122443</v>
      </c>
      <c r="M68" s="182">
        <f t="shared" si="8"/>
        <v>100440</v>
      </c>
      <c r="N68" s="168">
        <f t="shared" si="8"/>
        <v>140531</v>
      </c>
    </row>
    <row r="69" spans="1:14" s="169" customFormat="1" ht="15">
      <c r="A69" s="746">
        <v>62</v>
      </c>
      <c r="B69" s="170"/>
      <c r="C69" s="171">
        <v>1</v>
      </c>
      <c r="D69" s="172" t="s">
        <v>388</v>
      </c>
      <c r="E69" s="173"/>
      <c r="F69" s="173"/>
      <c r="G69" s="173"/>
      <c r="H69" s="173"/>
      <c r="I69" s="173"/>
      <c r="J69" s="173"/>
      <c r="K69" s="173"/>
      <c r="L69" s="173"/>
      <c r="M69" s="174"/>
      <c r="N69" s="777"/>
    </row>
    <row r="70" spans="1:14" s="169" customFormat="1" ht="15">
      <c r="A70" s="746">
        <v>63</v>
      </c>
      <c r="B70" s="170"/>
      <c r="C70" s="171"/>
      <c r="D70" s="172" t="s">
        <v>635</v>
      </c>
      <c r="E70" s="173"/>
      <c r="F70" s="173">
        <v>2236</v>
      </c>
      <c r="G70" s="173"/>
      <c r="H70" s="173"/>
      <c r="I70" s="173"/>
      <c r="J70" s="173"/>
      <c r="K70" s="173"/>
      <c r="L70" s="173"/>
      <c r="M70" s="174"/>
      <c r="N70" s="747">
        <f>SUM(E70:L70)</f>
        <v>2236</v>
      </c>
    </row>
    <row r="71" spans="1:14" s="753" customFormat="1" ht="15">
      <c r="A71" s="496">
        <v>64</v>
      </c>
      <c r="B71" s="750"/>
      <c r="C71" s="751"/>
      <c r="D71" s="752" t="s">
        <v>636</v>
      </c>
      <c r="E71" s="174"/>
      <c r="F71" s="174"/>
      <c r="G71" s="174"/>
      <c r="H71" s="174"/>
      <c r="I71" s="174"/>
      <c r="J71" s="174"/>
      <c r="K71" s="174"/>
      <c r="L71" s="174"/>
      <c r="M71" s="174"/>
      <c r="N71" s="749">
        <f>SUM(E71:L71)</f>
        <v>0</v>
      </c>
    </row>
    <row r="72" spans="1:14" s="759" customFormat="1" ht="25.5" customHeight="1">
      <c r="A72" s="198">
        <v>65</v>
      </c>
      <c r="B72" s="754"/>
      <c r="C72" s="755"/>
      <c r="D72" s="756" t="s">
        <v>637</v>
      </c>
      <c r="E72" s="757">
        <f>SUM(E70:E71)</f>
        <v>0</v>
      </c>
      <c r="F72" s="757">
        <f>SUM(F70:F71)</f>
        <v>2236</v>
      </c>
      <c r="G72" s="757">
        <f aca="true" t="shared" si="9" ref="G72:M72">SUM(G70:G71)</f>
        <v>0</v>
      </c>
      <c r="H72" s="757">
        <f t="shared" si="9"/>
        <v>0</v>
      </c>
      <c r="I72" s="757">
        <f t="shared" si="9"/>
        <v>0</v>
      </c>
      <c r="J72" s="757">
        <f t="shared" si="9"/>
        <v>0</v>
      </c>
      <c r="K72" s="757">
        <f t="shared" si="9"/>
        <v>0</v>
      </c>
      <c r="L72" s="757">
        <f t="shared" si="9"/>
        <v>0</v>
      </c>
      <c r="M72" s="758">
        <f t="shared" si="9"/>
        <v>0</v>
      </c>
      <c r="N72" s="164">
        <f>SUM(E72:L72)</f>
        <v>2236</v>
      </c>
    </row>
    <row r="73" spans="1:15" s="154" customFormat="1" ht="19.5" customHeight="1">
      <c r="A73" s="746">
        <v>66</v>
      </c>
      <c r="B73" s="176"/>
      <c r="C73" s="760"/>
      <c r="D73" s="760" t="s">
        <v>394</v>
      </c>
      <c r="E73" s="760"/>
      <c r="F73" s="760"/>
      <c r="G73" s="760"/>
      <c r="H73" s="760"/>
      <c r="I73" s="760"/>
      <c r="J73" s="760"/>
      <c r="K73" s="760"/>
      <c r="L73" s="760"/>
      <c r="M73" s="760"/>
      <c r="N73" s="778"/>
      <c r="O73" s="153"/>
    </row>
    <row r="74" spans="1:14" s="153" customFormat="1" ht="19.5" customHeight="1">
      <c r="A74" s="496">
        <v>67</v>
      </c>
      <c r="B74" s="165"/>
      <c r="C74" s="156"/>
      <c r="D74" s="166" t="s">
        <v>635</v>
      </c>
      <c r="E74" s="162">
        <f aca="true" t="shared" si="10" ref="E74:M74">SUM(E70,E63,E59,E51,E47,E40,E36,E30,E26,E20,E16,E9)</f>
        <v>138898</v>
      </c>
      <c r="F74" s="162">
        <f t="shared" si="10"/>
        <v>2504</v>
      </c>
      <c r="G74" s="162">
        <f t="shared" si="10"/>
        <v>0</v>
      </c>
      <c r="H74" s="162">
        <f t="shared" si="10"/>
        <v>2289</v>
      </c>
      <c r="I74" s="162">
        <f t="shared" si="10"/>
        <v>0</v>
      </c>
      <c r="J74" s="162">
        <f t="shared" si="10"/>
        <v>0</v>
      </c>
      <c r="K74" s="162">
        <f t="shared" si="10"/>
        <v>0</v>
      </c>
      <c r="L74" s="162">
        <f t="shared" si="10"/>
        <v>1330314</v>
      </c>
      <c r="M74" s="163">
        <f t="shared" si="10"/>
        <v>1146459</v>
      </c>
      <c r="N74" s="747">
        <f>SUM(E74:L74)</f>
        <v>1474005</v>
      </c>
    </row>
    <row r="75" spans="1:14" s="154" customFormat="1" ht="30">
      <c r="A75" s="198">
        <v>68</v>
      </c>
      <c r="B75" s="176"/>
      <c r="C75" s="748"/>
      <c r="D75" s="1139" t="s">
        <v>1144</v>
      </c>
      <c r="E75" s="167">
        <f aca="true" t="shared" si="11" ref="E75:N75">SUM(E71,E64:E66,E60,E52:E54,E48,E41:E43,E37,E31:E33,E27,E21:E23,E17,E10:E12)+E56+E55+E44+E13+E67</f>
        <v>0</v>
      </c>
      <c r="F75" s="167">
        <f t="shared" si="11"/>
        <v>0</v>
      </c>
      <c r="G75" s="167">
        <f t="shared" si="11"/>
        <v>0</v>
      </c>
      <c r="H75" s="167">
        <f t="shared" si="11"/>
        <v>0</v>
      </c>
      <c r="I75" s="167">
        <f t="shared" si="11"/>
        <v>0</v>
      </c>
      <c r="J75" s="167">
        <f t="shared" si="11"/>
        <v>0</v>
      </c>
      <c r="K75" s="167">
        <f t="shared" si="11"/>
        <v>64143</v>
      </c>
      <c r="L75" s="167">
        <f t="shared" si="11"/>
        <v>4305</v>
      </c>
      <c r="M75" s="167">
        <f t="shared" si="11"/>
        <v>0</v>
      </c>
      <c r="N75" s="195">
        <f t="shared" si="11"/>
        <v>68448</v>
      </c>
    </row>
    <row r="76" spans="1:14" s="177" customFormat="1" ht="19.5" customHeight="1">
      <c r="A76" s="746">
        <v>69</v>
      </c>
      <c r="B76" s="1101"/>
      <c r="C76" s="761"/>
      <c r="D76" s="762" t="s">
        <v>637</v>
      </c>
      <c r="E76" s="763">
        <f>SUM(E74:E75)</f>
        <v>138898</v>
      </c>
      <c r="F76" s="763">
        <f aca="true" t="shared" si="12" ref="F76:M76">SUM(F74:F75)</f>
        <v>2504</v>
      </c>
      <c r="G76" s="763">
        <f t="shared" si="12"/>
        <v>0</v>
      </c>
      <c r="H76" s="763">
        <f t="shared" si="12"/>
        <v>2289</v>
      </c>
      <c r="I76" s="763">
        <f t="shared" si="12"/>
        <v>0</v>
      </c>
      <c r="J76" s="763">
        <f t="shared" si="12"/>
        <v>0</v>
      </c>
      <c r="K76" s="763">
        <f t="shared" si="12"/>
        <v>64143</v>
      </c>
      <c r="L76" s="763">
        <f t="shared" si="12"/>
        <v>1334619</v>
      </c>
      <c r="M76" s="1127">
        <f t="shared" si="12"/>
        <v>1146459</v>
      </c>
      <c r="N76" s="779">
        <f>SUM(E76:L76)</f>
        <v>1542453</v>
      </c>
    </row>
    <row r="77" spans="1:15" s="774" customFormat="1" ht="30" customHeight="1">
      <c r="A77" s="496">
        <v>70</v>
      </c>
      <c r="B77" s="159">
        <v>7</v>
      </c>
      <c r="C77" s="160"/>
      <c r="D77" s="161" t="s">
        <v>355</v>
      </c>
      <c r="E77" s="766"/>
      <c r="F77" s="766"/>
      <c r="G77" s="766"/>
      <c r="H77" s="766"/>
      <c r="I77" s="766"/>
      <c r="J77" s="766"/>
      <c r="K77" s="766"/>
      <c r="L77" s="766"/>
      <c r="M77" s="1128"/>
      <c r="N77" s="164"/>
      <c r="O77" s="158"/>
    </row>
    <row r="78" spans="1:14" s="153" customFormat="1" ht="15">
      <c r="A78" s="746">
        <v>71</v>
      </c>
      <c r="B78" s="165"/>
      <c r="C78" s="156"/>
      <c r="D78" s="166" t="s">
        <v>635</v>
      </c>
      <c r="E78" s="162">
        <v>2015</v>
      </c>
      <c r="F78" s="162"/>
      <c r="G78" s="162"/>
      <c r="H78" s="162"/>
      <c r="I78" s="162"/>
      <c r="J78" s="162"/>
      <c r="K78" s="162"/>
      <c r="L78" s="162">
        <v>158122</v>
      </c>
      <c r="M78" s="163"/>
      <c r="N78" s="747">
        <f>SUM(E78:L78)</f>
        <v>160137</v>
      </c>
    </row>
    <row r="79" spans="1:14" s="154" customFormat="1" ht="15">
      <c r="A79" s="746">
        <v>72</v>
      </c>
      <c r="B79" s="176"/>
      <c r="C79" s="748"/>
      <c r="D79" s="183" t="s">
        <v>685</v>
      </c>
      <c r="E79" s="167"/>
      <c r="F79" s="167"/>
      <c r="G79" s="167"/>
      <c r="H79" s="167"/>
      <c r="I79" s="167"/>
      <c r="J79" s="167"/>
      <c r="K79" s="167"/>
      <c r="L79" s="167">
        <v>1689</v>
      </c>
      <c r="M79" s="167"/>
      <c r="N79" s="749">
        <f>SUM(E79:L79)</f>
        <v>1689</v>
      </c>
    </row>
    <row r="80" spans="1:14" s="154" customFormat="1" ht="15">
      <c r="A80" s="496">
        <v>73</v>
      </c>
      <c r="B80" s="176"/>
      <c r="C80" s="748"/>
      <c r="D80" s="183" t="s">
        <v>704</v>
      </c>
      <c r="E80" s="167"/>
      <c r="F80" s="167"/>
      <c r="G80" s="167"/>
      <c r="H80" s="167"/>
      <c r="I80" s="167"/>
      <c r="J80" s="167"/>
      <c r="K80" s="167">
        <v>22348</v>
      </c>
      <c r="L80" s="167"/>
      <c r="M80" s="167"/>
      <c r="N80" s="749">
        <f>SUM(E80:L80)</f>
        <v>22348</v>
      </c>
    </row>
    <row r="81" spans="1:14" s="154" customFormat="1" ht="15">
      <c r="A81" s="746">
        <v>74</v>
      </c>
      <c r="B81" s="176"/>
      <c r="C81" s="748"/>
      <c r="D81" s="183" t="s">
        <v>734</v>
      </c>
      <c r="E81" s="167"/>
      <c r="F81" s="167"/>
      <c r="G81" s="167"/>
      <c r="H81" s="167"/>
      <c r="I81" s="167"/>
      <c r="J81" s="167"/>
      <c r="K81" s="167"/>
      <c r="L81" s="167">
        <v>225</v>
      </c>
      <c r="M81" s="167"/>
      <c r="N81" s="749">
        <f>SUM(E81:L81)</f>
        <v>225</v>
      </c>
    </row>
    <row r="82" spans="1:14" s="177" customFormat="1" ht="15">
      <c r="A82" s="746">
        <v>75</v>
      </c>
      <c r="B82" s="1101"/>
      <c r="C82" s="1102"/>
      <c r="D82" s="180" t="s">
        <v>637</v>
      </c>
      <c r="E82" s="181">
        <f>SUM(E78:E81)</f>
        <v>2015</v>
      </c>
      <c r="F82" s="181">
        <f aca="true" t="shared" si="13" ref="F82:N82">SUM(F78:F81)</f>
        <v>0</v>
      </c>
      <c r="G82" s="181">
        <f t="shared" si="13"/>
        <v>0</v>
      </c>
      <c r="H82" s="181">
        <f t="shared" si="13"/>
        <v>0</v>
      </c>
      <c r="I82" s="181">
        <f t="shared" si="13"/>
        <v>0</v>
      </c>
      <c r="J82" s="181">
        <f t="shared" si="13"/>
        <v>0</v>
      </c>
      <c r="K82" s="181">
        <f t="shared" si="13"/>
        <v>22348</v>
      </c>
      <c r="L82" s="181">
        <f t="shared" si="13"/>
        <v>160036</v>
      </c>
      <c r="M82" s="182">
        <f t="shared" si="13"/>
        <v>0</v>
      </c>
      <c r="N82" s="164">
        <f t="shared" si="13"/>
        <v>184399</v>
      </c>
    </row>
    <row r="83" spans="1:14" s="158" customFormat="1" ht="30" customHeight="1">
      <c r="A83" s="496">
        <v>76</v>
      </c>
      <c r="B83" s="159">
        <v>8</v>
      </c>
      <c r="C83" s="160"/>
      <c r="D83" s="178" t="s">
        <v>356</v>
      </c>
      <c r="E83" s="162"/>
      <c r="F83" s="162"/>
      <c r="G83" s="162"/>
      <c r="H83" s="162"/>
      <c r="I83" s="162"/>
      <c r="J83" s="162"/>
      <c r="K83" s="162"/>
      <c r="L83" s="162"/>
      <c r="M83" s="163"/>
      <c r="N83" s="164"/>
    </row>
    <row r="84" spans="1:14" s="153" customFormat="1" ht="15">
      <c r="A84" s="746">
        <v>77</v>
      </c>
      <c r="B84" s="165"/>
      <c r="C84" s="156"/>
      <c r="D84" s="166" t="s">
        <v>635</v>
      </c>
      <c r="E84" s="162">
        <v>60727</v>
      </c>
      <c r="F84" s="162"/>
      <c r="G84" s="162"/>
      <c r="H84" s="162"/>
      <c r="I84" s="162"/>
      <c r="J84" s="162"/>
      <c r="K84" s="162"/>
      <c r="L84" s="162">
        <v>362696</v>
      </c>
      <c r="M84" s="163">
        <v>241557</v>
      </c>
      <c r="N84" s="747">
        <f>SUM(E84:L84)</f>
        <v>423423</v>
      </c>
    </row>
    <row r="85" spans="1:14" s="154" customFormat="1" ht="15">
      <c r="A85" s="746">
        <v>78</v>
      </c>
      <c r="B85" s="176"/>
      <c r="C85" s="748"/>
      <c r="D85" s="183" t="s">
        <v>685</v>
      </c>
      <c r="E85" s="167"/>
      <c r="F85" s="167"/>
      <c r="G85" s="167"/>
      <c r="H85" s="167"/>
      <c r="I85" s="167"/>
      <c r="J85" s="167"/>
      <c r="K85" s="167"/>
      <c r="L85" s="167">
        <v>3691</v>
      </c>
      <c r="M85" s="167"/>
      <c r="N85" s="749">
        <f aca="true" t="shared" si="14" ref="N85:N92">SUM(E85:L85)</f>
        <v>3691</v>
      </c>
    </row>
    <row r="86" spans="1:14" s="154" customFormat="1" ht="15">
      <c r="A86" s="496">
        <v>79</v>
      </c>
      <c r="B86" s="176"/>
      <c r="C86" s="748"/>
      <c r="D86" s="183" t="s">
        <v>687</v>
      </c>
      <c r="E86" s="167"/>
      <c r="F86" s="167"/>
      <c r="G86" s="167"/>
      <c r="H86" s="167"/>
      <c r="I86" s="167"/>
      <c r="J86" s="167"/>
      <c r="K86" s="167"/>
      <c r="L86" s="167">
        <v>5272</v>
      </c>
      <c r="M86" s="167"/>
      <c r="N86" s="749">
        <f t="shared" si="14"/>
        <v>5272</v>
      </c>
    </row>
    <row r="87" spans="1:14" s="154" customFormat="1" ht="15">
      <c r="A87" s="746">
        <v>80</v>
      </c>
      <c r="B87" s="176"/>
      <c r="C87" s="748"/>
      <c r="D87" s="183" t="s">
        <v>705</v>
      </c>
      <c r="E87" s="167"/>
      <c r="F87" s="167">
        <v>11620</v>
      </c>
      <c r="G87" s="167"/>
      <c r="H87" s="167"/>
      <c r="I87" s="167"/>
      <c r="J87" s="167"/>
      <c r="K87" s="167"/>
      <c r="L87" s="167"/>
      <c r="M87" s="167"/>
      <c r="N87" s="749">
        <f t="shared" si="14"/>
        <v>11620</v>
      </c>
    </row>
    <row r="88" spans="1:14" s="154" customFormat="1" ht="15">
      <c r="A88" s="746">
        <v>81</v>
      </c>
      <c r="B88" s="176"/>
      <c r="C88" s="748"/>
      <c r="D88" s="183" t="s">
        <v>704</v>
      </c>
      <c r="E88" s="167"/>
      <c r="F88" s="167"/>
      <c r="G88" s="167"/>
      <c r="H88" s="167"/>
      <c r="I88" s="167"/>
      <c r="J88" s="167"/>
      <c r="K88" s="167">
        <v>15103</v>
      </c>
      <c r="L88" s="167"/>
      <c r="M88" s="167"/>
      <c r="N88" s="749">
        <f t="shared" si="14"/>
        <v>15103</v>
      </c>
    </row>
    <row r="89" spans="1:14" s="154" customFormat="1" ht="15">
      <c r="A89" s="496">
        <v>82</v>
      </c>
      <c r="B89" s="176"/>
      <c r="C89" s="748"/>
      <c r="D89" s="183" t="s">
        <v>734</v>
      </c>
      <c r="E89" s="167"/>
      <c r="F89" s="167"/>
      <c r="G89" s="167"/>
      <c r="H89" s="167"/>
      <c r="I89" s="167"/>
      <c r="J89" s="167"/>
      <c r="K89" s="167"/>
      <c r="L89" s="167">
        <v>830</v>
      </c>
      <c r="M89" s="167"/>
      <c r="N89" s="749">
        <f t="shared" si="14"/>
        <v>830</v>
      </c>
    </row>
    <row r="90" spans="1:14" s="154" customFormat="1" ht="15">
      <c r="A90" s="746">
        <v>83</v>
      </c>
      <c r="B90" s="176"/>
      <c r="C90" s="748"/>
      <c r="D90" s="183" t="s">
        <v>808</v>
      </c>
      <c r="E90" s="167"/>
      <c r="F90" s="167"/>
      <c r="G90" s="167"/>
      <c r="H90" s="167"/>
      <c r="I90" s="167"/>
      <c r="J90" s="167"/>
      <c r="K90" s="167"/>
      <c r="L90" s="167">
        <v>300</v>
      </c>
      <c r="M90" s="167"/>
      <c r="N90" s="749">
        <f t="shared" si="14"/>
        <v>300</v>
      </c>
    </row>
    <row r="91" spans="1:14" s="154" customFormat="1" ht="15">
      <c r="A91" s="746">
        <v>84</v>
      </c>
      <c r="B91" s="176"/>
      <c r="C91" s="748"/>
      <c r="D91" s="183" t="s">
        <v>809</v>
      </c>
      <c r="E91" s="167"/>
      <c r="F91" s="167"/>
      <c r="G91" s="167"/>
      <c r="H91" s="167"/>
      <c r="I91" s="167"/>
      <c r="J91" s="167"/>
      <c r="K91" s="167"/>
      <c r="L91" s="167">
        <v>200</v>
      </c>
      <c r="M91" s="167"/>
      <c r="N91" s="749">
        <f t="shared" si="14"/>
        <v>200</v>
      </c>
    </row>
    <row r="92" spans="1:14" s="154" customFormat="1" ht="15">
      <c r="A92" s="496">
        <v>85</v>
      </c>
      <c r="B92" s="176"/>
      <c r="C92" s="748"/>
      <c r="D92" s="183" t="s">
        <v>810</v>
      </c>
      <c r="E92" s="167"/>
      <c r="F92" s="167"/>
      <c r="G92" s="167"/>
      <c r="H92" s="167"/>
      <c r="I92" s="167"/>
      <c r="J92" s="167"/>
      <c r="K92" s="167"/>
      <c r="L92" s="167">
        <v>100</v>
      </c>
      <c r="M92" s="167"/>
      <c r="N92" s="749">
        <f t="shared" si="14"/>
        <v>100</v>
      </c>
    </row>
    <row r="93" spans="1:14" s="177" customFormat="1" ht="15">
      <c r="A93" s="746">
        <v>86</v>
      </c>
      <c r="B93" s="1101"/>
      <c r="C93" s="1102"/>
      <c r="D93" s="180" t="s">
        <v>637</v>
      </c>
      <c r="E93" s="181">
        <f>SUM(E84:E92)</f>
        <v>60727</v>
      </c>
      <c r="F93" s="181">
        <f aca="true" t="shared" si="15" ref="F93:M93">SUM(F84:F92)</f>
        <v>11620</v>
      </c>
      <c r="G93" s="181">
        <f t="shared" si="15"/>
        <v>0</v>
      </c>
      <c r="H93" s="181">
        <f t="shared" si="15"/>
        <v>0</v>
      </c>
      <c r="I93" s="181">
        <f t="shared" si="15"/>
        <v>0</v>
      </c>
      <c r="J93" s="181">
        <f t="shared" si="15"/>
        <v>0</v>
      </c>
      <c r="K93" s="181">
        <f t="shared" si="15"/>
        <v>15103</v>
      </c>
      <c r="L93" s="181">
        <f t="shared" si="15"/>
        <v>373089</v>
      </c>
      <c r="M93" s="182">
        <f t="shared" si="15"/>
        <v>241557</v>
      </c>
      <c r="N93" s="168">
        <f>SUM(N84:N92)</f>
        <v>460539</v>
      </c>
    </row>
    <row r="94" spans="1:15" s="1131" customFormat="1" ht="15">
      <c r="A94" s="746">
        <v>87</v>
      </c>
      <c r="B94" s="159"/>
      <c r="C94" s="160">
        <v>1</v>
      </c>
      <c r="D94" s="781" t="s">
        <v>388</v>
      </c>
      <c r="E94" s="162"/>
      <c r="F94" s="162"/>
      <c r="G94" s="162"/>
      <c r="H94" s="162"/>
      <c r="I94" s="162"/>
      <c r="J94" s="162"/>
      <c r="K94" s="162"/>
      <c r="L94" s="162"/>
      <c r="M94" s="163"/>
      <c r="N94" s="164"/>
      <c r="O94" s="158"/>
    </row>
    <row r="95" spans="1:14" s="169" customFormat="1" ht="15">
      <c r="A95" s="496">
        <v>88</v>
      </c>
      <c r="B95" s="170"/>
      <c r="C95" s="171"/>
      <c r="D95" s="172" t="s">
        <v>635</v>
      </c>
      <c r="E95" s="173"/>
      <c r="F95" s="173"/>
      <c r="G95" s="173"/>
      <c r="H95" s="173"/>
      <c r="I95" s="173"/>
      <c r="J95" s="173"/>
      <c r="K95" s="173"/>
      <c r="L95" s="173"/>
      <c r="M95" s="174"/>
      <c r="N95" s="747">
        <f>SUM(E95:L95)</f>
        <v>0</v>
      </c>
    </row>
    <row r="96" spans="1:14" s="753" customFormat="1" ht="15">
      <c r="A96" s="746">
        <v>89</v>
      </c>
      <c r="B96" s="750"/>
      <c r="C96" s="751"/>
      <c r="D96" s="752" t="s">
        <v>636</v>
      </c>
      <c r="E96" s="174"/>
      <c r="F96" s="174">
        <v>360</v>
      </c>
      <c r="G96" s="174"/>
      <c r="H96" s="174"/>
      <c r="I96" s="174"/>
      <c r="J96" s="174"/>
      <c r="K96" s="174"/>
      <c r="L96" s="174"/>
      <c r="M96" s="174"/>
      <c r="N96" s="749">
        <f>SUM(E96:L96)</f>
        <v>360</v>
      </c>
    </row>
    <row r="97" spans="1:14" s="759" customFormat="1" ht="15">
      <c r="A97" s="746">
        <v>90</v>
      </c>
      <c r="B97" s="754"/>
      <c r="C97" s="755"/>
      <c r="D97" s="756" t="s">
        <v>637</v>
      </c>
      <c r="E97" s="757">
        <f>SUM(E95:E96)</f>
        <v>0</v>
      </c>
      <c r="F97" s="757">
        <f aca="true" t="shared" si="16" ref="F97:M97">SUM(F95:F96)</f>
        <v>360</v>
      </c>
      <c r="G97" s="757">
        <f t="shared" si="16"/>
        <v>0</v>
      </c>
      <c r="H97" s="757">
        <f t="shared" si="16"/>
        <v>0</v>
      </c>
      <c r="I97" s="757">
        <f t="shared" si="16"/>
        <v>0</v>
      </c>
      <c r="J97" s="757">
        <f t="shared" si="16"/>
        <v>0</v>
      </c>
      <c r="K97" s="757">
        <f t="shared" si="16"/>
        <v>0</v>
      </c>
      <c r="L97" s="757">
        <f t="shared" si="16"/>
        <v>0</v>
      </c>
      <c r="M97" s="758">
        <f t="shared" si="16"/>
        <v>0</v>
      </c>
      <c r="N97" s="164">
        <f>SUM(E97:L97)</f>
        <v>360</v>
      </c>
    </row>
    <row r="98" spans="1:14" s="158" customFormat="1" ht="30" customHeight="1">
      <c r="A98" s="496">
        <v>91</v>
      </c>
      <c r="B98" s="159">
        <v>9</v>
      </c>
      <c r="C98" s="160"/>
      <c r="D98" s="178" t="s">
        <v>357</v>
      </c>
      <c r="E98" s="162"/>
      <c r="F98" s="162"/>
      <c r="G98" s="162"/>
      <c r="H98" s="162"/>
      <c r="I98" s="162"/>
      <c r="J98" s="162"/>
      <c r="K98" s="162"/>
      <c r="L98" s="162"/>
      <c r="M98" s="163"/>
      <c r="N98" s="747"/>
    </row>
    <row r="99" spans="1:14" s="153" customFormat="1" ht="15">
      <c r="A99" s="746">
        <v>92</v>
      </c>
      <c r="B99" s="165"/>
      <c r="C99" s="156"/>
      <c r="D99" s="166" t="s">
        <v>635</v>
      </c>
      <c r="E99" s="162">
        <v>10260</v>
      </c>
      <c r="F99" s="162"/>
      <c r="G99" s="162"/>
      <c r="H99" s="162"/>
      <c r="I99" s="162"/>
      <c r="J99" s="162"/>
      <c r="K99" s="162"/>
      <c r="L99" s="162">
        <v>43070</v>
      </c>
      <c r="M99" s="163">
        <v>20600</v>
      </c>
      <c r="N99" s="747">
        <f>SUM(E99:L99)</f>
        <v>53330</v>
      </c>
    </row>
    <row r="100" spans="1:14" s="154" customFormat="1" ht="15">
      <c r="A100" s="746">
        <v>93</v>
      </c>
      <c r="B100" s="176"/>
      <c r="C100" s="748"/>
      <c r="D100" s="183" t="s">
        <v>685</v>
      </c>
      <c r="E100" s="167"/>
      <c r="F100" s="167"/>
      <c r="G100" s="167"/>
      <c r="H100" s="167"/>
      <c r="I100" s="167"/>
      <c r="J100" s="167"/>
      <c r="K100" s="167"/>
      <c r="L100" s="167">
        <v>300</v>
      </c>
      <c r="M100" s="167"/>
      <c r="N100" s="749">
        <f>SUM(E100:L100)</f>
        <v>300</v>
      </c>
    </row>
    <row r="101" spans="1:14" s="154" customFormat="1" ht="15">
      <c r="A101" s="496">
        <v>94</v>
      </c>
      <c r="B101" s="176"/>
      <c r="C101" s="748"/>
      <c r="D101" s="183" t="s">
        <v>687</v>
      </c>
      <c r="E101" s="167"/>
      <c r="F101" s="167"/>
      <c r="G101" s="167"/>
      <c r="H101" s="167"/>
      <c r="I101" s="167"/>
      <c r="J101" s="167"/>
      <c r="K101" s="167"/>
      <c r="L101" s="167">
        <v>325</v>
      </c>
      <c r="M101" s="167"/>
      <c r="N101" s="749">
        <f>SUM(E101:L101)</f>
        <v>325</v>
      </c>
    </row>
    <row r="102" spans="1:14" s="154" customFormat="1" ht="15">
      <c r="A102" s="746">
        <v>95</v>
      </c>
      <c r="B102" s="176"/>
      <c r="C102" s="748"/>
      <c r="D102" s="183" t="s">
        <v>704</v>
      </c>
      <c r="E102" s="167"/>
      <c r="F102" s="167"/>
      <c r="G102" s="167"/>
      <c r="H102" s="167"/>
      <c r="I102" s="167"/>
      <c r="J102" s="167"/>
      <c r="K102" s="167">
        <v>12784</v>
      </c>
      <c r="L102" s="167"/>
      <c r="M102" s="167"/>
      <c r="N102" s="749">
        <f>SUM(E102:L102)</f>
        <v>12784</v>
      </c>
    </row>
    <row r="103" spans="1:14" s="154" customFormat="1" ht="15">
      <c r="A103" s="746">
        <v>96</v>
      </c>
      <c r="B103" s="176"/>
      <c r="C103" s="748"/>
      <c r="D103" s="183" t="s">
        <v>737</v>
      </c>
      <c r="E103" s="167"/>
      <c r="F103" s="167"/>
      <c r="G103" s="167"/>
      <c r="H103" s="167"/>
      <c r="I103" s="167"/>
      <c r="J103" s="167"/>
      <c r="K103" s="167"/>
      <c r="L103" s="167">
        <v>5827</v>
      </c>
      <c r="M103" s="167"/>
      <c r="N103" s="749">
        <f>SUM(E103:L103)</f>
        <v>5827</v>
      </c>
    </row>
    <row r="104" spans="1:14" s="154" customFormat="1" ht="15">
      <c r="A104" s="496">
        <v>97</v>
      </c>
      <c r="B104" s="176"/>
      <c r="C104" s="748"/>
      <c r="D104" s="183" t="s">
        <v>734</v>
      </c>
      <c r="E104" s="167"/>
      <c r="F104" s="167"/>
      <c r="G104" s="167"/>
      <c r="H104" s="167"/>
      <c r="I104" s="167"/>
      <c r="J104" s="167"/>
      <c r="K104" s="167"/>
      <c r="L104" s="167">
        <v>60</v>
      </c>
      <c r="M104" s="167"/>
      <c r="N104" s="749">
        <f>SUM(E104:L104)</f>
        <v>60</v>
      </c>
    </row>
    <row r="105" spans="1:14" s="177" customFormat="1" ht="15">
      <c r="A105" s="746">
        <v>98</v>
      </c>
      <c r="B105" s="1101"/>
      <c r="C105" s="1102"/>
      <c r="D105" s="180" t="s">
        <v>637</v>
      </c>
      <c r="E105" s="181">
        <f>SUM(E99:E104)</f>
        <v>10260</v>
      </c>
      <c r="F105" s="181">
        <f aca="true" t="shared" si="17" ref="F105:N105">SUM(F99:F104)</f>
        <v>0</v>
      </c>
      <c r="G105" s="181">
        <f t="shared" si="17"/>
        <v>0</v>
      </c>
      <c r="H105" s="181">
        <f t="shared" si="17"/>
        <v>0</v>
      </c>
      <c r="I105" s="181">
        <f t="shared" si="17"/>
        <v>0</v>
      </c>
      <c r="J105" s="181">
        <f t="shared" si="17"/>
        <v>0</v>
      </c>
      <c r="K105" s="181">
        <f t="shared" si="17"/>
        <v>12784</v>
      </c>
      <c r="L105" s="181">
        <f>SUM(L99:L104)</f>
        <v>49582</v>
      </c>
      <c r="M105" s="182">
        <f t="shared" si="17"/>
        <v>20600</v>
      </c>
      <c r="N105" s="168">
        <f t="shared" si="17"/>
        <v>72626</v>
      </c>
    </row>
    <row r="106" spans="1:14" s="158" customFormat="1" ht="15">
      <c r="A106" s="746">
        <v>99</v>
      </c>
      <c r="B106" s="159"/>
      <c r="C106" s="160">
        <v>1</v>
      </c>
      <c r="D106" s="781" t="s">
        <v>388</v>
      </c>
      <c r="E106" s="162"/>
      <c r="F106" s="162"/>
      <c r="G106" s="162"/>
      <c r="H106" s="162"/>
      <c r="I106" s="162"/>
      <c r="J106" s="162"/>
      <c r="K106" s="162"/>
      <c r="L106" s="162"/>
      <c r="M106" s="163"/>
      <c r="N106" s="747"/>
    </row>
    <row r="107" spans="1:14" s="169" customFormat="1" ht="15">
      <c r="A107" s="496">
        <v>100</v>
      </c>
      <c r="B107" s="170"/>
      <c r="C107" s="171"/>
      <c r="D107" s="172" t="s">
        <v>635</v>
      </c>
      <c r="E107" s="173"/>
      <c r="F107" s="173">
        <v>268</v>
      </c>
      <c r="G107" s="173"/>
      <c r="H107" s="173"/>
      <c r="I107" s="173"/>
      <c r="J107" s="173"/>
      <c r="K107" s="173"/>
      <c r="L107" s="173"/>
      <c r="M107" s="174"/>
      <c r="N107" s="747">
        <f>SUM(E107:L107)</f>
        <v>268</v>
      </c>
    </row>
    <row r="108" spans="1:14" s="753" customFormat="1" ht="15">
      <c r="A108" s="746">
        <v>101</v>
      </c>
      <c r="B108" s="750"/>
      <c r="C108" s="751"/>
      <c r="D108" s="752" t="s">
        <v>636</v>
      </c>
      <c r="E108" s="174"/>
      <c r="F108" s="174"/>
      <c r="G108" s="174"/>
      <c r="H108" s="174"/>
      <c r="I108" s="174"/>
      <c r="J108" s="174"/>
      <c r="K108" s="174"/>
      <c r="L108" s="174"/>
      <c r="M108" s="174"/>
      <c r="N108" s="749">
        <f aca="true" t="shared" si="18" ref="N108:N113">SUM(E108:L108)</f>
        <v>0</v>
      </c>
    </row>
    <row r="109" spans="1:14" s="759" customFormat="1" ht="24" customHeight="1">
      <c r="A109" s="198">
        <v>102</v>
      </c>
      <c r="B109" s="754"/>
      <c r="C109" s="755"/>
      <c r="D109" s="756" t="s">
        <v>637</v>
      </c>
      <c r="E109" s="757">
        <f>SUM(E107:E108)</f>
        <v>0</v>
      </c>
      <c r="F109" s="757">
        <f aca="true" t="shared" si="19" ref="F109:M109">SUM(F107:F108)</f>
        <v>268</v>
      </c>
      <c r="G109" s="757">
        <f t="shared" si="19"/>
        <v>0</v>
      </c>
      <c r="H109" s="757">
        <f t="shared" si="19"/>
        <v>0</v>
      </c>
      <c r="I109" s="757">
        <f t="shared" si="19"/>
        <v>0</v>
      </c>
      <c r="J109" s="757">
        <f t="shared" si="19"/>
        <v>0</v>
      </c>
      <c r="K109" s="757">
        <f t="shared" si="19"/>
        <v>0</v>
      </c>
      <c r="L109" s="757">
        <f t="shared" si="19"/>
        <v>0</v>
      </c>
      <c r="M109" s="758">
        <f t="shared" si="19"/>
        <v>0</v>
      </c>
      <c r="N109" s="175">
        <f t="shared" si="18"/>
        <v>268</v>
      </c>
    </row>
    <row r="110" spans="1:15" s="154" customFormat="1" ht="15">
      <c r="A110" s="496">
        <v>103</v>
      </c>
      <c r="B110" s="176"/>
      <c r="C110" s="760"/>
      <c r="D110" s="760" t="s">
        <v>395</v>
      </c>
      <c r="E110" s="760"/>
      <c r="F110" s="760"/>
      <c r="G110" s="760"/>
      <c r="H110" s="760"/>
      <c r="I110" s="760"/>
      <c r="J110" s="760"/>
      <c r="K110" s="760"/>
      <c r="L110" s="760"/>
      <c r="M110" s="760"/>
      <c r="N110" s="778">
        <f t="shared" si="18"/>
        <v>0</v>
      </c>
      <c r="O110" s="153"/>
    </row>
    <row r="111" spans="1:14" s="153" customFormat="1" ht="15">
      <c r="A111" s="746">
        <v>104</v>
      </c>
      <c r="B111" s="165"/>
      <c r="C111" s="156"/>
      <c r="D111" s="166" t="s">
        <v>635</v>
      </c>
      <c r="E111" s="155">
        <f>SUM(E107,E99,E95,E84,E78)</f>
        <v>73002</v>
      </c>
      <c r="F111" s="155">
        <f aca="true" t="shared" si="20" ref="F111:M111">SUM(F107,F99,F95,F84,F78)</f>
        <v>268</v>
      </c>
      <c r="G111" s="155">
        <f t="shared" si="20"/>
        <v>0</v>
      </c>
      <c r="H111" s="155">
        <f t="shared" si="20"/>
        <v>0</v>
      </c>
      <c r="I111" s="155">
        <f t="shared" si="20"/>
        <v>0</v>
      </c>
      <c r="J111" s="155">
        <f t="shared" si="20"/>
        <v>0</v>
      </c>
      <c r="K111" s="155">
        <f t="shared" si="20"/>
        <v>0</v>
      </c>
      <c r="L111" s="155">
        <f t="shared" si="20"/>
        <v>563888</v>
      </c>
      <c r="M111" s="167">
        <f t="shared" si="20"/>
        <v>262157</v>
      </c>
      <c r="N111" s="189">
        <f t="shared" si="18"/>
        <v>637158</v>
      </c>
    </row>
    <row r="112" spans="1:14" s="154" customFormat="1" ht="30">
      <c r="A112" s="198">
        <v>105</v>
      </c>
      <c r="B112" s="176"/>
      <c r="C112" s="748"/>
      <c r="D112" s="1139" t="s">
        <v>1146</v>
      </c>
      <c r="E112" s="167">
        <f>SUM(E108,E100:E102,E96,E85:E89,E79:E81)+E104+E103+E92+E91+E90</f>
        <v>0</v>
      </c>
      <c r="F112" s="167">
        <f aca="true" t="shared" si="21" ref="F112:N112">SUM(F108,F100:F102,F96,F85:F89,F79:F81)+F104+F103+F92+F91+F90</f>
        <v>11980</v>
      </c>
      <c r="G112" s="167">
        <f t="shared" si="21"/>
        <v>0</v>
      </c>
      <c r="H112" s="167">
        <f t="shared" si="21"/>
        <v>0</v>
      </c>
      <c r="I112" s="167">
        <f t="shared" si="21"/>
        <v>0</v>
      </c>
      <c r="J112" s="167">
        <f t="shared" si="21"/>
        <v>0</v>
      </c>
      <c r="K112" s="167">
        <f t="shared" si="21"/>
        <v>50235</v>
      </c>
      <c r="L112" s="167">
        <f t="shared" si="21"/>
        <v>18819</v>
      </c>
      <c r="M112" s="167">
        <f t="shared" si="21"/>
        <v>0</v>
      </c>
      <c r="N112" s="195">
        <f t="shared" si="21"/>
        <v>81034</v>
      </c>
    </row>
    <row r="113" spans="1:14" s="177" customFormat="1" ht="15">
      <c r="A113" s="496">
        <v>106</v>
      </c>
      <c r="B113" s="1101"/>
      <c r="C113" s="761"/>
      <c r="D113" s="762" t="s">
        <v>637</v>
      </c>
      <c r="E113" s="763">
        <f>SUM(E111:E112)</f>
        <v>73002</v>
      </c>
      <c r="F113" s="763">
        <f aca="true" t="shared" si="22" ref="F113:L113">SUM(F111:F112)</f>
        <v>12248</v>
      </c>
      <c r="G113" s="763">
        <f t="shared" si="22"/>
        <v>0</v>
      </c>
      <c r="H113" s="763">
        <f t="shared" si="22"/>
        <v>0</v>
      </c>
      <c r="I113" s="763">
        <f t="shared" si="22"/>
        <v>0</v>
      </c>
      <c r="J113" s="763">
        <f t="shared" si="22"/>
        <v>0</v>
      </c>
      <c r="K113" s="763">
        <f t="shared" si="22"/>
        <v>50235</v>
      </c>
      <c r="L113" s="763">
        <f t="shared" si="22"/>
        <v>582707</v>
      </c>
      <c r="M113" s="1127">
        <f>SUM(M111:M112)</f>
        <v>262157</v>
      </c>
      <c r="N113" s="780">
        <f t="shared" si="18"/>
        <v>718192</v>
      </c>
    </row>
    <row r="114" spans="1:14" s="158" customFormat="1" ht="25.5" customHeight="1">
      <c r="A114" s="746">
        <v>107</v>
      </c>
      <c r="B114" s="159">
        <v>10</v>
      </c>
      <c r="C114" s="160"/>
      <c r="D114" s="178" t="s">
        <v>358</v>
      </c>
      <c r="E114" s="162"/>
      <c r="F114" s="162"/>
      <c r="G114" s="162"/>
      <c r="H114" s="162"/>
      <c r="I114" s="162"/>
      <c r="J114" s="162"/>
      <c r="K114" s="162"/>
      <c r="L114" s="162"/>
      <c r="M114" s="163"/>
      <c r="N114" s="747"/>
    </row>
    <row r="115" spans="1:14" s="153" customFormat="1" ht="15">
      <c r="A115" s="746">
        <v>108</v>
      </c>
      <c r="B115" s="165"/>
      <c r="C115" s="156"/>
      <c r="D115" s="166" t="s">
        <v>635</v>
      </c>
      <c r="E115" s="162">
        <v>24000</v>
      </c>
      <c r="F115" s="162"/>
      <c r="G115" s="162"/>
      <c r="H115" s="162"/>
      <c r="I115" s="162"/>
      <c r="J115" s="162"/>
      <c r="K115" s="162"/>
      <c r="L115" s="162">
        <v>138042</v>
      </c>
      <c r="M115" s="163"/>
      <c r="N115" s="747">
        <f>SUM(E115:L115)</f>
        <v>162042</v>
      </c>
    </row>
    <row r="116" spans="1:14" s="154" customFormat="1" ht="15">
      <c r="A116" s="496">
        <v>109</v>
      </c>
      <c r="B116" s="176"/>
      <c r="C116" s="748"/>
      <c r="D116" s="183" t="s">
        <v>685</v>
      </c>
      <c r="E116" s="167"/>
      <c r="F116" s="167"/>
      <c r="G116" s="167"/>
      <c r="H116" s="167"/>
      <c r="I116" s="167"/>
      <c r="J116" s="167"/>
      <c r="K116" s="167"/>
      <c r="L116" s="167">
        <v>506</v>
      </c>
      <c r="M116" s="167"/>
      <c r="N116" s="749">
        <f aca="true" t="shared" si="23" ref="N116:N139">SUM(E116:L116)</f>
        <v>506</v>
      </c>
    </row>
    <row r="117" spans="1:14" s="154" customFormat="1" ht="15">
      <c r="A117" s="746">
        <v>110</v>
      </c>
      <c r="B117" s="176"/>
      <c r="C117" s="748"/>
      <c r="D117" s="183" t="s">
        <v>704</v>
      </c>
      <c r="E117" s="167"/>
      <c r="F117" s="167"/>
      <c r="G117" s="167"/>
      <c r="H117" s="167"/>
      <c r="I117" s="167"/>
      <c r="J117" s="167"/>
      <c r="K117" s="167">
        <v>33523</v>
      </c>
      <c r="L117" s="167"/>
      <c r="M117" s="167"/>
      <c r="N117" s="749">
        <f t="shared" si="23"/>
        <v>33523</v>
      </c>
    </row>
    <row r="118" spans="1:14" s="154" customFormat="1" ht="15">
      <c r="A118" s="746">
        <v>111</v>
      </c>
      <c r="B118" s="176"/>
      <c r="C118" s="748"/>
      <c r="D118" s="183" t="s">
        <v>1181</v>
      </c>
      <c r="E118" s="167"/>
      <c r="F118" s="167"/>
      <c r="G118" s="167"/>
      <c r="H118" s="167"/>
      <c r="I118" s="167"/>
      <c r="J118" s="167"/>
      <c r="K118" s="167"/>
      <c r="L118" s="167">
        <v>75</v>
      </c>
      <c r="M118" s="167"/>
      <c r="N118" s="749">
        <f t="shared" si="23"/>
        <v>75</v>
      </c>
    </row>
    <row r="119" spans="1:14" s="154" customFormat="1" ht="15">
      <c r="A119" s="496">
        <v>112</v>
      </c>
      <c r="B119" s="176"/>
      <c r="C119" s="748"/>
      <c r="D119" s="183" t="s">
        <v>728</v>
      </c>
      <c r="E119" s="167"/>
      <c r="F119" s="167"/>
      <c r="G119" s="167"/>
      <c r="H119" s="167"/>
      <c r="I119" s="167"/>
      <c r="J119" s="167"/>
      <c r="K119" s="167"/>
      <c r="L119" s="167">
        <v>100</v>
      </c>
      <c r="M119" s="167"/>
      <c r="N119" s="749">
        <f t="shared" si="23"/>
        <v>100</v>
      </c>
    </row>
    <row r="120" spans="1:14" s="154" customFormat="1" ht="15">
      <c r="A120" s="746">
        <v>113</v>
      </c>
      <c r="B120" s="176"/>
      <c r="C120" s="748"/>
      <c r="D120" s="183" t="s">
        <v>729</v>
      </c>
      <c r="E120" s="167"/>
      <c r="F120" s="167"/>
      <c r="G120" s="167"/>
      <c r="H120" s="167"/>
      <c r="I120" s="167"/>
      <c r="J120" s="167"/>
      <c r="K120" s="167"/>
      <c r="L120" s="167">
        <v>100</v>
      </c>
      <c r="M120" s="167"/>
      <c r="N120" s="749">
        <f t="shared" si="23"/>
        <v>100</v>
      </c>
    </row>
    <row r="121" spans="1:14" s="154" customFormat="1" ht="15">
      <c r="A121" s="746">
        <v>114</v>
      </c>
      <c r="B121" s="176"/>
      <c r="C121" s="748"/>
      <c r="D121" s="183" t="s">
        <v>731</v>
      </c>
      <c r="E121" s="167"/>
      <c r="F121" s="167"/>
      <c r="G121" s="167"/>
      <c r="H121" s="167"/>
      <c r="I121" s="167"/>
      <c r="J121" s="167"/>
      <c r="K121" s="167"/>
      <c r="L121" s="167">
        <v>50</v>
      </c>
      <c r="M121" s="167"/>
      <c r="N121" s="749">
        <f t="shared" si="23"/>
        <v>50</v>
      </c>
    </row>
    <row r="122" spans="1:14" s="154" customFormat="1" ht="15">
      <c r="A122" s="496">
        <v>115</v>
      </c>
      <c r="B122" s="176"/>
      <c r="C122" s="748"/>
      <c r="D122" s="183" t="s">
        <v>1182</v>
      </c>
      <c r="E122" s="167"/>
      <c r="F122" s="167"/>
      <c r="G122" s="167"/>
      <c r="H122" s="167"/>
      <c r="I122" s="167"/>
      <c r="J122" s="167"/>
      <c r="K122" s="167"/>
      <c r="L122" s="167">
        <v>2500</v>
      </c>
      <c r="M122" s="167"/>
      <c r="N122" s="749">
        <f t="shared" si="23"/>
        <v>2500</v>
      </c>
    </row>
    <row r="123" spans="1:14" s="154" customFormat="1" ht="15">
      <c r="A123" s="746">
        <v>116</v>
      </c>
      <c r="B123" s="176"/>
      <c r="C123" s="748"/>
      <c r="D123" s="183" t="s">
        <v>734</v>
      </c>
      <c r="E123" s="167"/>
      <c r="F123" s="167"/>
      <c r="G123" s="167"/>
      <c r="H123" s="167"/>
      <c r="I123" s="167"/>
      <c r="J123" s="167"/>
      <c r="K123" s="167"/>
      <c r="L123" s="167">
        <v>118</v>
      </c>
      <c r="M123" s="167"/>
      <c r="N123" s="749">
        <f t="shared" si="23"/>
        <v>118</v>
      </c>
    </row>
    <row r="124" spans="1:14" s="154" customFormat="1" ht="15">
      <c r="A124" s="746">
        <v>117</v>
      </c>
      <c r="B124" s="176"/>
      <c r="C124" s="748"/>
      <c r="D124" s="183" t="s">
        <v>756</v>
      </c>
      <c r="E124" s="167"/>
      <c r="F124" s="167"/>
      <c r="G124" s="167"/>
      <c r="H124" s="167"/>
      <c r="I124" s="167"/>
      <c r="J124" s="167"/>
      <c r="K124" s="167"/>
      <c r="L124" s="167">
        <v>1332</v>
      </c>
      <c r="M124" s="167"/>
      <c r="N124" s="749">
        <f t="shared" si="23"/>
        <v>1332</v>
      </c>
    </row>
    <row r="125" spans="1:14" s="154" customFormat="1" ht="16.5">
      <c r="A125" s="496">
        <v>118</v>
      </c>
      <c r="B125" s="176"/>
      <c r="C125" s="748"/>
      <c r="D125" s="183" t="s">
        <v>811</v>
      </c>
      <c r="E125" s="167"/>
      <c r="F125" s="167"/>
      <c r="G125" s="167"/>
      <c r="H125" s="167"/>
      <c r="I125" s="167"/>
      <c r="J125" s="167"/>
      <c r="K125" s="167"/>
      <c r="L125" s="41">
        <v>100</v>
      </c>
      <c r="M125" s="167"/>
      <c r="N125" s="749">
        <f t="shared" si="23"/>
        <v>100</v>
      </c>
    </row>
    <row r="126" spans="1:14" s="154" customFormat="1" ht="16.5">
      <c r="A126" s="746">
        <v>119</v>
      </c>
      <c r="B126" s="176"/>
      <c r="C126" s="748"/>
      <c r="D126" s="183" t="s">
        <v>1173</v>
      </c>
      <c r="E126" s="167"/>
      <c r="F126" s="167"/>
      <c r="G126" s="167"/>
      <c r="H126" s="167"/>
      <c r="I126" s="167"/>
      <c r="J126" s="167"/>
      <c r="K126" s="167"/>
      <c r="L126" s="41">
        <v>70</v>
      </c>
      <c r="M126" s="167"/>
      <c r="N126" s="749">
        <f t="shared" si="23"/>
        <v>70</v>
      </c>
    </row>
    <row r="127" spans="1:14" s="154" customFormat="1" ht="16.5">
      <c r="A127" s="746">
        <v>120</v>
      </c>
      <c r="B127" s="176"/>
      <c r="C127" s="748"/>
      <c r="D127" s="183" t="s">
        <v>812</v>
      </c>
      <c r="E127" s="167"/>
      <c r="F127" s="167"/>
      <c r="G127" s="167"/>
      <c r="H127" s="167"/>
      <c r="I127" s="167"/>
      <c r="J127" s="167"/>
      <c r="K127" s="167"/>
      <c r="L127" s="41">
        <v>60</v>
      </c>
      <c r="M127" s="167"/>
      <c r="N127" s="749">
        <f t="shared" si="23"/>
        <v>60</v>
      </c>
    </row>
    <row r="128" spans="1:14" s="154" customFormat="1" ht="16.5">
      <c r="A128" s="496">
        <v>121</v>
      </c>
      <c r="B128" s="176"/>
      <c r="C128" s="748"/>
      <c r="D128" s="183" t="s">
        <v>813</v>
      </c>
      <c r="E128" s="167"/>
      <c r="F128" s="167"/>
      <c r="G128" s="167"/>
      <c r="H128" s="167"/>
      <c r="I128" s="167"/>
      <c r="J128" s="167"/>
      <c r="K128" s="167"/>
      <c r="L128" s="41">
        <v>10</v>
      </c>
      <c r="M128" s="167"/>
      <c r="N128" s="749">
        <f t="shared" si="23"/>
        <v>10</v>
      </c>
    </row>
    <row r="129" spans="1:14" s="154" customFormat="1" ht="16.5">
      <c r="A129" s="746">
        <v>122</v>
      </c>
      <c r="B129" s="176"/>
      <c r="C129" s="748"/>
      <c r="D129" s="183" t="s">
        <v>814</v>
      </c>
      <c r="E129" s="167"/>
      <c r="F129" s="167"/>
      <c r="G129" s="167"/>
      <c r="H129" s="167"/>
      <c r="I129" s="167"/>
      <c r="J129" s="167"/>
      <c r="K129" s="167"/>
      <c r="L129" s="41">
        <v>200</v>
      </c>
      <c r="M129" s="167"/>
      <c r="N129" s="749">
        <f t="shared" si="23"/>
        <v>200</v>
      </c>
    </row>
    <row r="130" spans="1:14" s="154" customFormat="1" ht="16.5">
      <c r="A130" s="746">
        <v>123</v>
      </c>
      <c r="B130" s="176"/>
      <c r="C130" s="748"/>
      <c r="D130" s="183" t="s">
        <v>815</v>
      </c>
      <c r="E130" s="167"/>
      <c r="F130" s="167"/>
      <c r="G130" s="167"/>
      <c r="H130" s="167"/>
      <c r="I130" s="167"/>
      <c r="J130" s="167"/>
      <c r="K130" s="167"/>
      <c r="L130" s="41">
        <v>100</v>
      </c>
      <c r="M130" s="167"/>
      <c r="N130" s="749">
        <f t="shared" si="23"/>
        <v>100</v>
      </c>
    </row>
    <row r="131" spans="1:14" s="154" customFormat="1" ht="16.5">
      <c r="A131" s="496">
        <v>124</v>
      </c>
      <c r="B131" s="176"/>
      <c r="C131" s="748"/>
      <c r="D131" s="183" t="s">
        <v>816</v>
      </c>
      <c r="E131" s="167"/>
      <c r="F131" s="167"/>
      <c r="G131" s="167"/>
      <c r="H131" s="167"/>
      <c r="I131" s="167"/>
      <c r="J131" s="167"/>
      <c r="K131" s="167"/>
      <c r="L131" s="41">
        <v>50</v>
      </c>
      <c r="M131" s="167"/>
      <c r="N131" s="749">
        <f t="shared" si="23"/>
        <v>50</v>
      </c>
    </row>
    <row r="132" spans="1:14" s="154" customFormat="1" ht="16.5">
      <c r="A132" s="746">
        <v>125</v>
      </c>
      <c r="B132" s="176"/>
      <c r="C132" s="748"/>
      <c r="D132" s="183" t="s">
        <v>817</v>
      </c>
      <c r="E132" s="167"/>
      <c r="F132" s="167"/>
      <c r="G132" s="167"/>
      <c r="H132" s="167"/>
      <c r="I132" s="167"/>
      <c r="J132" s="167"/>
      <c r="K132" s="167"/>
      <c r="L132" s="41">
        <v>30</v>
      </c>
      <c r="M132" s="167"/>
      <c r="N132" s="749">
        <f t="shared" si="23"/>
        <v>30</v>
      </c>
    </row>
    <row r="133" spans="1:14" s="154" customFormat="1" ht="16.5">
      <c r="A133" s="746">
        <v>126</v>
      </c>
      <c r="B133" s="176"/>
      <c r="C133" s="748"/>
      <c r="D133" s="183" t="s">
        <v>818</v>
      </c>
      <c r="E133" s="167"/>
      <c r="F133" s="167"/>
      <c r="G133" s="167"/>
      <c r="H133" s="167"/>
      <c r="I133" s="167"/>
      <c r="J133" s="167"/>
      <c r="K133" s="167"/>
      <c r="L133" s="41">
        <v>170</v>
      </c>
      <c r="M133" s="167"/>
      <c r="N133" s="749">
        <f t="shared" si="23"/>
        <v>170</v>
      </c>
    </row>
    <row r="134" spans="1:14" s="154" customFormat="1" ht="16.5">
      <c r="A134" s="496">
        <v>127</v>
      </c>
      <c r="B134" s="176"/>
      <c r="C134" s="748"/>
      <c r="D134" s="183" t="s">
        <v>819</v>
      </c>
      <c r="E134" s="167"/>
      <c r="F134" s="167"/>
      <c r="G134" s="167"/>
      <c r="H134" s="167"/>
      <c r="I134" s="167"/>
      <c r="J134" s="167"/>
      <c r="K134" s="167"/>
      <c r="L134" s="41">
        <v>50</v>
      </c>
      <c r="M134" s="167"/>
      <c r="N134" s="749">
        <f t="shared" si="23"/>
        <v>50</v>
      </c>
    </row>
    <row r="135" spans="1:14" s="154" customFormat="1" ht="16.5">
      <c r="A135" s="746">
        <v>128</v>
      </c>
      <c r="B135" s="176"/>
      <c r="C135" s="748"/>
      <c r="D135" s="183" t="s">
        <v>820</v>
      </c>
      <c r="E135" s="167"/>
      <c r="F135" s="167"/>
      <c r="G135" s="167"/>
      <c r="H135" s="167"/>
      <c r="I135" s="167"/>
      <c r="J135" s="167"/>
      <c r="K135" s="167"/>
      <c r="L135" s="41">
        <v>80</v>
      </c>
      <c r="M135" s="167"/>
      <c r="N135" s="749">
        <f t="shared" si="23"/>
        <v>80</v>
      </c>
    </row>
    <row r="136" spans="1:14" s="154" customFormat="1" ht="16.5">
      <c r="A136" s="746">
        <v>129</v>
      </c>
      <c r="B136" s="176"/>
      <c r="C136" s="748"/>
      <c r="D136" s="183" t="s">
        <v>821</v>
      </c>
      <c r="E136" s="167"/>
      <c r="F136" s="167"/>
      <c r="G136" s="167"/>
      <c r="H136" s="167"/>
      <c r="I136" s="167"/>
      <c r="J136" s="167"/>
      <c r="K136" s="167"/>
      <c r="L136" s="41">
        <v>80</v>
      </c>
      <c r="M136" s="167"/>
      <c r="N136" s="749">
        <f t="shared" si="23"/>
        <v>80</v>
      </c>
    </row>
    <row r="137" spans="1:14" s="154" customFormat="1" ht="16.5">
      <c r="A137" s="496">
        <v>130</v>
      </c>
      <c r="B137" s="176"/>
      <c r="C137" s="748"/>
      <c r="D137" s="183" t="s">
        <v>822</v>
      </c>
      <c r="E137" s="167"/>
      <c r="F137" s="167"/>
      <c r="G137" s="167"/>
      <c r="H137" s="167"/>
      <c r="I137" s="167"/>
      <c r="J137" s="167"/>
      <c r="K137" s="167"/>
      <c r="L137" s="41">
        <v>150</v>
      </c>
      <c r="M137" s="167"/>
      <c r="N137" s="749">
        <f t="shared" si="23"/>
        <v>150</v>
      </c>
    </row>
    <row r="138" spans="1:14" s="154" customFormat="1" ht="16.5">
      <c r="A138" s="746">
        <v>131</v>
      </c>
      <c r="B138" s="176"/>
      <c r="C138" s="748"/>
      <c r="D138" s="183" t="s">
        <v>823</v>
      </c>
      <c r="E138" s="167"/>
      <c r="F138" s="167"/>
      <c r="G138" s="167"/>
      <c r="H138" s="167"/>
      <c r="I138" s="167"/>
      <c r="J138" s="167"/>
      <c r="K138" s="167"/>
      <c r="L138" s="41">
        <v>240</v>
      </c>
      <c r="M138" s="167"/>
      <c r="N138" s="749">
        <f t="shared" si="23"/>
        <v>240</v>
      </c>
    </row>
    <row r="139" spans="1:14" s="154" customFormat="1" ht="16.5">
      <c r="A139" s="746">
        <v>132</v>
      </c>
      <c r="B139" s="176"/>
      <c r="C139" s="748"/>
      <c r="D139" s="183" t="s">
        <v>935</v>
      </c>
      <c r="E139" s="167"/>
      <c r="F139" s="167"/>
      <c r="G139" s="167"/>
      <c r="H139" s="167"/>
      <c r="I139" s="167"/>
      <c r="J139" s="167"/>
      <c r="K139" s="167"/>
      <c r="L139" s="41">
        <v>37500</v>
      </c>
      <c r="M139" s="167"/>
      <c r="N139" s="749">
        <f t="shared" si="23"/>
        <v>37500</v>
      </c>
    </row>
    <row r="140" spans="1:14" s="177" customFormat="1" ht="15">
      <c r="A140" s="496">
        <v>133</v>
      </c>
      <c r="B140" s="1101"/>
      <c r="C140" s="1102"/>
      <c r="D140" s="180" t="s">
        <v>637</v>
      </c>
      <c r="E140" s="181">
        <f>SUM(E115:E138)</f>
        <v>24000</v>
      </c>
      <c r="F140" s="181">
        <f aca="true" t="shared" si="24" ref="F140:M140">SUM(F115:F138)</f>
        <v>0</v>
      </c>
      <c r="G140" s="181">
        <f t="shared" si="24"/>
        <v>0</v>
      </c>
      <c r="H140" s="181">
        <f t="shared" si="24"/>
        <v>0</v>
      </c>
      <c r="I140" s="181">
        <f t="shared" si="24"/>
        <v>0</v>
      </c>
      <c r="J140" s="181">
        <f t="shared" si="24"/>
        <v>0</v>
      </c>
      <c r="K140" s="181">
        <f t="shared" si="24"/>
        <v>33523</v>
      </c>
      <c r="L140" s="181">
        <f>SUM(L115:L139)</f>
        <v>181713</v>
      </c>
      <c r="M140" s="182">
        <f t="shared" si="24"/>
        <v>0</v>
      </c>
      <c r="N140" s="168">
        <f>SUM(N115:N139)</f>
        <v>239236</v>
      </c>
    </row>
    <row r="141" spans="1:15" ht="30" customHeight="1">
      <c r="A141" s="198">
        <v>134</v>
      </c>
      <c r="B141" s="165"/>
      <c r="C141" s="156">
        <v>1</v>
      </c>
      <c r="D141" s="140" t="s">
        <v>396</v>
      </c>
      <c r="E141" s="162"/>
      <c r="F141" s="162"/>
      <c r="G141" s="162"/>
      <c r="H141" s="162"/>
      <c r="I141" s="162"/>
      <c r="J141" s="162"/>
      <c r="K141" s="162"/>
      <c r="L141" s="162"/>
      <c r="M141" s="163"/>
      <c r="N141" s="164"/>
      <c r="O141" s="153"/>
    </row>
    <row r="142" spans="1:14" s="169" customFormat="1" ht="15">
      <c r="A142" s="746">
        <v>135</v>
      </c>
      <c r="B142" s="170"/>
      <c r="C142" s="171"/>
      <c r="D142" s="172" t="s">
        <v>635</v>
      </c>
      <c r="E142" s="173"/>
      <c r="F142" s="173">
        <v>13236</v>
      </c>
      <c r="G142" s="173"/>
      <c r="H142" s="173"/>
      <c r="I142" s="173"/>
      <c r="J142" s="173"/>
      <c r="K142" s="173"/>
      <c r="L142" s="173"/>
      <c r="M142" s="174"/>
      <c r="N142" s="747">
        <f aca="true" t="shared" si="25" ref="N142:N219">SUM(E142:L142)</f>
        <v>13236</v>
      </c>
    </row>
    <row r="143" spans="1:14" s="753" customFormat="1" ht="15">
      <c r="A143" s="496">
        <v>136</v>
      </c>
      <c r="B143" s="750"/>
      <c r="C143" s="751"/>
      <c r="D143" s="752" t="s">
        <v>797</v>
      </c>
      <c r="E143" s="174"/>
      <c r="F143" s="174">
        <v>7908</v>
      </c>
      <c r="G143" s="174"/>
      <c r="H143" s="174"/>
      <c r="I143" s="174"/>
      <c r="J143" s="174"/>
      <c r="K143" s="174">
        <v>7197</v>
      </c>
      <c r="L143" s="174"/>
      <c r="M143" s="174"/>
      <c r="N143" s="749">
        <f t="shared" si="25"/>
        <v>15105</v>
      </c>
    </row>
    <row r="144" spans="1:14" s="759" customFormat="1" ht="15">
      <c r="A144" s="746">
        <v>137</v>
      </c>
      <c r="B144" s="754"/>
      <c r="C144" s="755"/>
      <c r="D144" s="756" t="s">
        <v>637</v>
      </c>
      <c r="E144" s="757">
        <f>SUM(E142:E143)</f>
        <v>0</v>
      </c>
      <c r="F144" s="757">
        <f>SUM(F142:F143)</f>
        <v>21144</v>
      </c>
      <c r="G144" s="757">
        <f aca="true" t="shared" si="26" ref="G144:M144">SUM(G142:G143)</f>
        <v>0</v>
      </c>
      <c r="H144" s="757">
        <f t="shared" si="26"/>
        <v>0</v>
      </c>
      <c r="I144" s="757">
        <f t="shared" si="26"/>
        <v>0</v>
      </c>
      <c r="J144" s="757">
        <f t="shared" si="26"/>
        <v>0</v>
      </c>
      <c r="K144" s="757">
        <f t="shared" si="26"/>
        <v>7197</v>
      </c>
      <c r="L144" s="757">
        <f t="shared" si="26"/>
        <v>0</v>
      </c>
      <c r="M144" s="758">
        <f t="shared" si="26"/>
        <v>0</v>
      </c>
      <c r="N144" s="164">
        <f t="shared" si="25"/>
        <v>28341</v>
      </c>
    </row>
    <row r="145" spans="1:15" s="1131" customFormat="1" ht="19.5" customHeight="1">
      <c r="A145" s="746">
        <v>138</v>
      </c>
      <c r="B145" s="159"/>
      <c r="C145" s="160">
        <v>2</v>
      </c>
      <c r="D145" s="1402" t="s">
        <v>8</v>
      </c>
      <c r="E145" s="1402"/>
      <c r="F145" s="1402"/>
      <c r="G145" s="162"/>
      <c r="H145" s="162"/>
      <c r="I145" s="162"/>
      <c r="J145" s="162"/>
      <c r="K145" s="162"/>
      <c r="L145" s="162"/>
      <c r="M145" s="163"/>
      <c r="N145" s="164"/>
      <c r="O145" s="158"/>
    </row>
    <row r="146" spans="1:14" s="753" customFormat="1" ht="15">
      <c r="A146" s="496">
        <v>139</v>
      </c>
      <c r="B146" s="750"/>
      <c r="C146" s="751"/>
      <c r="D146" s="752" t="s">
        <v>796</v>
      </c>
      <c r="E146" s="174"/>
      <c r="F146" s="174">
        <v>3382</v>
      </c>
      <c r="G146" s="174"/>
      <c r="H146" s="174"/>
      <c r="I146" s="174"/>
      <c r="J146" s="174"/>
      <c r="K146" s="174">
        <v>1128</v>
      </c>
      <c r="L146" s="174"/>
      <c r="M146" s="174"/>
      <c r="N146" s="749">
        <f>SUM(E146:M146)</f>
        <v>4510</v>
      </c>
    </row>
    <row r="147" spans="1:14" s="759" customFormat="1" ht="15">
      <c r="A147" s="746">
        <v>140</v>
      </c>
      <c r="B147" s="754"/>
      <c r="C147" s="755"/>
      <c r="D147" s="756" t="s">
        <v>637</v>
      </c>
      <c r="E147" s="757">
        <f aca="true" t="shared" si="27" ref="E147:J147">SUM(E146)</f>
        <v>0</v>
      </c>
      <c r="F147" s="757">
        <f t="shared" si="27"/>
        <v>3382</v>
      </c>
      <c r="G147" s="757">
        <f t="shared" si="27"/>
        <v>0</v>
      </c>
      <c r="H147" s="757">
        <f t="shared" si="27"/>
        <v>0</v>
      </c>
      <c r="I147" s="757">
        <f t="shared" si="27"/>
        <v>0</v>
      </c>
      <c r="J147" s="757">
        <f t="shared" si="27"/>
        <v>0</v>
      </c>
      <c r="K147" s="757">
        <f>SUM(K146)</f>
        <v>1128</v>
      </c>
      <c r="L147" s="757">
        <f>SUM(L146)</f>
        <v>0</v>
      </c>
      <c r="M147" s="758">
        <f>SUM(M146)</f>
        <v>0</v>
      </c>
      <c r="N147" s="164">
        <f>SUM(N146)</f>
        <v>4510</v>
      </c>
    </row>
    <row r="148" spans="1:14" s="158" customFormat="1" ht="25.5" customHeight="1">
      <c r="A148" s="746">
        <v>141</v>
      </c>
      <c r="B148" s="159">
        <v>11</v>
      </c>
      <c r="C148" s="160"/>
      <c r="D148" s="178" t="s">
        <v>95</v>
      </c>
      <c r="E148" s="155"/>
      <c r="F148" s="155"/>
      <c r="G148" s="155"/>
      <c r="H148" s="155"/>
      <c r="I148" s="155"/>
      <c r="J148" s="155"/>
      <c r="K148" s="155"/>
      <c r="L148" s="155"/>
      <c r="M148" s="167"/>
      <c r="N148" s="168"/>
    </row>
    <row r="149" spans="1:14" s="153" customFormat="1" ht="15">
      <c r="A149" s="496">
        <v>142</v>
      </c>
      <c r="B149" s="165"/>
      <c r="C149" s="156"/>
      <c r="D149" s="166" t="s">
        <v>635</v>
      </c>
      <c r="E149" s="162">
        <v>7160</v>
      </c>
      <c r="F149" s="162">
        <v>4000</v>
      </c>
      <c r="G149" s="162"/>
      <c r="H149" s="162"/>
      <c r="I149" s="162"/>
      <c r="J149" s="162"/>
      <c r="K149" s="162"/>
      <c r="L149" s="162">
        <v>71807</v>
      </c>
      <c r="M149" s="163"/>
      <c r="N149" s="747">
        <f t="shared" si="25"/>
        <v>82967</v>
      </c>
    </row>
    <row r="150" spans="1:14" s="154" customFormat="1" ht="15">
      <c r="A150" s="746">
        <v>143</v>
      </c>
      <c r="B150" s="176"/>
      <c r="C150" s="748"/>
      <c r="D150" s="183" t="s">
        <v>685</v>
      </c>
      <c r="E150" s="167"/>
      <c r="F150" s="167"/>
      <c r="G150" s="167"/>
      <c r="H150" s="167"/>
      <c r="I150" s="167"/>
      <c r="J150" s="167"/>
      <c r="K150" s="167"/>
      <c r="L150" s="167">
        <v>327</v>
      </c>
      <c r="M150" s="167"/>
      <c r="N150" s="749">
        <f t="shared" si="25"/>
        <v>327</v>
      </c>
    </row>
    <row r="151" spans="1:14" s="154" customFormat="1" ht="15">
      <c r="A151" s="746">
        <v>144</v>
      </c>
      <c r="B151" s="176"/>
      <c r="C151" s="748"/>
      <c r="D151" s="183" t="s">
        <v>704</v>
      </c>
      <c r="E151" s="167"/>
      <c r="F151" s="167"/>
      <c r="G151" s="167"/>
      <c r="H151" s="167"/>
      <c r="I151" s="167"/>
      <c r="J151" s="167"/>
      <c r="K151" s="167">
        <v>3689</v>
      </c>
      <c r="L151" s="167"/>
      <c r="M151" s="167"/>
      <c r="N151" s="749">
        <f t="shared" si="25"/>
        <v>3689</v>
      </c>
    </row>
    <row r="152" spans="1:14" s="154" customFormat="1" ht="15">
      <c r="A152" s="496">
        <v>145</v>
      </c>
      <c r="B152" s="176"/>
      <c r="C152" s="748"/>
      <c r="D152" s="183" t="s">
        <v>734</v>
      </c>
      <c r="E152" s="167"/>
      <c r="F152" s="167"/>
      <c r="G152" s="167"/>
      <c r="H152" s="167"/>
      <c r="I152" s="167"/>
      <c r="J152" s="167"/>
      <c r="K152" s="167"/>
      <c r="L152" s="167">
        <v>98</v>
      </c>
      <c r="M152" s="167"/>
      <c r="N152" s="749">
        <f t="shared" si="25"/>
        <v>98</v>
      </c>
    </row>
    <row r="153" spans="1:14" s="177" customFormat="1" ht="15">
      <c r="A153" s="746">
        <v>146</v>
      </c>
      <c r="B153" s="1101"/>
      <c r="C153" s="1102"/>
      <c r="D153" s="180" t="s">
        <v>637</v>
      </c>
      <c r="E153" s="181">
        <f>SUM(E149:E152)</f>
        <v>7160</v>
      </c>
      <c r="F153" s="181">
        <f aca="true" t="shared" si="28" ref="F153:M153">SUM(F149:F152)</f>
        <v>4000</v>
      </c>
      <c r="G153" s="181">
        <f t="shared" si="28"/>
        <v>0</v>
      </c>
      <c r="H153" s="181">
        <f t="shared" si="28"/>
        <v>0</v>
      </c>
      <c r="I153" s="181">
        <f t="shared" si="28"/>
        <v>0</v>
      </c>
      <c r="J153" s="181">
        <f t="shared" si="28"/>
        <v>0</v>
      </c>
      <c r="K153" s="181">
        <f t="shared" si="28"/>
        <v>3689</v>
      </c>
      <c r="L153" s="181">
        <f t="shared" si="28"/>
        <v>72232</v>
      </c>
      <c r="M153" s="182">
        <f t="shared" si="28"/>
        <v>0</v>
      </c>
      <c r="N153" s="164">
        <f t="shared" si="25"/>
        <v>87081</v>
      </c>
    </row>
    <row r="154" spans="1:15" s="1131" customFormat="1" ht="19.5" customHeight="1">
      <c r="A154" s="746">
        <v>147</v>
      </c>
      <c r="B154" s="159"/>
      <c r="C154" s="160">
        <v>1</v>
      </c>
      <c r="D154" s="1402" t="s">
        <v>396</v>
      </c>
      <c r="E154" s="1402"/>
      <c r="F154" s="1402"/>
      <c r="G154" s="162"/>
      <c r="H154" s="162"/>
      <c r="I154" s="162"/>
      <c r="J154" s="162"/>
      <c r="K154" s="162"/>
      <c r="L154" s="162"/>
      <c r="M154" s="163"/>
      <c r="N154" s="164"/>
      <c r="O154" s="158"/>
    </row>
    <row r="155" spans="1:14" s="169" customFormat="1" ht="15">
      <c r="A155" s="496">
        <v>148</v>
      </c>
      <c r="B155" s="170"/>
      <c r="C155" s="171"/>
      <c r="D155" s="172" t="s">
        <v>635</v>
      </c>
      <c r="E155" s="173"/>
      <c r="F155" s="173">
        <v>8200</v>
      </c>
      <c r="G155" s="173"/>
      <c r="H155" s="173"/>
      <c r="I155" s="173"/>
      <c r="J155" s="173"/>
      <c r="K155" s="173"/>
      <c r="L155" s="173"/>
      <c r="M155" s="174"/>
      <c r="N155" s="747">
        <f t="shared" si="25"/>
        <v>8200</v>
      </c>
    </row>
    <row r="156" spans="1:14" s="753" customFormat="1" ht="15">
      <c r="A156" s="746">
        <v>149</v>
      </c>
      <c r="B156" s="750"/>
      <c r="C156" s="751"/>
      <c r="D156" s="752" t="s">
        <v>707</v>
      </c>
      <c r="E156" s="174"/>
      <c r="F156" s="174"/>
      <c r="G156" s="174"/>
      <c r="H156" s="174"/>
      <c r="I156" s="174"/>
      <c r="J156" s="174"/>
      <c r="K156" s="174">
        <v>75</v>
      </c>
      <c r="L156" s="174"/>
      <c r="M156" s="174"/>
      <c r="N156" s="749">
        <f t="shared" si="25"/>
        <v>75</v>
      </c>
    </row>
    <row r="157" spans="1:14" s="759" customFormat="1" ht="15">
      <c r="A157" s="746">
        <v>150</v>
      </c>
      <c r="B157" s="754"/>
      <c r="C157" s="755"/>
      <c r="D157" s="756" t="s">
        <v>637</v>
      </c>
      <c r="E157" s="757">
        <f>SUM(E155:E156)</f>
        <v>0</v>
      </c>
      <c r="F157" s="757">
        <f aca="true" t="shared" si="29" ref="F157:M157">SUM(F155:F156)</f>
        <v>8200</v>
      </c>
      <c r="G157" s="757">
        <f t="shared" si="29"/>
        <v>0</v>
      </c>
      <c r="H157" s="757">
        <f t="shared" si="29"/>
        <v>0</v>
      </c>
      <c r="I157" s="757">
        <f t="shared" si="29"/>
        <v>0</v>
      </c>
      <c r="J157" s="757">
        <f t="shared" si="29"/>
        <v>0</v>
      </c>
      <c r="K157" s="757">
        <f t="shared" si="29"/>
        <v>75</v>
      </c>
      <c r="L157" s="757">
        <f t="shared" si="29"/>
        <v>0</v>
      </c>
      <c r="M157" s="758">
        <f t="shared" si="29"/>
        <v>0</v>
      </c>
      <c r="N157" s="164">
        <f t="shared" si="25"/>
        <v>8275</v>
      </c>
    </row>
    <row r="158" spans="1:15" s="1131" customFormat="1" ht="19.5" customHeight="1">
      <c r="A158" s="496">
        <v>151</v>
      </c>
      <c r="B158" s="159"/>
      <c r="C158" s="160">
        <v>2</v>
      </c>
      <c r="D158" s="1402" t="s">
        <v>417</v>
      </c>
      <c r="E158" s="1402"/>
      <c r="F158" s="1402"/>
      <c r="G158" s="1402"/>
      <c r="H158" s="1402"/>
      <c r="I158" s="1402"/>
      <c r="J158" s="162"/>
      <c r="K158" s="162"/>
      <c r="L158" s="162"/>
      <c r="M158" s="163"/>
      <c r="N158" s="164"/>
      <c r="O158" s="158"/>
    </row>
    <row r="159" spans="1:14" s="753" customFormat="1" ht="15">
      <c r="A159" s="746">
        <v>152</v>
      </c>
      <c r="B159" s="750"/>
      <c r="C159" s="751"/>
      <c r="D159" s="752" t="s">
        <v>707</v>
      </c>
      <c r="E159" s="174"/>
      <c r="F159" s="174"/>
      <c r="G159" s="174"/>
      <c r="H159" s="174"/>
      <c r="I159" s="174"/>
      <c r="J159" s="174"/>
      <c r="K159" s="174">
        <v>996</v>
      </c>
      <c r="L159" s="174"/>
      <c r="M159" s="174"/>
      <c r="N159" s="749">
        <f t="shared" si="25"/>
        <v>996</v>
      </c>
    </row>
    <row r="160" spans="1:14" s="759" customFormat="1" ht="15">
      <c r="A160" s="746">
        <v>153</v>
      </c>
      <c r="B160" s="754"/>
      <c r="C160" s="755"/>
      <c r="D160" s="756" t="s">
        <v>637</v>
      </c>
      <c r="E160" s="757">
        <f aca="true" t="shared" si="30" ref="E160:J160">SUM(E159)</f>
        <v>0</v>
      </c>
      <c r="F160" s="757">
        <f t="shared" si="30"/>
        <v>0</v>
      </c>
      <c r="G160" s="757">
        <f t="shared" si="30"/>
        <v>0</v>
      </c>
      <c r="H160" s="757">
        <f t="shared" si="30"/>
        <v>0</v>
      </c>
      <c r="I160" s="757">
        <f t="shared" si="30"/>
        <v>0</v>
      </c>
      <c r="J160" s="757">
        <f t="shared" si="30"/>
        <v>0</v>
      </c>
      <c r="K160" s="757">
        <f>SUM(K159)</f>
        <v>996</v>
      </c>
      <c r="L160" s="757">
        <f>SUM(L159)</f>
        <v>0</v>
      </c>
      <c r="M160" s="758">
        <f>SUM(M159)</f>
        <v>0</v>
      </c>
      <c r="N160" s="164">
        <f t="shared" si="25"/>
        <v>996</v>
      </c>
    </row>
    <row r="161" spans="1:14" s="158" customFormat="1" ht="25.5" customHeight="1">
      <c r="A161" s="496">
        <v>154</v>
      </c>
      <c r="B161" s="159">
        <v>12</v>
      </c>
      <c r="C161" s="160"/>
      <c r="D161" s="178" t="s">
        <v>97</v>
      </c>
      <c r="E161" s="155"/>
      <c r="F161" s="155"/>
      <c r="G161" s="155"/>
      <c r="H161" s="155"/>
      <c r="I161" s="155"/>
      <c r="J161" s="155"/>
      <c r="K161" s="155"/>
      <c r="L161" s="155"/>
      <c r="M161" s="167"/>
      <c r="N161" s="168"/>
    </row>
    <row r="162" spans="1:14" s="153" customFormat="1" ht="15">
      <c r="A162" s="746">
        <v>155</v>
      </c>
      <c r="B162" s="165"/>
      <c r="C162" s="156"/>
      <c r="D162" s="166" t="s">
        <v>635</v>
      </c>
      <c r="E162" s="162">
        <v>20200</v>
      </c>
      <c r="F162" s="162"/>
      <c r="G162" s="162"/>
      <c r="H162" s="162"/>
      <c r="I162" s="162"/>
      <c r="J162" s="162"/>
      <c r="K162" s="162"/>
      <c r="L162" s="162">
        <v>344347</v>
      </c>
      <c r="M162" s="163">
        <v>277028</v>
      </c>
      <c r="N162" s="747">
        <f t="shared" si="25"/>
        <v>364547</v>
      </c>
    </row>
    <row r="163" spans="1:14" s="154" customFormat="1" ht="15">
      <c r="A163" s="746">
        <v>156</v>
      </c>
      <c r="B163" s="176"/>
      <c r="C163" s="748"/>
      <c r="D163" s="183" t="s">
        <v>685</v>
      </c>
      <c r="E163" s="167"/>
      <c r="F163" s="167"/>
      <c r="G163" s="167"/>
      <c r="H163" s="167"/>
      <c r="I163" s="167"/>
      <c r="J163" s="167"/>
      <c r="K163" s="167"/>
      <c r="L163" s="167">
        <v>1295</v>
      </c>
      <c r="M163" s="167"/>
      <c r="N163" s="749">
        <f t="shared" si="25"/>
        <v>1295</v>
      </c>
    </row>
    <row r="164" spans="1:14" s="154" customFormat="1" ht="15">
      <c r="A164" s="496">
        <v>157</v>
      </c>
      <c r="B164" s="176"/>
      <c r="C164" s="748"/>
      <c r="D164" s="183" t="s">
        <v>709</v>
      </c>
      <c r="E164" s="167"/>
      <c r="F164" s="167">
        <v>491</v>
      </c>
      <c r="G164" s="167"/>
      <c r="H164" s="167"/>
      <c r="I164" s="167"/>
      <c r="J164" s="167"/>
      <c r="K164" s="167"/>
      <c r="L164" s="167"/>
      <c r="M164" s="167"/>
      <c r="N164" s="749">
        <f t="shared" si="25"/>
        <v>491</v>
      </c>
    </row>
    <row r="165" spans="1:14" s="154" customFormat="1" ht="15">
      <c r="A165" s="746">
        <v>158</v>
      </c>
      <c r="B165" s="176"/>
      <c r="C165" s="748"/>
      <c r="D165" s="183" t="s">
        <v>704</v>
      </c>
      <c r="E165" s="167"/>
      <c r="F165" s="167"/>
      <c r="G165" s="167"/>
      <c r="H165" s="167"/>
      <c r="I165" s="167"/>
      <c r="J165" s="167"/>
      <c r="K165" s="167">
        <v>7426</v>
      </c>
      <c r="L165" s="167"/>
      <c r="M165" s="167"/>
      <c r="N165" s="749">
        <f t="shared" si="25"/>
        <v>7426</v>
      </c>
    </row>
    <row r="166" spans="1:14" s="154" customFormat="1" ht="15">
      <c r="A166" s="746">
        <v>159</v>
      </c>
      <c r="B166" s="176"/>
      <c r="C166" s="748"/>
      <c r="D166" s="183" t="s">
        <v>727</v>
      </c>
      <c r="E166" s="167"/>
      <c r="F166" s="167"/>
      <c r="G166" s="167"/>
      <c r="H166" s="167"/>
      <c r="I166" s="167"/>
      <c r="J166" s="167"/>
      <c r="K166" s="167"/>
      <c r="L166" s="167">
        <v>250</v>
      </c>
      <c r="M166" s="167"/>
      <c r="N166" s="749">
        <f t="shared" si="25"/>
        <v>250</v>
      </c>
    </row>
    <row r="167" spans="1:14" s="154" customFormat="1" ht="15">
      <c r="A167" s="496">
        <v>160</v>
      </c>
      <c r="B167" s="176"/>
      <c r="C167" s="748"/>
      <c r="D167" s="183" t="s">
        <v>714</v>
      </c>
      <c r="E167" s="167"/>
      <c r="F167" s="167"/>
      <c r="G167" s="167"/>
      <c r="H167" s="167"/>
      <c r="I167" s="167"/>
      <c r="J167" s="167"/>
      <c r="K167" s="167"/>
      <c r="L167" s="167">
        <v>490</v>
      </c>
      <c r="M167" s="167"/>
      <c r="N167" s="749">
        <f t="shared" si="25"/>
        <v>490</v>
      </c>
    </row>
    <row r="168" spans="1:14" s="154" customFormat="1" ht="15">
      <c r="A168" s="746">
        <v>161</v>
      </c>
      <c r="B168" s="176"/>
      <c r="C168" s="748"/>
      <c r="D168" s="183" t="s">
        <v>734</v>
      </c>
      <c r="E168" s="167"/>
      <c r="F168" s="167"/>
      <c r="G168" s="167"/>
      <c r="H168" s="167"/>
      <c r="I168" s="167"/>
      <c r="J168" s="167"/>
      <c r="K168" s="167"/>
      <c r="L168" s="167">
        <v>247</v>
      </c>
      <c r="M168" s="167"/>
      <c r="N168" s="749">
        <f t="shared" si="25"/>
        <v>247</v>
      </c>
    </row>
    <row r="169" spans="1:14" s="154" customFormat="1" ht="15">
      <c r="A169" s="746">
        <v>162</v>
      </c>
      <c r="B169" s="176"/>
      <c r="C169" s="748"/>
      <c r="D169" s="183" t="s">
        <v>824</v>
      </c>
      <c r="E169" s="167"/>
      <c r="F169" s="167"/>
      <c r="G169" s="167"/>
      <c r="H169" s="167"/>
      <c r="I169" s="167"/>
      <c r="J169" s="167"/>
      <c r="K169" s="167"/>
      <c r="L169" s="167">
        <v>100</v>
      </c>
      <c r="M169" s="167"/>
      <c r="N169" s="749">
        <f t="shared" si="25"/>
        <v>100</v>
      </c>
    </row>
    <row r="170" spans="1:14" s="177" customFormat="1" ht="15">
      <c r="A170" s="496">
        <v>163</v>
      </c>
      <c r="B170" s="1101"/>
      <c r="C170" s="1102"/>
      <c r="D170" s="180" t="s">
        <v>637</v>
      </c>
      <c r="E170" s="181">
        <f>SUM(E162:E169)</f>
        <v>20200</v>
      </c>
      <c r="F170" s="181">
        <f aca="true" t="shared" si="31" ref="F170:N170">SUM(F162:F169)</f>
        <v>491</v>
      </c>
      <c r="G170" s="181">
        <f t="shared" si="31"/>
        <v>0</v>
      </c>
      <c r="H170" s="181">
        <f t="shared" si="31"/>
        <v>0</v>
      </c>
      <c r="I170" s="181">
        <f t="shared" si="31"/>
        <v>0</v>
      </c>
      <c r="J170" s="181">
        <f t="shared" si="31"/>
        <v>0</v>
      </c>
      <c r="K170" s="181">
        <f t="shared" si="31"/>
        <v>7426</v>
      </c>
      <c r="L170" s="181">
        <f>SUM(L162:L169)</f>
        <v>346729</v>
      </c>
      <c r="M170" s="182">
        <f t="shared" si="31"/>
        <v>277028</v>
      </c>
      <c r="N170" s="168">
        <f t="shared" si="31"/>
        <v>374846</v>
      </c>
    </row>
    <row r="171" spans="1:15" s="1131" customFormat="1" ht="19.5" customHeight="1">
      <c r="A171" s="746">
        <v>164</v>
      </c>
      <c r="B171" s="159"/>
      <c r="C171" s="160">
        <v>1</v>
      </c>
      <c r="D171" s="1402" t="s">
        <v>397</v>
      </c>
      <c r="E171" s="1402"/>
      <c r="F171" s="1402"/>
      <c r="G171" s="162"/>
      <c r="H171" s="162"/>
      <c r="I171" s="162"/>
      <c r="J171" s="162"/>
      <c r="K171" s="162"/>
      <c r="L171" s="162"/>
      <c r="M171" s="163"/>
      <c r="N171" s="164"/>
      <c r="O171" s="158"/>
    </row>
    <row r="172" spans="1:14" s="169" customFormat="1" ht="15">
      <c r="A172" s="746">
        <v>165</v>
      </c>
      <c r="B172" s="170"/>
      <c r="C172" s="171"/>
      <c r="D172" s="172" t="s">
        <v>635</v>
      </c>
      <c r="E172" s="173"/>
      <c r="F172" s="173"/>
      <c r="G172" s="173"/>
      <c r="H172" s="173"/>
      <c r="I172" s="173"/>
      <c r="J172" s="173"/>
      <c r="K172" s="173"/>
      <c r="L172" s="173"/>
      <c r="M172" s="174"/>
      <c r="N172" s="747">
        <f t="shared" si="25"/>
        <v>0</v>
      </c>
    </row>
    <row r="173" spans="1:14" s="753" customFormat="1" ht="15">
      <c r="A173" s="496">
        <v>166</v>
      </c>
      <c r="B173" s="750"/>
      <c r="C173" s="751"/>
      <c r="D173" s="752" t="s">
        <v>636</v>
      </c>
      <c r="E173" s="174"/>
      <c r="F173" s="174"/>
      <c r="G173" s="174"/>
      <c r="H173" s="174"/>
      <c r="I173" s="174"/>
      <c r="J173" s="174"/>
      <c r="K173" s="174"/>
      <c r="L173" s="174"/>
      <c r="M173" s="174"/>
      <c r="N173" s="749">
        <f t="shared" si="25"/>
        <v>0</v>
      </c>
    </row>
    <row r="174" spans="1:14" s="759" customFormat="1" ht="15">
      <c r="A174" s="746">
        <v>167</v>
      </c>
      <c r="B174" s="754"/>
      <c r="C174" s="755"/>
      <c r="D174" s="756" t="s">
        <v>637</v>
      </c>
      <c r="E174" s="757">
        <f>SUM(E172:E173)</f>
        <v>0</v>
      </c>
      <c r="F174" s="757">
        <f aca="true" t="shared" si="32" ref="F174:M174">SUM(F172:F173)</f>
        <v>0</v>
      </c>
      <c r="G174" s="757">
        <f t="shared" si="32"/>
        <v>0</v>
      </c>
      <c r="H174" s="757">
        <f t="shared" si="32"/>
        <v>0</v>
      </c>
      <c r="I174" s="757">
        <f t="shared" si="32"/>
        <v>0</v>
      </c>
      <c r="J174" s="757">
        <f t="shared" si="32"/>
        <v>0</v>
      </c>
      <c r="K174" s="757">
        <f t="shared" si="32"/>
        <v>0</v>
      </c>
      <c r="L174" s="757">
        <f t="shared" si="32"/>
        <v>0</v>
      </c>
      <c r="M174" s="758">
        <f t="shared" si="32"/>
        <v>0</v>
      </c>
      <c r="N174" s="164">
        <f t="shared" si="25"/>
        <v>0</v>
      </c>
    </row>
    <row r="175" spans="1:15" ht="15">
      <c r="A175" s="746">
        <v>168</v>
      </c>
      <c r="B175" s="165"/>
      <c r="C175" s="156">
        <v>2</v>
      </c>
      <c r="D175" s="172" t="s">
        <v>388</v>
      </c>
      <c r="E175" s="155"/>
      <c r="F175" s="155"/>
      <c r="G175" s="155"/>
      <c r="H175" s="155"/>
      <c r="I175" s="155"/>
      <c r="J175" s="155"/>
      <c r="K175" s="155"/>
      <c r="L175" s="155"/>
      <c r="M175" s="167"/>
      <c r="N175" s="168"/>
      <c r="O175" s="153"/>
    </row>
    <row r="176" spans="1:14" s="169" customFormat="1" ht="15">
      <c r="A176" s="496">
        <v>169</v>
      </c>
      <c r="B176" s="170"/>
      <c r="C176" s="171"/>
      <c r="D176" s="172" t="s">
        <v>635</v>
      </c>
      <c r="E176" s="173"/>
      <c r="F176" s="173">
        <v>1258</v>
      </c>
      <c r="G176" s="173"/>
      <c r="H176" s="173"/>
      <c r="I176" s="173"/>
      <c r="J176" s="173"/>
      <c r="K176" s="173"/>
      <c r="L176" s="173"/>
      <c r="M176" s="174"/>
      <c r="N176" s="747">
        <f t="shared" si="25"/>
        <v>1258</v>
      </c>
    </row>
    <row r="177" spans="1:14" s="753" customFormat="1" ht="15">
      <c r="A177" s="746">
        <v>170</v>
      </c>
      <c r="B177" s="750"/>
      <c r="C177" s="751"/>
      <c r="D177" s="752" t="s">
        <v>707</v>
      </c>
      <c r="E177" s="174"/>
      <c r="F177" s="174"/>
      <c r="G177" s="174"/>
      <c r="H177" s="174"/>
      <c r="I177" s="174"/>
      <c r="J177" s="174"/>
      <c r="K177" s="174">
        <v>88</v>
      </c>
      <c r="L177" s="174"/>
      <c r="M177" s="174"/>
      <c r="N177" s="749">
        <f t="shared" si="25"/>
        <v>88</v>
      </c>
    </row>
    <row r="178" spans="1:14" s="759" customFormat="1" ht="15">
      <c r="A178" s="746">
        <v>171</v>
      </c>
      <c r="B178" s="754"/>
      <c r="C178" s="755"/>
      <c r="D178" s="756" t="s">
        <v>637</v>
      </c>
      <c r="E178" s="757">
        <f>SUM(E176:E177)</f>
        <v>0</v>
      </c>
      <c r="F178" s="757">
        <f aca="true" t="shared" si="33" ref="F178:M178">SUM(F176:F177)</f>
        <v>1258</v>
      </c>
      <c r="G178" s="757">
        <f t="shared" si="33"/>
        <v>0</v>
      </c>
      <c r="H178" s="757">
        <f t="shared" si="33"/>
        <v>0</v>
      </c>
      <c r="I178" s="757">
        <f t="shared" si="33"/>
        <v>0</v>
      </c>
      <c r="J178" s="757">
        <f t="shared" si="33"/>
        <v>0</v>
      </c>
      <c r="K178" s="757">
        <f t="shared" si="33"/>
        <v>88</v>
      </c>
      <c r="L178" s="757">
        <f t="shared" si="33"/>
        <v>0</v>
      </c>
      <c r="M178" s="758">
        <f t="shared" si="33"/>
        <v>0</v>
      </c>
      <c r="N178" s="164">
        <f t="shared" si="25"/>
        <v>1346</v>
      </c>
    </row>
    <row r="179" spans="1:14" s="158" customFormat="1" ht="24" customHeight="1">
      <c r="A179" s="496">
        <v>172</v>
      </c>
      <c r="B179" s="159">
        <v>13</v>
      </c>
      <c r="C179" s="160"/>
      <c r="D179" s="178" t="s">
        <v>192</v>
      </c>
      <c r="E179" s="155"/>
      <c r="F179" s="155"/>
      <c r="G179" s="155"/>
      <c r="H179" s="155"/>
      <c r="I179" s="155"/>
      <c r="J179" s="155"/>
      <c r="K179" s="155"/>
      <c r="L179" s="155"/>
      <c r="M179" s="167"/>
      <c r="N179" s="168"/>
    </row>
    <row r="180" spans="1:14" s="153" customFormat="1" ht="15">
      <c r="A180" s="746">
        <v>173</v>
      </c>
      <c r="B180" s="165"/>
      <c r="C180" s="156"/>
      <c r="D180" s="166" t="s">
        <v>635</v>
      </c>
      <c r="E180" s="162">
        <v>194000</v>
      </c>
      <c r="F180" s="162"/>
      <c r="G180" s="162"/>
      <c r="H180" s="162"/>
      <c r="I180" s="162"/>
      <c r="J180" s="162"/>
      <c r="K180" s="162"/>
      <c r="L180" s="162">
        <v>125730</v>
      </c>
      <c r="M180" s="163">
        <v>112700</v>
      </c>
      <c r="N180" s="747">
        <f t="shared" si="25"/>
        <v>319730</v>
      </c>
    </row>
    <row r="181" spans="1:14" s="154" customFormat="1" ht="15">
      <c r="A181" s="746">
        <v>174</v>
      </c>
      <c r="B181" s="176"/>
      <c r="C181" s="748"/>
      <c r="D181" s="183" t="s">
        <v>685</v>
      </c>
      <c r="E181" s="167"/>
      <c r="F181" s="167"/>
      <c r="G181" s="167"/>
      <c r="H181" s="167"/>
      <c r="I181" s="167"/>
      <c r="J181" s="167"/>
      <c r="K181" s="167"/>
      <c r="L181" s="167">
        <v>895</v>
      </c>
      <c r="M181" s="167"/>
      <c r="N181" s="749">
        <f t="shared" si="25"/>
        <v>895</v>
      </c>
    </row>
    <row r="182" spans="1:14" s="154" customFormat="1" ht="15">
      <c r="A182" s="496">
        <v>175</v>
      </c>
      <c r="B182" s="176"/>
      <c r="C182" s="748"/>
      <c r="D182" s="183" t="s">
        <v>704</v>
      </c>
      <c r="E182" s="167"/>
      <c r="F182" s="167"/>
      <c r="G182" s="167"/>
      <c r="H182" s="167"/>
      <c r="I182" s="167"/>
      <c r="J182" s="167"/>
      <c r="K182" s="167">
        <v>29894</v>
      </c>
      <c r="L182" s="167"/>
      <c r="M182" s="167"/>
      <c r="N182" s="749">
        <f t="shared" si="25"/>
        <v>29894</v>
      </c>
    </row>
    <row r="183" spans="1:14" s="154" customFormat="1" ht="15">
      <c r="A183" s="746">
        <v>176</v>
      </c>
      <c r="B183" s="176"/>
      <c r="C183" s="748"/>
      <c r="D183" s="183" t="s">
        <v>725</v>
      </c>
      <c r="E183" s="167"/>
      <c r="F183" s="167"/>
      <c r="G183" s="167"/>
      <c r="H183" s="167"/>
      <c r="I183" s="167"/>
      <c r="J183" s="167"/>
      <c r="K183" s="167"/>
      <c r="L183" s="167">
        <v>400</v>
      </c>
      <c r="M183" s="167"/>
      <c r="N183" s="749">
        <f t="shared" si="25"/>
        <v>400</v>
      </c>
    </row>
    <row r="184" spans="1:14" s="154" customFormat="1" ht="15">
      <c r="A184" s="746">
        <v>177</v>
      </c>
      <c r="B184" s="176"/>
      <c r="C184" s="748"/>
      <c r="D184" s="183" t="s">
        <v>1183</v>
      </c>
      <c r="E184" s="167"/>
      <c r="F184" s="167"/>
      <c r="G184" s="167"/>
      <c r="H184" s="167"/>
      <c r="I184" s="167"/>
      <c r="J184" s="167"/>
      <c r="K184" s="167"/>
      <c r="L184" s="167">
        <v>80</v>
      </c>
      <c r="M184" s="167"/>
      <c r="N184" s="749">
        <f t="shared" si="25"/>
        <v>80</v>
      </c>
    </row>
    <row r="185" spans="1:14" s="154" customFormat="1" ht="15">
      <c r="A185" s="496">
        <v>178</v>
      </c>
      <c r="B185" s="176"/>
      <c r="C185" s="748"/>
      <c r="D185" s="183" t="s">
        <v>726</v>
      </c>
      <c r="E185" s="167"/>
      <c r="F185" s="167"/>
      <c r="G185" s="167"/>
      <c r="H185" s="167"/>
      <c r="I185" s="167"/>
      <c r="J185" s="167"/>
      <c r="K185" s="167"/>
      <c r="L185" s="167">
        <v>500</v>
      </c>
      <c r="M185" s="167"/>
      <c r="N185" s="749">
        <f t="shared" si="25"/>
        <v>500</v>
      </c>
    </row>
    <row r="186" spans="1:14" s="154" customFormat="1" ht="15">
      <c r="A186" s="746">
        <v>179</v>
      </c>
      <c r="B186" s="176"/>
      <c r="C186" s="748"/>
      <c r="D186" s="183" t="s">
        <v>734</v>
      </c>
      <c r="E186" s="167"/>
      <c r="F186" s="167"/>
      <c r="G186" s="167"/>
      <c r="H186" s="167"/>
      <c r="I186" s="167"/>
      <c r="J186" s="167"/>
      <c r="K186" s="167"/>
      <c r="L186" s="167">
        <v>253</v>
      </c>
      <c r="M186" s="167"/>
      <c r="N186" s="749">
        <f t="shared" si="25"/>
        <v>253</v>
      </c>
    </row>
    <row r="187" spans="1:14" s="177" customFormat="1" ht="15">
      <c r="A187" s="746">
        <v>180</v>
      </c>
      <c r="B187" s="1101"/>
      <c r="C187" s="1102"/>
      <c r="D187" s="180" t="s">
        <v>637</v>
      </c>
      <c r="E187" s="181">
        <f aca="true" t="shared" si="34" ref="E187:N187">SUM(E180:E186)</f>
        <v>194000</v>
      </c>
      <c r="F187" s="181">
        <f t="shared" si="34"/>
        <v>0</v>
      </c>
      <c r="G187" s="181">
        <f t="shared" si="34"/>
        <v>0</v>
      </c>
      <c r="H187" s="181">
        <f t="shared" si="34"/>
        <v>0</v>
      </c>
      <c r="I187" s="181">
        <f t="shared" si="34"/>
        <v>0</v>
      </c>
      <c r="J187" s="181">
        <f t="shared" si="34"/>
        <v>0</v>
      </c>
      <c r="K187" s="181">
        <f t="shared" si="34"/>
        <v>29894</v>
      </c>
      <c r="L187" s="181">
        <f t="shared" si="34"/>
        <v>127858</v>
      </c>
      <c r="M187" s="182">
        <f t="shared" si="34"/>
        <v>112700</v>
      </c>
      <c r="N187" s="168">
        <f t="shared" si="34"/>
        <v>351752</v>
      </c>
    </row>
    <row r="188" spans="1:15" ht="30" customHeight="1">
      <c r="A188" s="495">
        <v>181</v>
      </c>
      <c r="B188" s="165"/>
      <c r="C188" s="156">
        <v>1</v>
      </c>
      <c r="D188" s="140" t="s">
        <v>398</v>
      </c>
      <c r="E188" s="162"/>
      <c r="F188" s="162"/>
      <c r="G188" s="162"/>
      <c r="H188" s="162"/>
      <c r="I188" s="162"/>
      <c r="J188" s="162"/>
      <c r="K188" s="162"/>
      <c r="L188" s="162"/>
      <c r="M188" s="163"/>
      <c r="N188" s="164"/>
      <c r="O188" s="153"/>
    </row>
    <row r="189" spans="1:14" s="169" customFormat="1" ht="15">
      <c r="A189" s="746">
        <v>182</v>
      </c>
      <c r="B189" s="170"/>
      <c r="C189" s="171"/>
      <c r="D189" s="172" t="s">
        <v>635</v>
      </c>
      <c r="E189" s="173"/>
      <c r="F189" s="173"/>
      <c r="G189" s="173"/>
      <c r="H189" s="173"/>
      <c r="I189" s="173"/>
      <c r="J189" s="173"/>
      <c r="K189" s="173"/>
      <c r="L189" s="173"/>
      <c r="M189" s="174"/>
      <c r="N189" s="747">
        <f t="shared" si="25"/>
        <v>0</v>
      </c>
    </row>
    <row r="190" spans="1:14" s="753" customFormat="1" ht="15">
      <c r="A190" s="746">
        <v>183</v>
      </c>
      <c r="B190" s="750"/>
      <c r="C190" s="751"/>
      <c r="D190" s="752" t="s">
        <v>636</v>
      </c>
      <c r="E190" s="174"/>
      <c r="F190" s="174"/>
      <c r="G190" s="174"/>
      <c r="H190" s="174"/>
      <c r="I190" s="174"/>
      <c r="J190" s="174"/>
      <c r="K190" s="174"/>
      <c r="L190" s="174"/>
      <c r="M190" s="174"/>
      <c r="N190" s="749">
        <f t="shared" si="25"/>
        <v>0</v>
      </c>
    </row>
    <row r="191" spans="1:14" s="759" customFormat="1" ht="15">
      <c r="A191" s="496">
        <v>184</v>
      </c>
      <c r="B191" s="754"/>
      <c r="C191" s="755"/>
      <c r="D191" s="756" t="s">
        <v>637</v>
      </c>
      <c r="E191" s="757">
        <f>SUM(E189:E190)</f>
        <v>0</v>
      </c>
      <c r="F191" s="757">
        <f aca="true" t="shared" si="35" ref="F191:M191">SUM(F189:F190)</f>
        <v>0</v>
      </c>
      <c r="G191" s="757">
        <f t="shared" si="35"/>
        <v>0</v>
      </c>
      <c r="H191" s="757">
        <f t="shared" si="35"/>
        <v>0</v>
      </c>
      <c r="I191" s="757">
        <f t="shared" si="35"/>
        <v>0</v>
      </c>
      <c r="J191" s="757">
        <f t="shared" si="35"/>
        <v>0</v>
      </c>
      <c r="K191" s="757">
        <f t="shared" si="35"/>
        <v>0</v>
      </c>
      <c r="L191" s="757">
        <f t="shared" si="35"/>
        <v>0</v>
      </c>
      <c r="M191" s="758">
        <f t="shared" si="35"/>
        <v>0</v>
      </c>
      <c r="N191" s="164">
        <f t="shared" si="25"/>
        <v>0</v>
      </c>
    </row>
    <row r="192" spans="1:14" s="169" customFormat="1" ht="15">
      <c r="A192" s="746">
        <v>185</v>
      </c>
      <c r="B192" s="170"/>
      <c r="C192" s="171">
        <v>2</v>
      </c>
      <c r="D192" s="172" t="s">
        <v>388</v>
      </c>
      <c r="E192" s="179"/>
      <c r="F192" s="179"/>
      <c r="G192" s="179"/>
      <c r="H192" s="179"/>
      <c r="I192" s="179"/>
      <c r="J192" s="179"/>
      <c r="K192" s="155"/>
      <c r="L192" s="155"/>
      <c r="M192" s="167"/>
      <c r="N192" s="168"/>
    </row>
    <row r="193" spans="1:14" s="169" customFormat="1" ht="15">
      <c r="A193" s="746">
        <v>186</v>
      </c>
      <c r="B193" s="170"/>
      <c r="C193" s="171"/>
      <c r="D193" s="172" t="s">
        <v>635</v>
      </c>
      <c r="E193" s="173"/>
      <c r="F193" s="173">
        <v>30610</v>
      </c>
      <c r="G193" s="173"/>
      <c r="H193" s="173"/>
      <c r="I193" s="173"/>
      <c r="J193" s="173"/>
      <c r="K193" s="173"/>
      <c r="L193" s="173"/>
      <c r="M193" s="174"/>
      <c r="N193" s="747">
        <f t="shared" si="25"/>
        <v>30610</v>
      </c>
    </row>
    <row r="194" spans="1:14" s="753" customFormat="1" ht="15">
      <c r="A194" s="496">
        <v>187</v>
      </c>
      <c r="B194" s="750"/>
      <c r="C194" s="751"/>
      <c r="D194" s="752" t="s">
        <v>636</v>
      </c>
      <c r="E194" s="174"/>
      <c r="F194" s="174"/>
      <c r="G194" s="174"/>
      <c r="H194" s="174"/>
      <c r="I194" s="174"/>
      <c r="J194" s="174"/>
      <c r="K194" s="174"/>
      <c r="L194" s="174"/>
      <c r="M194" s="174"/>
      <c r="N194" s="749">
        <f t="shared" si="25"/>
        <v>0</v>
      </c>
    </row>
    <row r="195" spans="1:14" s="759" customFormat="1" ht="15">
      <c r="A195" s="746">
        <v>188</v>
      </c>
      <c r="B195" s="754"/>
      <c r="C195" s="755"/>
      <c r="D195" s="756" t="s">
        <v>637</v>
      </c>
      <c r="E195" s="757">
        <f>SUM(E193:E194)</f>
        <v>0</v>
      </c>
      <c r="F195" s="757">
        <f aca="true" t="shared" si="36" ref="F195:M195">SUM(F193:F194)</f>
        <v>30610</v>
      </c>
      <c r="G195" s="757">
        <f t="shared" si="36"/>
        <v>0</v>
      </c>
      <c r="H195" s="757">
        <f t="shared" si="36"/>
        <v>0</v>
      </c>
      <c r="I195" s="757">
        <f t="shared" si="36"/>
        <v>0</v>
      </c>
      <c r="J195" s="757">
        <f t="shared" si="36"/>
        <v>0</v>
      </c>
      <c r="K195" s="757">
        <f t="shared" si="36"/>
        <v>0</v>
      </c>
      <c r="L195" s="757">
        <f t="shared" si="36"/>
        <v>0</v>
      </c>
      <c r="M195" s="758">
        <f t="shared" si="36"/>
        <v>0</v>
      </c>
      <c r="N195" s="164">
        <f t="shared" si="25"/>
        <v>30610</v>
      </c>
    </row>
    <row r="196" spans="1:14" s="158" customFormat="1" ht="24" customHeight="1">
      <c r="A196" s="746">
        <v>189</v>
      </c>
      <c r="B196" s="159">
        <v>14</v>
      </c>
      <c r="C196" s="160"/>
      <c r="D196" s="178" t="s">
        <v>359</v>
      </c>
      <c r="E196" s="173"/>
      <c r="F196" s="173"/>
      <c r="G196" s="173"/>
      <c r="H196" s="173"/>
      <c r="I196" s="173"/>
      <c r="J196" s="173"/>
      <c r="K196" s="173"/>
      <c r="L196" s="173"/>
      <c r="M196" s="174"/>
      <c r="N196" s="175"/>
    </row>
    <row r="197" spans="1:14" s="153" customFormat="1" ht="15">
      <c r="A197" s="496">
        <v>190</v>
      </c>
      <c r="B197" s="165"/>
      <c r="C197" s="156"/>
      <c r="D197" s="166" t="s">
        <v>635</v>
      </c>
      <c r="E197" s="162">
        <v>26298</v>
      </c>
      <c r="F197" s="162"/>
      <c r="G197" s="162">
        <v>4000</v>
      </c>
      <c r="H197" s="162"/>
      <c r="I197" s="162"/>
      <c r="J197" s="162"/>
      <c r="K197" s="162"/>
      <c r="L197" s="162">
        <v>60347</v>
      </c>
      <c r="M197" s="163">
        <v>43500</v>
      </c>
      <c r="N197" s="747">
        <f t="shared" si="25"/>
        <v>90645</v>
      </c>
    </row>
    <row r="198" spans="1:14" s="154" customFormat="1" ht="15">
      <c r="A198" s="746">
        <v>191</v>
      </c>
      <c r="B198" s="176"/>
      <c r="C198" s="748"/>
      <c r="D198" s="183" t="s">
        <v>685</v>
      </c>
      <c r="E198" s="167"/>
      <c r="F198" s="167"/>
      <c r="G198" s="167"/>
      <c r="H198" s="167"/>
      <c r="I198" s="167"/>
      <c r="J198" s="167"/>
      <c r="K198" s="167"/>
      <c r="L198" s="167">
        <v>196</v>
      </c>
      <c r="M198" s="167"/>
      <c r="N198" s="749">
        <f t="shared" si="25"/>
        <v>196</v>
      </c>
    </row>
    <row r="199" spans="1:14" s="154" customFormat="1" ht="15">
      <c r="A199" s="746">
        <v>192</v>
      </c>
      <c r="B199" s="176"/>
      <c r="C199" s="748"/>
      <c r="D199" s="183" t="s">
        <v>704</v>
      </c>
      <c r="E199" s="167"/>
      <c r="F199" s="167"/>
      <c r="G199" s="167"/>
      <c r="H199" s="167"/>
      <c r="I199" s="167"/>
      <c r="J199" s="167"/>
      <c r="K199" s="167">
        <v>8992</v>
      </c>
      <c r="L199" s="167"/>
      <c r="M199" s="167"/>
      <c r="N199" s="749">
        <f t="shared" si="25"/>
        <v>8992</v>
      </c>
    </row>
    <row r="200" spans="1:14" s="154" customFormat="1" ht="15">
      <c r="A200" s="496">
        <v>193</v>
      </c>
      <c r="B200" s="176"/>
      <c r="C200" s="748"/>
      <c r="D200" s="183" t="s">
        <v>734</v>
      </c>
      <c r="E200" s="167"/>
      <c r="F200" s="167"/>
      <c r="G200" s="167"/>
      <c r="H200" s="167"/>
      <c r="I200" s="167"/>
      <c r="J200" s="167"/>
      <c r="K200" s="167"/>
      <c r="L200" s="167">
        <v>98</v>
      </c>
      <c r="M200" s="167"/>
      <c r="N200" s="749">
        <f t="shared" si="25"/>
        <v>98</v>
      </c>
    </row>
    <row r="201" spans="1:14" s="177" customFormat="1" ht="15">
      <c r="A201" s="746">
        <v>194</v>
      </c>
      <c r="B201" s="1101"/>
      <c r="C201" s="1102"/>
      <c r="D201" s="180" t="s">
        <v>637</v>
      </c>
      <c r="E201" s="181">
        <f>SUM(E197:E200)</f>
        <v>26298</v>
      </c>
      <c r="F201" s="181">
        <f aca="true" t="shared" si="37" ref="F201:M201">SUM(F197:F200)</f>
        <v>0</v>
      </c>
      <c r="G201" s="181">
        <f t="shared" si="37"/>
        <v>4000</v>
      </c>
      <c r="H201" s="181">
        <f t="shared" si="37"/>
        <v>0</v>
      </c>
      <c r="I201" s="181">
        <f t="shared" si="37"/>
        <v>0</v>
      </c>
      <c r="J201" s="181">
        <f t="shared" si="37"/>
        <v>0</v>
      </c>
      <c r="K201" s="181">
        <f t="shared" si="37"/>
        <v>8992</v>
      </c>
      <c r="L201" s="181">
        <f t="shared" si="37"/>
        <v>60641</v>
      </c>
      <c r="M201" s="182">
        <f t="shared" si="37"/>
        <v>43500</v>
      </c>
      <c r="N201" s="164">
        <f t="shared" si="25"/>
        <v>99931</v>
      </c>
    </row>
    <row r="202" spans="1:14" s="169" customFormat="1" ht="15">
      <c r="A202" s="746">
        <v>195</v>
      </c>
      <c r="B202" s="170"/>
      <c r="C202" s="171">
        <v>1</v>
      </c>
      <c r="D202" s="172" t="s">
        <v>388</v>
      </c>
      <c r="E202" s="162"/>
      <c r="F202" s="162"/>
      <c r="G202" s="162"/>
      <c r="H202" s="162"/>
      <c r="I202" s="162"/>
      <c r="J202" s="162"/>
      <c r="K202" s="162"/>
      <c r="L202" s="162"/>
      <c r="M202" s="163"/>
      <c r="N202" s="164"/>
    </row>
    <row r="203" spans="1:14" s="169" customFormat="1" ht="15">
      <c r="A203" s="496">
        <v>196</v>
      </c>
      <c r="B203" s="170"/>
      <c r="C203" s="171"/>
      <c r="D203" s="172" t="s">
        <v>635</v>
      </c>
      <c r="E203" s="173"/>
      <c r="F203" s="173">
        <v>535</v>
      </c>
      <c r="G203" s="173"/>
      <c r="H203" s="173"/>
      <c r="I203" s="173"/>
      <c r="J203" s="173"/>
      <c r="K203" s="173"/>
      <c r="L203" s="173"/>
      <c r="M203" s="174"/>
      <c r="N203" s="747">
        <f t="shared" si="25"/>
        <v>535</v>
      </c>
    </row>
    <row r="204" spans="1:14" s="753" customFormat="1" ht="15">
      <c r="A204" s="746">
        <v>197</v>
      </c>
      <c r="B204" s="750"/>
      <c r="C204" s="751"/>
      <c r="D204" s="752" t="s">
        <v>636</v>
      </c>
      <c r="E204" s="174"/>
      <c r="F204" s="174">
        <v>801</v>
      </c>
      <c r="G204" s="174"/>
      <c r="H204" s="174"/>
      <c r="I204" s="174"/>
      <c r="J204" s="174"/>
      <c r="K204" s="174"/>
      <c r="L204" s="174"/>
      <c r="M204" s="174"/>
      <c r="N204" s="749">
        <f t="shared" si="25"/>
        <v>801</v>
      </c>
    </row>
    <row r="205" spans="1:14" s="759" customFormat="1" ht="15">
      <c r="A205" s="746">
        <v>198</v>
      </c>
      <c r="B205" s="754"/>
      <c r="C205" s="755"/>
      <c r="D205" s="756" t="s">
        <v>637</v>
      </c>
      <c r="E205" s="757">
        <f>SUM(E203:E204)</f>
        <v>0</v>
      </c>
      <c r="F205" s="757">
        <f aca="true" t="shared" si="38" ref="F205:M205">SUM(F203:F204)</f>
        <v>1336</v>
      </c>
      <c r="G205" s="757">
        <f t="shared" si="38"/>
        <v>0</v>
      </c>
      <c r="H205" s="757">
        <f t="shared" si="38"/>
        <v>0</v>
      </c>
      <c r="I205" s="757">
        <f t="shared" si="38"/>
        <v>0</v>
      </c>
      <c r="J205" s="757">
        <f t="shared" si="38"/>
        <v>0</v>
      </c>
      <c r="K205" s="757">
        <f t="shared" si="38"/>
        <v>0</v>
      </c>
      <c r="L205" s="757">
        <f t="shared" si="38"/>
        <v>0</v>
      </c>
      <c r="M205" s="758">
        <f t="shared" si="38"/>
        <v>0</v>
      </c>
      <c r="N205" s="164">
        <f t="shared" si="25"/>
        <v>1336</v>
      </c>
    </row>
    <row r="206" spans="1:14" s="158" customFormat="1" ht="24" customHeight="1">
      <c r="A206" s="496">
        <v>199</v>
      </c>
      <c r="B206" s="159">
        <v>15</v>
      </c>
      <c r="C206" s="160"/>
      <c r="D206" s="178" t="s">
        <v>399</v>
      </c>
      <c r="E206" s="173"/>
      <c r="F206" s="173"/>
      <c r="G206" s="173"/>
      <c r="H206" s="173"/>
      <c r="I206" s="173"/>
      <c r="J206" s="173"/>
      <c r="K206" s="173"/>
      <c r="L206" s="173"/>
      <c r="M206" s="174"/>
      <c r="N206" s="175"/>
    </row>
    <row r="207" spans="1:14" s="153" customFormat="1" ht="15">
      <c r="A207" s="746">
        <v>200</v>
      </c>
      <c r="B207" s="165"/>
      <c r="C207" s="156"/>
      <c r="D207" s="166" t="s">
        <v>635</v>
      </c>
      <c r="E207" s="162">
        <v>220000</v>
      </c>
      <c r="F207" s="162">
        <v>14525</v>
      </c>
      <c r="G207" s="162">
        <v>80000</v>
      </c>
      <c r="H207" s="162"/>
      <c r="I207" s="162"/>
      <c r="J207" s="162"/>
      <c r="K207" s="162"/>
      <c r="L207" s="162">
        <v>409004</v>
      </c>
      <c r="M207" s="163">
        <v>250800</v>
      </c>
      <c r="N207" s="747">
        <f t="shared" si="25"/>
        <v>723529</v>
      </c>
    </row>
    <row r="208" spans="1:14" s="154" customFormat="1" ht="15">
      <c r="A208" s="746">
        <v>201</v>
      </c>
      <c r="B208" s="176"/>
      <c r="C208" s="748"/>
      <c r="D208" s="183" t="s">
        <v>685</v>
      </c>
      <c r="E208" s="167"/>
      <c r="F208" s="167"/>
      <c r="G208" s="167"/>
      <c r="H208" s="167"/>
      <c r="I208" s="167"/>
      <c r="J208" s="167"/>
      <c r="K208" s="167"/>
      <c r="L208" s="167">
        <v>1131</v>
      </c>
      <c r="M208" s="167"/>
      <c r="N208" s="749">
        <f t="shared" si="25"/>
        <v>1131</v>
      </c>
    </row>
    <row r="209" spans="1:14" s="154" customFormat="1" ht="15">
      <c r="A209" s="496">
        <v>202</v>
      </c>
      <c r="B209" s="176"/>
      <c r="C209" s="748"/>
      <c r="D209" s="183" t="s">
        <v>704</v>
      </c>
      <c r="E209" s="167"/>
      <c r="F209" s="167"/>
      <c r="G209" s="167"/>
      <c r="H209" s="167"/>
      <c r="I209" s="167"/>
      <c r="J209" s="167"/>
      <c r="K209" s="167">
        <v>4017</v>
      </c>
      <c r="L209" s="167"/>
      <c r="M209" s="167"/>
      <c r="N209" s="749">
        <f t="shared" si="25"/>
        <v>4017</v>
      </c>
    </row>
    <row r="210" spans="1:14" s="154" customFormat="1" ht="15">
      <c r="A210" s="746">
        <v>203</v>
      </c>
      <c r="B210" s="176"/>
      <c r="C210" s="748"/>
      <c r="D210" s="183" t="s">
        <v>708</v>
      </c>
      <c r="E210" s="167"/>
      <c r="F210" s="167"/>
      <c r="G210" s="167"/>
      <c r="H210" s="167"/>
      <c r="I210" s="167">
        <v>10000</v>
      </c>
      <c r="J210" s="167">
        <v>2383</v>
      </c>
      <c r="K210" s="167"/>
      <c r="L210" s="167"/>
      <c r="M210" s="167"/>
      <c r="N210" s="749">
        <f t="shared" si="25"/>
        <v>12383</v>
      </c>
    </row>
    <row r="211" spans="1:14" s="154" customFormat="1" ht="15">
      <c r="A211" s="746">
        <v>204</v>
      </c>
      <c r="B211" s="176"/>
      <c r="C211" s="748"/>
      <c r="D211" s="183" t="s">
        <v>730</v>
      </c>
      <c r="E211" s="167"/>
      <c r="F211" s="167"/>
      <c r="G211" s="167"/>
      <c r="H211" s="167"/>
      <c r="I211" s="167"/>
      <c r="J211" s="167"/>
      <c r="K211" s="167"/>
      <c r="L211" s="167">
        <v>200</v>
      </c>
      <c r="M211" s="167"/>
      <c r="N211" s="749">
        <f t="shared" si="25"/>
        <v>200</v>
      </c>
    </row>
    <row r="212" spans="1:14" s="154" customFormat="1" ht="15">
      <c r="A212" s="496">
        <v>205</v>
      </c>
      <c r="B212" s="176"/>
      <c r="C212" s="748"/>
      <c r="D212" s="183" t="s">
        <v>734</v>
      </c>
      <c r="E212" s="167"/>
      <c r="F212" s="167"/>
      <c r="G212" s="167"/>
      <c r="H212" s="167"/>
      <c r="I212" s="167"/>
      <c r="J212" s="167"/>
      <c r="K212" s="167"/>
      <c r="L212" s="167">
        <v>498</v>
      </c>
      <c r="M212" s="167"/>
      <c r="N212" s="749">
        <f t="shared" si="25"/>
        <v>498</v>
      </c>
    </row>
    <row r="213" spans="1:14" s="177" customFormat="1" ht="15">
      <c r="A213" s="746">
        <v>206</v>
      </c>
      <c r="B213" s="1101"/>
      <c r="C213" s="1102"/>
      <c r="D213" s="180" t="s">
        <v>637</v>
      </c>
      <c r="E213" s="181">
        <f>SUM(E207:E212)</f>
        <v>220000</v>
      </c>
      <c r="F213" s="181">
        <f aca="true" t="shared" si="39" ref="F213:N213">SUM(F207:F212)</f>
        <v>14525</v>
      </c>
      <c r="G213" s="181">
        <f t="shared" si="39"/>
        <v>80000</v>
      </c>
      <c r="H213" s="181">
        <f t="shared" si="39"/>
        <v>0</v>
      </c>
      <c r="I213" s="181">
        <f t="shared" si="39"/>
        <v>10000</v>
      </c>
      <c r="J213" s="181">
        <f t="shared" si="39"/>
        <v>2383</v>
      </c>
      <c r="K213" s="181">
        <f t="shared" si="39"/>
        <v>4017</v>
      </c>
      <c r="L213" s="181">
        <f t="shared" si="39"/>
        <v>410833</v>
      </c>
      <c r="M213" s="182">
        <f t="shared" si="39"/>
        <v>250800</v>
      </c>
      <c r="N213" s="168">
        <f t="shared" si="39"/>
        <v>741758</v>
      </c>
    </row>
    <row r="214" spans="1:14" s="169" customFormat="1" ht="15">
      <c r="A214" s="746">
        <v>207</v>
      </c>
      <c r="B214" s="170"/>
      <c r="C214" s="171">
        <v>1</v>
      </c>
      <c r="D214" s="172" t="s">
        <v>388</v>
      </c>
      <c r="E214" s="162"/>
      <c r="F214" s="162"/>
      <c r="G214" s="162"/>
      <c r="H214" s="162"/>
      <c r="I214" s="162"/>
      <c r="J214" s="162"/>
      <c r="K214" s="162"/>
      <c r="L214" s="162"/>
      <c r="M214" s="163"/>
      <c r="N214" s="164"/>
    </row>
    <row r="215" spans="1:14" s="169" customFormat="1" ht="15">
      <c r="A215" s="496">
        <v>208</v>
      </c>
      <c r="B215" s="170"/>
      <c r="C215" s="171"/>
      <c r="D215" s="172" t="s">
        <v>635</v>
      </c>
      <c r="E215" s="173"/>
      <c r="F215" s="173"/>
      <c r="G215" s="173"/>
      <c r="H215" s="173"/>
      <c r="I215" s="173"/>
      <c r="J215" s="173"/>
      <c r="K215" s="173"/>
      <c r="L215" s="173"/>
      <c r="M215" s="174"/>
      <c r="N215" s="747">
        <f t="shared" si="25"/>
        <v>0</v>
      </c>
    </row>
    <row r="216" spans="1:14" s="753" customFormat="1" ht="15">
      <c r="A216" s="746">
        <v>209</v>
      </c>
      <c r="B216" s="750"/>
      <c r="C216" s="751"/>
      <c r="D216" s="752" t="s">
        <v>707</v>
      </c>
      <c r="E216" s="174"/>
      <c r="F216" s="174"/>
      <c r="G216" s="174"/>
      <c r="H216" s="174"/>
      <c r="I216" s="174"/>
      <c r="J216" s="174"/>
      <c r="K216" s="174">
        <v>213</v>
      </c>
      <c r="L216" s="174"/>
      <c r="M216" s="174"/>
      <c r="N216" s="749">
        <f t="shared" si="25"/>
        <v>213</v>
      </c>
    </row>
    <row r="217" spans="1:14" s="759" customFormat="1" ht="25.5" customHeight="1">
      <c r="A217" s="198">
        <v>210</v>
      </c>
      <c r="B217" s="754"/>
      <c r="C217" s="755"/>
      <c r="D217" s="756" t="s">
        <v>637</v>
      </c>
      <c r="E217" s="757">
        <f>SUM(E215:E216)</f>
        <v>0</v>
      </c>
      <c r="F217" s="757">
        <f aca="true" t="shared" si="40" ref="F217:M217">SUM(F215:F216)</f>
        <v>0</v>
      </c>
      <c r="G217" s="757">
        <f t="shared" si="40"/>
        <v>0</v>
      </c>
      <c r="H217" s="757">
        <f t="shared" si="40"/>
        <v>0</v>
      </c>
      <c r="I217" s="757">
        <f t="shared" si="40"/>
        <v>0</v>
      </c>
      <c r="J217" s="757">
        <f t="shared" si="40"/>
        <v>0</v>
      </c>
      <c r="K217" s="757">
        <f t="shared" si="40"/>
        <v>213</v>
      </c>
      <c r="L217" s="757">
        <f t="shared" si="40"/>
        <v>0</v>
      </c>
      <c r="M217" s="758">
        <f t="shared" si="40"/>
        <v>0</v>
      </c>
      <c r="N217" s="175">
        <f t="shared" si="25"/>
        <v>213</v>
      </c>
    </row>
    <row r="218" spans="1:15" s="154" customFormat="1" ht="15">
      <c r="A218" s="496">
        <v>211</v>
      </c>
      <c r="B218" s="176"/>
      <c r="C218" s="760"/>
      <c r="D218" s="760" t="s">
        <v>400</v>
      </c>
      <c r="E218" s="1126"/>
      <c r="F218" s="1126"/>
      <c r="G218" s="1126"/>
      <c r="H218" s="1126"/>
      <c r="I218" s="1126"/>
      <c r="J218" s="1126"/>
      <c r="K218" s="1126"/>
      <c r="L218" s="1126"/>
      <c r="M218" s="760"/>
      <c r="N218" s="1135"/>
      <c r="O218" s="153"/>
    </row>
    <row r="219" spans="1:14" s="153" customFormat="1" ht="15">
      <c r="A219" s="746">
        <v>212</v>
      </c>
      <c r="B219" s="165"/>
      <c r="C219" s="156"/>
      <c r="D219" s="1136" t="s">
        <v>635</v>
      </c>
      <c r="E219" s="155">
        <f aca="true" t="shared" si="41" ref="E219:M219">SUM(E215,E207,E203,E197,E193,E189,E180,E176,E172,E162,E155,E149,E142,E115)</f>
        <v>491658</v>
      </c>
      <c r="F219" s="155">
        <f t="shared" si="41"/>
        <v>72364</v>
      </c>
      <c r="G219" s="155">
        <f t="shared" si="41"/>
        <v>84000</v>
      </c>
      <c r="H219" s="155">
        <f t="shared" si="41"/>
        <v>0</v>
      </c>
      <c r="I219" s="155">
        <f t="shared" si="41"/>
        <v>0</v>
      </c>
      <c r="J219" s="155">
        <f t="shared" si="41"/>
        <v>0</v>
      </c>
      <c r="K219" s="155">
        <f t="shared" si="41"/>
        <v>0</v>
      </c>
      <c r="L219" s="155">
        <f t="shared" si="41"/>
        <v>1149277</v>
      </c>
      <c r="M219" s="167">
        <f t="shared" si="41"/>
        <v>684028</v>
      </c>
      <c r="N219" s="189">
        <f t="shared" si="25"/>
        <v>1797299</v>
      </c>
    </row>
    <row r="220" spans="1:14" s="154" customFormat="1" ht="30">
      <c r="A220" s="198">
        <v>213</v>
      </c>
      <c r="B220" s="176"/>
      <c r="C220" s="748"/>
      <c r="D220" s="838" t="s">
        <v>1147</v>
      </c>
      <c r="E220" s="167">
        <f aca="true" t="shared" si="42" ref="E220:J220">SUM(E216,E208:E210,E204,E198:E200,E194,E190,E181:E186,E177,E173,E163:E165,E156,E150:E152,E143,E116:E118)+E168+E167+E166+E121+E120+E119+E211+E122+E212+E123+E169+E138+E137+E136+E135+E134+E133+E132+E131+E130+E129+E128+E126+E127+E125+E124+E146+E139+E159</f>
        <v>0</v>
      </c>
      <c r="F220" s="167">
        <f t="shared" si="42"/>
        <v>12582</v>
      </c>
      <c r="G220" s="167">
        <f t="shared" si="42"/>
        <v>0</v>
      </c>
      <c r="H220" s="167">
        <f t="shared" si="42"/>
        <v>0</v>
      </c>
      <c r="I220" s="167">
        <f t="shared" si="42"/>
        <v>10000</v>
      </c>
      <c r="J220" s="167">
        <f t="shared" si="42"/>
        <v>2383</v>
      </c>
      <c r="K220" s="167">
        <f>SUM(K216,K208:K210,K204,K198:K200,K194,K190,K181:K186,K177,K173,K163:K165,K156,K150:K152,K143,K116:K118)+K168+K167+K166+K121+K120+K119+K211+K122+K212+K123+K169+K138+K137+K136+K135+K134+K133+K132+K131+K130+K129+K128+K126+K127+K125+K124+K146+K139+K159</f>
        <v>97238</v>
      </c>
      <c r="L220" s="167">
        <f>SUM(L216,L208:L210,L204,L198:L200,L194,L190,L181:L186,L177,L173,L163:L165,L156,L150:L152,L143,L116:L118)+L168+L167+L166+L121+L120+L119+L211+L122+L212+L123+L169+L138+L137+L136+L135+L134+L133+L132+L131+L130+L129+L128+L126+L127+L125+L124+L146+L139+L159</f>
        <v>50729</v>
      </c>
      <c r="M220" s="167">
        <f>SUM(M216,M208:M210,M204,M198:M200,M194,M190,M181:M186,M177,M173,M163:M165,M156,M150:M152,M143,M116:M118)+M168+M167+M166+M121+M120+M119+M211+M122+M212+M123+M169+M138+M137+M136+M135+M134+M133+M132+M131+M130+M129+M128+M126+M127+M125+M124+M146+M139+M159</f>
        <v>0</v>
      </c>
      <c r="N220" s="167">
        <f>SUM(N216,N208:N210,N204,N198:N200,N194,N190,N181:N186,N177,N173,N163:N165,N156,N150:N152,N143,N116:N118)+N168+N167+N166+N121+N120+N119+N211+N122+N212+N123+N169+N138+N137+N136+N135+N134+N133+N132+N131+N130+N129+N128+N126+N127+N125+N124+N146+N139+N159</f>
        <v>172932</v>
      </c>
    </row>
    <row r="221" spans="1:14" s="177" customFormat="1" ht="15">
      <c r="A221" s="496">
        <v>214</v>
      </c>
      <c r="B221" s="1101"/>
      <c r="C221" s="761"/>
      <c r="D221" s="1138" t="s">
        <v>637</v>
      </c>
      <c r="E221" s="763">
        <f>SUM(E219:E220)</f>
        <v>491658</v>
      </c>
      <c r="F221" s="763">
        <f aca="true" t="shared" si="43" ref="F221:M221">SUM(F219:F220)</f>
        <v>84946</v>
      </c>
      <c r="G221" s="763">
        <f t="shared" si="43"/>
        <v>84000</v>
      </c>
      <c r="H221" s="763">
        <f t="shared" si="43"/>
        <v>0</v>
      </c>
      <c r="I221" s="763">
        <f t="shared" si="43"/>
        <v>10000</v>
      </c>
      <c r="J221" s="763">
        <f t="shared" si="43"/>
        <v>2383</v>
      </c>
      <c r="K221" s="763">
        <f t="shared" si="43"/>
        <v>97238</v>
      </c>
      <c r="L221" s="763">
        <f t="shared" si="43"/>
        <v>1200006</v>
      </c>
      <c r="M221" s="1127">
        <f t="shared" si="43"/>
        <v>684028</v>
      </c>
      <c r="N221" s="780">
        <f>SUM(E221:L221)</f>
        <v>1970231</v>
      </c>
    </row>
    <row r="222" spans="1:14" s="774" customFormat="1" ht="30" customHeight="1">
      <c r="A222" s="746">
        <v>215</v>
      </c>
      <c r="B222" s="159">
        <v>16</v>
      </c>
      <c r="C222" s="160"/>
      <c r="D222" s="773" t="s">
        <v>194</v>
      </c>
      <c r="E222" s="163"/>
      <c r="F222" s="163"/>
      <c r="G222" s="163"/>
      <c r="H222" s="163"/>
      <c r="I222" s="163"/>
      <c r="J222" s="163"/>
      <c r="K222" s="163"/>
      <c r="L222" s="163"/>
      <c r="M222" s="163"/>
      <c r="N222" s="749"/>
    </row>
    <row r="223" spans="1:14" s="153" customFormat="1" ht="15">
      <c r="A223" s="746">
        <v>216</v>
      </c>
      <c r="B223" s="165"/>
      <c r="C223" s="156"/>
      <c r="D223" s="166" t="s">
        <v>635</v>
      </c>
      <c r="E223" s="162">
        <v>378716</v>
      </c>
      <c r="F223" s="162"/>
      <c r="G223" s="162"/>
      <c r="H223" s="162"/>
      <c r="I223" s="162"/>
      <c r="J223" s="162"/>
      <c r="K223" s="162"/>
      <c r="L223" s="162">
        <v>744359</v>
      </c>
      <c r="M223" s="163">
        <v>160690</v>
      </c>
      <c r="N223" s="747">
        <f>SUM(E223:L223)</f>
        <v>1123075</v>
      </c>
    </row>
    <row r="224" spans="1:14" s="154" customFormat="1" ht="15">
      <c r="A224" s="496">
        <v>217</v>
      </c>
      <c r="B224" s="176"/>
      <c r="C224" s="748"/>
      <c r="D224" s="183" t="s">
        <v>685</v>
      </c>
      <c r="E224" s="167"/>
      <c r="F224" s="167"/>
      <c r="G224" s="167"/>
      <c r="H224" s="167"/>
      <c r="I224" s="167"/>
      <c r="J224" s="167"/>
      <c r="K224" s="167"/>
      <c r="L224" s="167">
        <v>2069</v>
      </c>
      <c r="M224" s="167"/>
      <c r="N224" s="749">
        <f>SUM(E224:L224)</f>
        <v>2069</v>
      </c>
    </row>
    <row r="225" spans="1:14" s="154" customFormat="1" ht="15">
      <c r="A225" s="746">
        <v>218</v>
      </c>
      <c r="B225" s="176"/>
      <c r="C225" s="748"/>
      <c r="D225" s="183" t="s">
        <v>704</v>
      </c>
      <c r="E225" s="167"/>
      <c r="F225" s="167"/>
      <c r="G225" s="167"/>
      <c r="H225" s="167"/>
      <c r="I225" s="167"/>
      <c r="J225" s="167"/>
      <c r="K225" s="167">
        <v>5221</v>
      </c>
      <c r="L225" s="167"/>
      <c r="M225" s="167"/>
      <c r="N225" s="749">
        <f>SUM(E225:L225)</f>
        <v>5221</v>
      </c>
    </row>
    <row r="226" spans="1:14" s="154" customFormat="1" ht="15">
      <c r="A226" s="746">
        <v>219</v>
      </c>
      <c r="B226" s="176"/>
      <c r="C226" s="748"/>
      <c r="D226" s="183" t="s">
        <v>734</v>
      </c>
      <c r="E226" s="167"/>
      <c r="F226" s="167"/>
      <c r="G226" s="167"/>
      <c r="H226" s="167"/>
      <c r="I226" s="167"/>
      <c r="J226" s="167"/>
      <c r="K226" s="167"/>
      <c r="L226" s="167">
        <v>654</v>
      </c>
      <c r="M226" s="167"/>
      <c r="N226" s="749">
        <f>SUM(E226:L226)</f>
        <v>654</v>
      </c>
    </row>
    <row r="227" spans="1:14" s="759" customFormat="1" ht="25.5" customHeight="1" thickBot="1">
      <c r="A227" s="495">
        <v>220</v>
      </c>
      <c r="B227" s="754"/>
      <c r="C227" s="755"/>
      <c r="D227" s="784" t="s">
        <v>637</v>
      </c>
      <c r="E227" s="757">
        <f>SUM(E223:E226)</f>
        <v>378716</v>
      </c>
      <c r="F227" s="757">
        <f aca="true" t="shared" si="44" ref="F227:M227">SUM(F223:F226)</f>
        <v>0</v>
      </c>
      <c r="G227" s="757">
        <f t="shared" si="44"/>
        <v>0</v>
      </c>
      <c r="H227" s="757">
        <f t="shared" si="44"/>
        <v>0</v>
      </c>
      <c r="I227" s="757">
        <f t="shared" si="44"/>
        <v>0</v>
      </c>
      <c r="J227" s="757">
        <f t="shared" si="44"/>
        <v>0</v>
      </c>
      <c r="K227" s="757">
        <f t="shared" si="44"/>
        <v>5221</v>
      </c>
      <c r="L227" s="757">
        <f t="shared" si="44"/>
        <v>747082</v>
      </c>
      <c r="M227" s="758">
        <f t="shared" si="44"/>
        <v>160690</v>
      </c>
      <c r="N227" s="175">
        <f>SUM(E227:L227)</f>
        <v>1131019</v>
      </c>
    </row>
    <row r="228" spans="1:17" ht="15">
      <c r="A228" s="746">
        <v>221</v>
      </c>
      <c r="B228" s="1107"/>
      <c r="C228" s="1403" t="s">
        <v>401</v>
      </c>
      <c r="D228" s="1403"/>
      <c r="E228" s="765"/>
      <c r="F228" s="765"/>
      <c r="G228" s="765"/>
      <c r="H228" s="765"/>
      <c r="I228" s="765"/>
      <c r="J228" s="765"/>
      <c r="K228" s="765"/>
      <c r="L228" s="765"/>
      <c r="M228" s="767"/>
      <c r="N228" s="768"/>
      <c r="O228" s="153"/>
      <c r="P228" s="153"/>
      <c r="Q228" s="153"/>
    </row>
    <row r="229" spans="1:14" s="169" customFormat="1" ht="15">
      <c r="A229" s="746">
        <v>222</v>
      </c>
      <c r="B229" s="170"/>
      <c r="C229" s="171"/>
      <c r="D229" s="172" t="s">
        <v>635</v>
      </c>
      <c r="E229" s="173">
        <f aca="true" t="shared" si="45" ref="E229:N229">SUM(E74,E111,E219,E223)</f>
        <v>1082274</v>
      </c>
      <c r="F229" s="173">
        <f t="shared" si="45"/>
        <v>75136</v>
      </c>
      <c r="G229" s="173">
        <f t="shared" si="45"/>
        <v>84000</v>
      </c>
      <c r="H229" s="173">
        <f t="shared" si="45"/>
        <v>2289</v>
      </c>
      <c r="I229" s="173">
        <f t="shared" si="45"/>
        <v>0</v>
      </c>
      <c r="J229" s="173">
        <f t="shared" si="45"/>
        <v>0</v>
      </c>
      <c r="K229" s="173">
        <f t="shared" si="45"/>
        <v>0</v>
      </c>
      <c r="L229" s="173">
        <f t="shared" si="45"/>
        <v>3787838</v>
      </c>
      <c r="M229" s="174">
        <f t="shared" si="45"/>
        <v>2253334</v>
      </c>
      <c r="N229" s="747">
        <f t="shared" si="45"/>
        <v>5031537</v>
      </c>
    </row>
    <row r="230" spans="1:14" s="753" customFormat="1" ht="30">
      <c r="A230" s="495">
        <v>223</v>
      </c>
      <c r="B230" s="750"/>
      <c r="C230" s="751"/>
      <c r="D230" s="1140" t="s">
        <v>1147</v>
      </c>
      <c r="E230" s="174">
        <f aca="true" t="shared" si="46" ref="E230:N230">SUM(E224:E226,E220,E112,E75)</f>
        <v>0</v>
      </c>
      <c r="F230" s="174">
        <f t="shared" si="46"/>
        <v>24562</v>
      </c>
      <c r="G230" s="174">
        <f t="shared" si="46"/>
        <v>0</v>
      </c>
      <c r="H230" s="174">
        <f t="shared" si="46"/>
        <v>0</v>
      </c>
      <c r="I230" s="174">
        <f t="shared" si="46"/>
        <v>10000</v>
      </c>
      <c r="J230" s="174">
        <f t="shared" si="46"/>
        <v>2383</v>
      </c>
      <c r="K230" s="174">
        <f t="shared" si="46"/>
        <v>216837</v>
      </c>
      <c r="L230" s="174">
        <f t="shared" si="46"/>
        <v>76576</v>
      </c>
      <c r="M230" s="174">
        <f t="shared" si="46"/>
        <v>0</v>
      </c>
      <c r="N230" s="775">
        <f t="shared" si="46"/>
        <v>330358</v>
      </c>
    </row>
    <row r="231" spans="1:14" s="759" customFormat="1" ht="15.75" thickBot="1">
      <c r="A231" s="746">
        <v>224</v>
      </c>
      <c r="B231" s="769"/>
      <c r="C231" s="770"/>
      <c r="D231" s="771" t="s">
        <v>637</v>
      </c>
      <c r="E231" s="772">
        <f>SUM(E229:E230)</f>
        <v>1082274</v>
      </c>
      <c r="F231" s="772">
        <f aca="true" t="shared" si="47" ref="F231:N231">SUM(F229:F230)</f>
        <v>99698</v>
      </c>
      <c r="G231" s="772">
        <f t="shared" si="47"/>
        <v>84000</v>
      </c>
      <c r="H231" s="772">
        <f t="shared" si="47"/>
        <v>2289</v>
      </c>
      <c r="I231" s="772">
        <f t="shared" si="47"/>
        <v>10000</v>
      </c>
      <c r="J231" s="772">
        <f t="shared" si="47"/>
        <v>2383</v>
      </c>
      <c r="K231" s="772">
        <f t="shared" si="47"/>
        <v>216837</v>
      </c>
      <c r="L231" s="772">
        <f t="shared" si="47"/>
        <v>3864414</v>
      </c>
      <c r="M231" s="1129">
        <f t="shared" si="47"/>
        <v>2253334</v>
      </c>
      <c r="N231" s="776">
        <f t="shared" si="47"/>
        <v>5361895</v>
      </c>
    </row>
    <row r="232" spans="1:14" s="158" customFormat="1" ht="25.5" customHeight="1">
      <c r="A232" s="746">
        <v>225</v>
      </c>
      <c r="B232" s="159">
        <v>17</v>
      </c>
      <c r="C232" s="160"/>
      <c r="D232" s="1404" t="s">
        <v>405</v>
      </c>
      <c r="E232" s="1404"/>
      <c r="F232" s="1404"/>
      <c r="G232" s="162"/>
      <c r="H232" s="162"/>
      <c r="I232" s="162"/>
      <c r="J232" s="162"/>
      <c r="K232" s="162"/>
      <c r="L232" s="162"/>
      <c r="M232" s="163"/>
      <c r="N232" s="164"/>
    </row>
    <row r="233" spans="1:14" s="153" customFormat="1" ht="15">
      <c r="A233" s="496">
        <v>226</v>
      </c>
      <c r="B233" s="165"/>
      <c r="C233" s="156"/>
      <c r="D233" s="166" t="s">
        <v>635</v>
      </c>
      <c r="E233" s="162"/>
      <c r="F233" s="162"/>
      <c r="G233" s="162"/>
      <c r="H233" s="162"/>
      <c r="I233" s="162"/>
      <c r="J233" s="162"/>
      <c r="K233" s="162"/>
      <c r="L233" s="162">
        <v>1377407</v>
      </c>
      <c r="M233" s="163"/>
      <c r="N233" s="747">
        <f aca="true" t="shared" si="48" ref="N233:N244">SUM(E233:L233)</f>
        <v>1377407</v>
      </c>
    </row>
    <row r="234" spans="1:14" s="154" customFormat="1" ht="15">
      <c r="A234" s="746">
        <v>227</v>
      </c>
      <c r="B234" s="176"/>
      <c r="C234" s="748"/>
      <c r="D234" s="183" t="s">
        <v>685</v>
      </c>
      <c r="E234" s="167"/>
      <c r="F234" s="167"/>
      <c r="G234" s="167"/>
      <c r="H234" s="167"/>
      <c r="I234" s="167"/>
      <c r="J234" s="167"/>
      <c r="K234" s="167"/>
      <c r="L234" s="167">
        <v>2143</v>
      </c>
      <c r="M234" s="167"/>
      <c r="N234" s="749">
        <f t="shared" si="48"/>
        <v>2143</v>
      </c>
    </row>
    <row r="235" spans="1:14" s="154" customFormat="1" ht="15">
      <c r="A235" s="746">
        <v>228</v>
      </c>
      <c r="B235" s="176"/>
      <c r="C235" s="748"/>
      <c r="D235" s="183" t="s">
        <v>704</v>
      </c>
      <c r="E235" s="167"/>
      <c r="F235" s="167"/>
      <c r="G235" s="167"/>
      <c r="H235" s="167"/>
      <c r="I235" s="167"/>
      <c r="J235" s="167"/>
      <c r="K235" s="167">
        <v>145507</v>
      </c>
      <c r="L235" s="167"/>
      <c r="M235" s="167"/>
      <c r="N235" s="749">
        <f t="shared" si="48"/>
        <v>145507</v>
      </c>
    </row>
    <row r="236" spans="1:14" s="154" customFormat="1" ht="15">
      <c r="A236" s="496">
        <v>229</v>
      </c>
      <c r="B236" s="176"/>
      <c r="C236" s="748"/>
      <c r="D236" s="183" t="s">
        <v>968</v>
      </c>
      <c r="E236" s="167"/>
      <c r="F236" s="167"/>
      <c r="G236" s="167"/>
      <c r="H236" s="167"/>
      <c r="I236" s="167"/>
      <c r="J236" s="167"/>
      <c r="K236" s="167"/>
      <c r="L236" s="167">
        <v>-41599</v>
      </c>
      <c r="M236" s="167"/>
      <c r="N236" s="749">
        <f t="shared" si="48"/>
        <v>-41599</v>
      </c>
    </row>
    <row r="237" spans="1:14" s="177" customFormat="1" ht="15">
      <c r="A237" s="746">
        <v>230</v>
      </c>
      <c r="B237" s="1101"/>
      <c r="C237" s="1102"/>
      <c r="D237" s="180" t="s">
        <v>637</v>
      </c>
      <c r="E237" s="181">
        <f>SUM(E233:E236)</f>
        <v>0</v>
      </c>
      <c r="F237" s="181">
        <f aca="true" t="shared" si="49" ref="F237:M237">SUM(F233:F236)</f>
        <v>0</v>
      </c>
      <c r="G237" s="181">
        <f t="shared" si="49"/>
        <v>0</v>
      </c>
      <c r="H237" s="181">
        <f t="shared" si="49"/>
        <v>0</v>
      </c>
      <c r="I237" s="181">
        <f t="shared" si="49"/>
        <v>0</v>
      </c>
      <c r="J237" s="181">
        <f t="shared" si="49"/>
        <v>0</v>
      </c>
      <c r="K237" s="181">
        <f t="shared" si="49"/>
        <v>145507</v>
      </c>
      <c r="L237" s="181">
        <f t="shared" si="49"/>
        <v>1337951</v>
      </c>
      <c r="M237" s="182">
        <f t="shared" si="49"/>
        <v>0</v>
      </c>
      <c r="N237" s="164">
        <f t="shared" si="48"/>
        <v>1483458</v>
      </c>
    </row>
    <row r="238" spans="1:14" s="177" customFormat="1" ht="45">
      <c r="A238" s="198">
        <v>231</v>
      </c>
      <c r="B238" s="1101"/>
      <c r="C238" s="1102"/>
      <c r="D238" s="1100" t="s">
        <v>435</v>
      </c>
      <c r="E238" s="181"/>
      <c r="F238" s="181"/>
      <c r="G238" s="181"/>
      <c r="H238" s="181"/>
      <c r="I238" s="181"/>
      <c r="J238" s="181"/>
      <c r="K238" s="181"/>
      <c r="L238" s="181"/>
      <c r="M238" s="182"/>
      <c r="N238" s="164"/>
    </row>
    <row r="239" spans="1:14" s="154" customFormat="1" ht="15">
      <c r="A239" s="496">
        <v>232</v>
      </c>
      <c r="B239" s="176"/>
      <c r="C239" s="748"/>
      <c r="D239" s="183" t="s">
        <v>738</v>
      </c>
      <c r="E239" s="167"/>
      <c r="F239" s="167">
        <v>440</v>
      </c>
      <c r="G239" s="167"/>
      <c r="H239" s="167"/>
      <c r="I239" s="167"/>
      <c r="J239" s="167"/>
      <c r="K239" s="167"/>
      <c r="L239" s="167"/>
      <c r="M239" s="167"/>
      <c r="N239" s="749">
        <f>SUM(E239:M239)</f>
        <v>440</v>
      </c>
    </row>
    <row r="240" spans="1:14" s="177" customFormat="1" ht="15">
      <c r="A240" s="746">
        <v>233</v>
      </c>
      <c r="B240" s="1101"/>
      <c r="C240" s="1102"/>
      <c r="D240" s="180" t="s">
        <v>637</v>
      </c>
      <c r="E240" s="181">
        <f>SUM(E239)</f>
        <v>0</v>
      </c>
      <c r="F240" s="181">
        <f>SUM(F239)</f>
        <v>440</v>
      </c>
      <c r="G240" s="181">
        <f aca="true" t="shared" si="50" ref="G240:N240">SUM(G239)</f>
        <v>0</v>
      </c>
      <c r="H240" s="181">
        <f t="shared" si="50"/>
        <v>0</v>
      </c>
      <c r="I240" s="181">
        <f t="shared" si="50"/>
        <v>0</v>
      </c>
      <c r="J240" s="181">
        <f t="shared" si="50"/>
        <v>0</v>
      </c>
      <c r="K240" s="181">
        <f t="shared" si="50"/>
        <v>0</v>
      </c>
      <c r="L240" s="181">
        <f t="shared" si="50"/>
        <v>0</v>
      </c>
      <c r="M240" s="182">
        <f t="shared" si="50"/>
        <v>0</v>
      </c>
      <c r="N240" s="168">
        <f t="shared" si="50"/>
        <v>440</v>
      </c>
    </row>
    <row r="241" spans="1:14" s="158" customFormat="1" ht="19.5" customHeight="1">
      <c r="A241" s="746">
        <v>234</v>
      </c>
      <c r="B241" s="159"/>
      <c r="C241" s="160">
        <v>1</v>
      </c>
      <c r="D241" s="1376" t="s">
        <v>1167</v>
      </c>
      <c r="E241" s="162"/>
      <c r="F241" s="162"/>
      <c r="G241" s="162"/>
      <c r="H241" s="162"/>
      <c r="I241" s="162"/>
      <c r="J241" s="162"/>
      <c r="K241" s="162"/>
      <c r="L241" s="162"/>
      <c r="M241" s="163"/>
      <c r="N241" s="164"/>
    </row>
    <row r="242" spans="1:14" s="169" customFormat="1" ht="15">
      <c r="A242" s="496">
        <v>235</v>
      </c>
      <c r="B242" s="170"/>
      <c r="C242" s="171"/>
      <c r="D242" s="782" t="s">
        <v>635</v>
      </c>
      <c r="E242" s="173"/>
      <c r="F242" s="173">
        <v>9170</v>
      </c>
      <c r="G242" s="173"/>
      <c r="H242" s="173"/>
      <c r="I242" s="173"/>
      <c r="J242" s="173"/>
      <c r="K242" s="173"/>
      <c r="L242" s="173"/>
      <c r="M242" s="174"/>
      <c r="N242" s="747">
        <f t="shared" si="48"/>
        <v>9170</v>
      </c>
    </row>
    <row r="243" spans="1:14" s="753" customFormat="1" ht="15">
      <c r="A243" s="746">
        <v>236</v>
      </c>
      <c r="B243" s="750"/>
      <c r="C243" s="751"/>
      <c r="D243" s="783" t="s">
        <v>636</v>
      </c>
      <c r="E243" s="174"/>
      <c r="F243" s="174">
        <v>600</v>
      </c>
      <c r="G243" s="174"/>
      <c r="H243" s="174"/>
      <c r="I243" s="174"/>
      <c r="J243" s="174"/>
      <c r="K243" s="174"/>
      <c r="L243" s="174"/>
      <c r="M243" s="174"/>
      <c r="N243" s="749">
        <f t="shared" si="48"/>
        <v>600</v>
      </c>
    </row>
    <row r="244" spans="1:14" s="759" customFormat="1" ht="15">
      <c r="A244" s="746">
        <v>237</v>
      </c>
      <c r="B244" s="754"/>
      <c r="C244" s="755"/>
      <c r="D244" s="784" t="s">
        <v>637</v>
      </c>
      <c r="E244" s="757">
        <f>SUM(E242:E243)</f>
        <v>0</v>
      </c>
      <c r="F244" s="757">
        <f aca="true" t="shared" si="51" ref="F244:M244">SUM(F242:F243)</f>
        <v>9770</v>
      </c>
      <c r="G244" s="757">
        <f t="shared" si="51"/>
        <v>0</v>
      </c>
      <c r="H244" s="757">
        <f t="shared" si="51"/>
        <v>0</v>
      </c>
      <c r="I244" s="757">
        <f t="shared" si="51"/>
        <v>0</v>
      </c>
      <c r="J244" s="757">
        <f t="shared" si="51"/>
        <v>0</v>
      </c>
      <c r="K244" s="757">
        <f t="shared" si="51"/>
        <v>0</v>
      </c>
      <c r="L244" s="757">
        <f t="shared" si="51"/>
        <v>0</v>
      </c>
      <c r="M244" s="758">
        <f t="shared" si="51"/>
        <v>0</v>
      </c>
      <c r="N244" s="175">
        <f t="shared" si="48"/>
        <v>9770</v>
      </c>
    </row>
    <row r="245" spans="1:15" s="154" customFormat="1" ht="19.5" customHeight="1">
      <c r="A245" s="187">
        <v>238</v>
      </c>
      <c r="B245" s="176"/>
      <c r="C245" s="760"/>
      <c r="D245" s="760" t="s">
        <v>402</v>
      </c>
      <c r="E245" s="1126"/>
      <c r="F245" s="1126"/>
      <c r="G245" s="1126"/>
      <c r="H245" s="1126"/>
      <c r="I245" s="1126"/>
      <c r="J245" s="1126"/>
      <c r="K245" s="1126"/>
      <c r="L245" s="1126"/>
      <c r="M245" s="760"/>
      <c r="N245" s="1135"/>
      <c r="O245" s="153"/>
    </row>
    <row r="246" spans="1:14" s="153" customFormat="1" ht="19.5" customHeight="1">
      <c r="A246" s="217">
        <v>239</v>
      </c>
      <c r="B246" s="165"/>
      <c r="C246" s="156"/>
      <c r="D246" s="1136" t="s">
        <v>635</v>
      </c>
      <c r="E246" s="155">
        <f>SUM(E242,E233)</f>
        <v>0</v>
      </c>
      <c r="F246" s="155">
        <f aca="true" t="shared" si="52" ref="F246:M246">SUM(F242,F233)</f>
        <v>9170</v>
      </c>
      <c r="G246" s="155">
        <f t="shared" si="52"/>
        <v>0</v>
      </c>
      <c r="H246" s="155">
        <f t="shared" si="52"/>
        <v>0</v>
      </c>
      <c r="I246" s="155">
        <f t="shared" si="52"/>
        <v>0</v>
      </c>
      <c r="J246" s="155">
        <f t="shared" si="52"/>
        <v>0</v>
      </c>
      <c r="K246" s="155">
        <f t="shared" si="52"/>
        <v>0</v>
      </c>
      <c r="L246" s="155">
        <f t="shared" si="52"/>
        <v>1377407</v>
      </c>
      <c r="M246" s="167">
        <f t="shared" si="52"/>
        <v>0</v>
      </c>
      <c r="N246" s="189">
        <f>SUM(E246:L246)</f>
        <v>1386577</v>
      </c>
    </row>
    <row r="247" spans="1:14" s="154" customFormat="1" ht="19.5" customHeight="1">
      <c r="A247" s="217">
        <v>240</v>
      </c>
      <c r="B247" s="176"/>
      <c r="C247" s="748"/>
      <c r="D247" s="1137" t="s">
        <v>636</v>
      </c>
      <c r="E247" s="167">
        <f>SUM(E243,E234:E236)</f>
        <v>0</v>
      </c>
      <c r="F247" s="167">
        <f>SUM(F243,F234:F236)+F239</f>
        <v>1040</v>
      </c>
      <c r="G247" s="167">
        <f aca="true" t="shared" si="53" ref="G247:N247">SUM(G243,G234:G236)+G239</f>
        <v>0</v>
      </c>
      <c r="H247" s="167">
        <f t="shared" si="53"/>
        <v>0</v>
      </c>
      <c r="I247" s="167">
        <f t="shared" si="53"/>
        <v>0</v>
      </c>
      <c r="J247" s="167">
        <f t="shared" si="53"/>
        <v>0</v>
      </c>
      <c r="K247" s="167">
        <f t="shared" si="53"/>
        <v>145507</v>
      </c>
      <c r="L247" s="167">
        <f t="shared" si="53"/>
        <v>-39456</v>
      </c>
      <c r="M247" s="167">
        <f t="shared" si="53"/>
        <v>0</v>
      </c>
      <c r="N247" s="195">
        <f t="shared" si="53"/>
        <v>107091</v>
      </c>
    </row>
    <row r="248" spans="1:14" s="177" customFormat="1" ht="19.5" customHeight="1" thickBot="1">
      <c r="A248" s="187">
        <v>241</v>
      </c>
      <c r="B248" s="825"/>
      <c r="C248" s="826"/>
      <c r="D248" s="1142" t="s">
        <v>637</v>
      </c>
      <c r="E248" s="1143">
        <f>SUM(E246:E247)</f>
        <v>0</v>
      </c>
      <c r="F248" s="1143">
        <f aca="true" t="shared" si="54" ref="F248:M248">SUM(F246:F247)</f>
        <v>10210</v>
      </c>
      <c r="G248" s="1143">
        <f t="shared" si="54"/>
        <v>0</v>
      </c>
      <c r="H248" s="1143">
        <f t="shared" si="54"/>
        <v>0</v>
      </c>
      <c r="I248" s="1143">
        <f t="shared" si="54"/>
        <v>0</v>
      </c>
      <c r="J248" s="1143">
        <f t="shared" si="54"/>
        <v>0</v>
      </c>
      <c r="K248" s="1143">
        <f t="shared" si="54"/>
        <v>145507</v>
      </c>
      <c r="L248" s="1143">
        <f t="shared" si="54"/>
        <v>1337951</v>
      </c>
      <c r="M248" s="1144">
        <f t="shared" si="54"/>
        <v>0</v>
      </c>
      <c r="N248" s="1145">
        <f>SUM(E248:L248)</f>
        <v>1493668</v>
      </c>
    </row>
    <row r="249" spans="1:17" s="1141" customFormat="1" ht="33" customHeight="1">
      <c r="A249" s="217">
        <v>242</v>
      </c>
      <c r="B249" s="1107"/>
      <c r="C249" s="1403" t="s">
        <v>19</v>
      </c>
      <c r="D249" s="1403"/>
      <c r="E249" s="765"/>
      <c r="F249" s="765"/>
      <c r="G249" s="765"/>
      <c r="H249" s="765"/>
      <c r="I249" s="765"/>
      <c r="J249" s="765"/>
      <c r="K249" s="765"/>
      <c r="L249" s="765"/>
      <c r="M249" s="767"/>
      <c r="N249" s="768"/>
      <c r="O249" s="153"/>
      <c r="P249" s="153"/>
      <c r="Q249" s="153"/>
    </row>
    <row r="250" spans="1:14" s="153" customFormat="1" ht="19.5" customHeight="1">
      <c r="A250" s="217">
        <v>243</v>
      </c>
      <c r="B250" s="165"/>
      <c r="C250" s="156"/>
      <c r="D250" s="1146" t="s">
        <v>635</v>
      </c>
      <c r="E250" s="155">
        <f aca="true" t="shared" si="55" ref="E250:M250">SUM(E229,E246)</f>
        <v>1082274</v>
      </c>
      <c r="F250" s="155">
        <f t="shared" si="55"/>
        <v>84306</v>
      </c>
      <c r="G250" s="155">
        <f t="shared" si="55"/>
        <v>84000</v>
      </c>
      <c r="H250" s="155">
        <f t="shared" si="55"/>
        <v>2289</v>
      </c>
      <c r="I250" s="155">
        <f t="shared" si="55"/>
        <v>0</v>
      </c>
      <c r="J250" s="155">
        <f t="shared" si="55"/>
        <v>0</v>
      </c>
      <c r="K250" s="155">
        <f t="shared" si="55"/>
        <v>0</v>
      </c>
      <c r="L250" s="155">
        <f t="shared" si="55"/>
        <v>5165245</v>
      </c>
      <c r="M250" s="167">
        <f t="shared" si="55"/>
        <v>2253334</v>
      </c>
      <c r="N250" s="189">
        <f>SUM(E250:L250)</f>
        <v>6418114</v>
      </c>
    </row>
    <row r="251" spans="1:14" s="154" customFormat="1" ht="30">
      <c r="A251" s="495">
        <v>244</v>
      </c>
      <c r="B251" s="176"/>
      <c r="C251" s="748"/>
      <c r="D251" s="1140" t="s">
        <v>1147</v>
      </c>
      <c r="E251" s="167">
        <f>SUM(E247,E230)</f>
        <v>0</v>
      </c>
      <c r="F251" s="167">
        <f aca="true" t="shared" si="56" ref="F251:M251">SUM(F247,F230)</f>
        <v>25602</v>
      </c>
      <c r="G251" s="167">
        <f t="shared" si="56"/>
        <v>0</v>
      </c>
      <c r="H251" s="167">
        <f t="shared" si="56"/>
        <v>0</v>
      </c>
      <c r="I251" s="167">
        <f t="shared" si="56"/>
        <v>10000</v>
      </c>
      <c r="J251" s="167">
        <f t="shared" si="56"/>
        <v>2383</v>
      </c>
      <c r="K251" s="167">
        <f t="shared" si="56"/>
        <v>362344</v>
      </c>
      <c r="L251" s="167">
        <f t="shared" si="56"/>
        <v>37120</v>
      </c>
      <c r="M251" s="167">
        <f t="shared" si="56"/>
        <v>0</v>
      </c>
      <c r="N251" s="195">
        <f>SUM(E251:L251)</f>
        <v>437449</v>
      </c>
    </row>
    <row r="252" spans="1:14" s="177" customFormat="1" ht="19.5" customHeight="1" thickBot="1">
      <c r="A252" s="217">
        <v>245</v>
      </c>
      <c r="B252" s="825"/>
      <c r="C252" s="826"/>
      <c r="D252" s="1147" t="s">
        <v>637</v>
      </c>
      <c r="E252" s="1143">
        <f>SUM(E250:E251)</f>
        <v>1082274</v>
      </c>
      <c r="F252" s="1143">
        <f aca="true" t="shared" si="57" ref="F252:M252">SUM(F250:F251)</f>
        <v>109908</v>
      </c>
      <c r="G252" s="1143">
        <f t="shared" si="57"/>
        <v>84000</v>
      </c>
      <c r="H252" s="1143">
        <f t="shared" si="57"/>
        <v>2289</v>
      </c>
      <c r="I252" s="1143">
        <f t="shared" si="57"/>
        <v>10000</v>
      </c>
      <c r="J252" s="1143">
        <f t="shared" si="57"/>
        <v>2383</v>
      </c>
      <c r="K252" s="1143">
        <f t="shared" si="57"/>
        <v>362344</v>
      </c>
      <c r="L252" s="1143">
        <f t="shared" si="57"/>
        <v>5202365</v>
      </c>
      <c r="M252" s="1144">
        <f t="shared" si="57"/>
        <v>2253334</v>
      </c>
      <c r="N252" s="1145">
        <f>SUM(E252:L252)</f>
        <v>6855563</v>
      </c>
    </row>
  </sheetData>
  <sheetProtection/>
  <mergeCells count="19">
    <mergeCell ref="D154:F154"/>
    <mergeCell ref="D145:F145"/>
    <mergeCell ref="C228:D228"/>
    <mergeCell ref="C249:D249"/>
    <mergeCell ref="D232:F232"/>
    <mergeCell ref="D171:F171"/>
    <mergeCell ref="D158:I158"/>
    <mergeCell ref="B1:D1"/>
    <mergeCell ref="B2:N2"/>
    <mergeCell ref="B3:N3"/>
    <mergeCell ref="M4:N4"/>
    <mergeCell ref="B6:B7"/>
    <mergeCell ref="C6:C7"/>
    <mergeCell ref="D6:D7"/>
    <mergeCell ref="E6:G6"/>
    <mergeCell ref="H6:J6"/>
    <mergeCell ref="K6:K7"/>
    <mergeCell ref="L6:M6"/>
    <mergeCell ref="N6:N7"/>
  </mergeCells>
  <printOptions horizontalCentered="1"/>
  <pageMargins left="0.1968503937007874" right="0.1968503937007874" top="0.5905511811023623" bottom="0.5905511811023623" header="0.5118110236220472" footer="0.5118110236220472"/>
  <pageSetup fitToHeight="2"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387"/>
  <sheetViews>
    <sheetView view="pageBreakPreview" zoomScale="85" zoomScaleSheetLayoutView="85" zoomScalePageLayoutView="0" workbookViewId="0" topLeftCell="A64">
      <selection activeCell="B1" sqref="B1:F1"/>
    </sheetView>
  </sheetViews>
  <sheetFormatPr defaultColWidth="9.125" defaultRowHeight="12.75"/>
  <cols>
    <col min="1" max="1" width="3.625" style="746" bestFit="1" customWidth="1"/>
    <col min="2" max="2" width="4.00390625" style="199" customWidth="1"/>
    <col min="3" max="3" width="4.125" style="169" customWidth="1"/>
    <col min="4" max="4" width="50.75390625" style="200" customWidth="1"/>
    <col min="5" max="5" width="5.75390625" style="201" customWidth="1"/>
    <col min="6" max="6" width="9.375" style="459" bestFit="1" customWidth="1"/>
    <col min="7" max="7" width="10.625" style="459" customWidth="1"/>
    <col min="8" max="8" width="9.375" style="460" bestFit="1" customWidth="1"/>
    <col min="9" max="9" width="15.75390625" style="461" customWidth="1"/>
    <col min="10" max="17" width="13.75390625" style="450" customWidth="1"/>
    <col min="18" max="18" width="9.625" style="450" bestFit="1" customWidth="1"/>
    <col min="19" max="30" width="9.125" style="450" customWidth="1"/>
    <col min="31" max="16384" width="9.125" style="202" customWidth="1"/>
  </cols>
  <sheetData>
    <row r="1" spans="1:30" s="186" customFormat="1" ht="15">
      <c r="A1" s="746"/>
      <c r="B1" s="1410" t="s">
        <v>1207</v>
      </c>
      <c r="C1" s="1410"/>
      <c r="D1" s="1410"/>
      <c r="E1" s="1410"/>
      <c r="F1" s="1410"/>
      <c r="G1" s="455"/>
      <c r="H1" s="456"/>
      <c r="I1" s="457"/>
      <c r="J1" s="458"/>
      <c r="K1" s="458"/>
      <c r="L1" s="458"/>
      <c r="M1" s="458"/>
      <c r="N1" s="458"/>
      <c r="O1" s="458"/>
      <c r="P1" s="458"/>
      <c r="Q1" s="458"/>
      <c r="R1" s="458"/>
      <c r="S1" s="458"/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</row>
    <row r="2" spans="1:30" s="186" customFormat="1" ht="15">
      <c r="A2" s="746"/>
      <c r="B2" s="1389" t="s">
        <v>406</v>
      </c>
      <c r="C2" s="1389"/>
      <c r="D2" s="1389"/>
      <c r="E2" s="1389"/>
      <c r="F2" s="1389"/>
      <c r="G2" s="1389"/>
      <c r="H2" s="1389"/>
      <c r="I2" s="1389"/>
      <c r="J2" s="1389"/>
      <c r="K2" s="1389"/>
      <c r="L2" s="1389"/>
      <c r="M2" s="1389"/>
      <c r="N2" s="1389"/>
      <c r="O2" s="1389"/>
      <c r="P2" s="1389"/>
      <c r="Q2" s="1389"/>
      <c r="R2" s="458"/>
      <c r="S2" s="458"/>
      <c r="T2" s="458"/>
      <c r="U2" s="458"/>
      <c r="V2" s="458"/>
      <c r="W2" s="458"/>
      <c r="X2" s="458"/>
      <c r="Y2" s="458"/>
      <c r="Z2" s="458"/>
      <c r="AA2" s="458"/>
      <c r="AB2" s="458"/>
      <c r="AC2" s="458"/>
      <c r="AD2" s="458"/>
    </row>
    <row r="3" spans="1:30" s="186" customFormat="1" ht="15">
      <c r="A3" s="746"/>
      <c r="B3" s="1389" t="s">
        <v>633</v>
      </c>
      <c r="C3" s="1389"/>
      <c r="D3" s="1389"/>
      <c r="E3" s="1389"/>
      <c r="F3" s="1389"/>
      <c r="G3" s="1389"/>
      <c r="H3" s="1389"/>
      <c r="I3" s="1389"/>
      <c r="J3" s="1389"/>
      <c r="K3" s="1389"/>
      <c r="L3" s="1389"/>
      <c r="M3" s="1389"/>
      <c r="N3" s="1389"/>
      <c r="O3" s="1389"/>
      <c r="P3" s="1389"/>
      <c r="Q3" s="1389"/>
      <c r="R3" s="458"/>
      <c r="S3" s="458"/>
      <c r="T3" s="458"/>
      <c r="U3" s="458"/>
      <c r="V3" s="458"/>
      <c r="W3" s="458"/>
      <c r="X3" s="458"/>
      <c r="Y3" s="458"/>
      <c r="Z3" s="458"/>
      <c r="AA3" s="458"/>
      <c r="AB3" s="458"/>
      <c r="AC3" s="458"/>
      <c r="AD3" s="458"/>
    </row>
    <row r="4" spans="1:30" s="186" customFormat="1" ht="15">
      <c r="A4" s="746"/>
      <c r="B4" s="1405" t="s">
        <v>603</v>
      </c>
      <c r="C4" s="1405"/>
      <c r="D4" s="1405"/>
      <c r="E4" s="1405"/>
      <c r="F4" s="1405"/>
      <c r="G4" s="1405"/>
      <c r="H4" s="1405"/>
      <c r="I4" s="1405"/>
      <c r="J4" s="1405"/>
      <c r="K4" s="1405"/>
      <c r="L4" s="1405"/>
      <c r="M4" s="1405"/>
      <c r="N4" s="1405"/>
      <c r="O4" s="1405"/>
      <c r="P4" s="1405"/>
      <c r="Q4" s="1405"/>
      <c r="R4" s="458"/>
      <c r="S4" s="458"/>
      <c r="T4" s="458"/>
      <c r="U4" s="458"/>
      <c r="V4" s="458"/>
      <c r="W4" s="458"/>
      <c r="X4" s="458"/>
      <c r="Y4" s="458"/>
      <c r="Z4" s="458"/>
      <c r="AA4" s="458"/>
      <c r="AB4" s="458"/>
      <c r="AC4" s="458"/>
      <c r="AD4" s="458"/>
    </row>
    <row r="5" spans="16:17" ht="15">
      <c r="P5" s="1411" t="s">
        <v>0</v>
      </c>
      <c r="Q5" s="1411"/>
    </row>
    <row r="6" spans="1:17" s="203" customFormat="1" ht="15" thickBot="1">
      <c r="A6" s="746"/>
      <c r="B6" s="495" t="s">
        <v>1</v>
      </c>
      <c r="C6" s="495" t="s">
        <v>3</v>
      </c>
      <c r="D6" s="496" t="s">
        <v>2</v>
      </c>
      <c r="E6" s="203" t="s">
        <v>4</v>
      </c>
      <c r="F6" s="203" t="s">
        <v>5</v>
      </c>
      <c r="G6" s="203" t="s">
        <v>21</v>
      </c>
      <c r="H6" s="764" t="s">
        <v>22</v>
      </c>
      <c r="I6" s="203" t="s">
        <v>23</v>
      </c>
      <c r="J6" s="203" t="s">
        <v>201</v>
      </c>
      <c r="K6" s="203" t="s">
        <v>129</v>
      </c>
      <c r="L6" s="203" t="s">
        <v>31</v>
      </c>
      <c r="M6" s="203" t="s">
        <v>202</v>
      </c>
      <c r="N6" s="203" t="s">
        <v>203</v>
      </c>
      <c r="O6" s="203" t="s">
        <v>407</v>
      </c>
      <c r="P6" s="203" t="s">
        <v>408</v>
      </c>
      <c r="Q6" s="203" t="s">
        <v>409</v>
      </c>
    </row>
    <row r="7" spans="1:17" s="201" customFormat="1" ht="15">
      <c r="A7" s="746"/>
      <c r="B7" s="1412" t="s">
        <v>24</v>
      </c>
      <c r="C7" s="1412" t="s">
        <v>25</v>
      </c>
      <c r="D7" s="1414" t="s">
        <v>6</v>
      </c>
      <c r="E7" s="1416" t="s">
        <v>26</v>
      </c>
      <c r="F7" s="1418" t="s">
        <v>204</v>
      </c>
      <c r="G7" s="1418" t="s">
        <v>205</v>
      </c>
      <c r="H7" s="1420" t="s">
        <v>801</v>
      </c>
      <c r="I7" s="1422" t="s">
        <v>7</v>
      </c>
      <c r="J7" s="1425" t="s">
        <v>206</v>
      </c>
      <c r="K7" s="1426"/>
      <c r="L7" s="1426"/>
      <c r="M7" s="1426"/>
      <c r="N7" s="1427"/>
      <c r="O7" s="1424" t="s">
        <v>410</v>
      </c>
      <c r="P7" s="1424"/>
      <c r="Q7" s="1424"/>
    </row>
    <row r="8" spans="1:17" s="201" customFormat="1" ht="45" customHeight="1" thickBot="1">
      <c r="A8" s="746"/>
      <c r="B8" s="1413"/>
      <c r="C8" s="1413"/>
      <c r="D8" s="1415"/>
      <c r="E8" s="1417"/>
      <c r="F8" s="1419"/>
      <c r="G8" s="1419"/>
      <c r="H8" s="1421"/>
      <c r="I8" s="1423"/>
      <c r="J8" s="1099" t="s">
        <v>207</v>
      </c>
      <c r="K8" s="1099" t="s">
        <v>208</v>
      </c>
      <c r="L8" s="1099" t="s">
        <v>209</v>
      </c>
      <c r="M8" s="1099" t="s">
        <v>210</v>
      </c>
      <c r="N8" s="1099" t="s">
        <v>211</v>
      </c>
      <c r="O8" s="204" t="s">
        <v>411</v>
      </c>
      <c r="P8" s="205" t="s">
        <v>412</v>
      </c>
      <c r="Q8" s="206" t="s">
        <v>413</v>
      </c>
    </row>
    <row r="9" spans="1:30" s="209" customFormat="1" ht="15">
      <c r="A9" s="207">
        <v>1</v>
      </c>
      <c r="B9" s="159">
        <v>1</v>
      </c>
      <c r="C9" s="160"/>
      <c r="D9" s="161" t="s">
        <v>177</v>
      </c>
      <c r="E9" s="208" t="s">
        <v>31</v>
      </c>
      <c r="F9" s="462">
        <v>130202</v>
      </c>
      <c r="G9" s="462">
        <v>166856</v>
      </c>
      <c r="H9" s="463">
        <v>165422</v>
      </c>
      <c r="I9" s="792"/>
      <c r="Q9" s="1048"/>
      <c r="R9" s="466"/>
      <c r="S9" s="466"/>
      <c r="T9" s="466"/>
      <c r="U9" s="466"/>
      <c r="V9" s="466"/>
      <c r="W9" s="466"/>
      <c r="X9" s="466"/>
      <c r="Y9" s="466"/>
      <c r="Z9" s="466"/>
      <c r="AA9" s="466"/>
      <c r="AB9" s="466"/>
      <c r="AC9" s="466"/>
      <c r="AD9" s="466"/>
    </row>
    <row r="10" spans="1:30" s="193" customFormat="1" ht="15">
      <c r="A10" s="207">
        <v>2</v>
      </c>
      <c r="B10" s="165"/>
      <c r="C10" s="156"/>
      <c r="D10" s="166" t="s">
        <v>387</v>
      </c>
      <c r="E10" s="211"/>
      <c r="F10" s="468"/>
      <c r="G10" s="468"/>
      <c r="H10" s="469"/>
      <c r="I10" s="464"/>
      <c r="J10" s="197"/>
      <c r="K10" s="197"/>
      <c r="L10" s="197"/>
      <c r="M10" s="197"/>
      <c r="N10" s="197"/>
      <c r="O10" s="197"/>
      <c r="P10" s="197"/>
      <c r="Q10" s="470"/>
      <c r="R10" s="197"/>
      <c r="S10" s="197"/>
      <c r="T10" s="197"/>
      <c r="U10" s="197"/>
      <c r="V10" s="197"/>
      <c r="W10" s="197"/>
      <c r="X10" s="197"/>
      <c r="Y10" s="197"/>
      <c r="Z10" s="197"/>
      <c r="AA10" s="197"/>
      <c r="AB10" s="197"/>
      <c r="AC10" s="197"/>
      <c r="AD10" s="197"/>
    </row>
    <row r="11" spans="1:30" s="193" customFormat="1" ht="15">
      <c r="A11" s="207">
        <v>3</v>
      </c>
      <c r="B11" s="165"/>
      <c r="C11" s="156"/>
      <c r="D11" s="166" t="s">
        <v>635</v>
      </c>
      <c r="E11" s="211"/>
      <c r="F11" s="468"/>
      <c r="G11" s="468"/>
      <c r="H11" s="469"/>
      <c r="I11" s="790">
        <f>J11+K11+L11+M11+N11+O11+P11+Q11</f>
        <v>171179</v>
      </c>
      <c r="J11" s="465">
        <v>101443</v>
      </c>
      <c r="K11" s="465">
        <v>28605</v>
      </c>
      <c r="L11" s="465">
        <v>39621</v>
      </c>
      <c r="M11" s="466"/>
      <c r="N11" s="466">
        <v>690</v>
      </c>
      <c r="O11" s="466">
        <v>820</v>
      </c>
      <c r="P11" s="466"/>
      <c r="Q11" s="46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197"/>
      <c r="AC11" s="197"/>
      <c r="AD11" s="197"/>
    </row>
    <row r="12" spans="1:30" s="196" customFormat="1" ht="15">
      <c r="A12" s="207">
        <v>4</v>
      </c>
      <c r="B12" s="176"/>
      <c r="C12" s="748"/>
      <c r="D12" s="183" t="s">
        <v>825</v>
      </c>
      <c r="E12" s="786"/>
      <c r="F12" s="787"/>
      <c r="G12" s="787"/>
      <c r="H12" s="478"/>
      <c r="I12" s="791">
        <f>J12+K12+L12+M12+N12+O12+P12+Q12</f>
        <v>282</v>
      </c>
      <c r="J12" s="480">
        <v>222</v>
      </c>
      <c r="K12" s="480">
        <v>60</v>
      </c>
      <c r="L12" s="480"/>
      <c r="M12" s="480"/>
      <c r="N12" s="480"/>
      <c r="O12" s="480"/>
      <c r="P12" s="480"/>
      <c r="Q12" s="481"/>
      <c r="R12" s="480"/>
      <c r="S12" s="480"/>
      <c r="T12" s="480"/>
      <c r="U12" s="480"/>
      <c r="V12" s="480"/>
      <c r="W12" s="480"/>
      <c r="X12" s="480"/>
      <c r="Y12" s="480"/>
      <c r="Z12" s="480"/>
      <c r="AA12" s="480"/>
      <c r="AB12" s="480"/>
      <c r="AC12" s="480"/>
      <c r="AD12" s="480"/>
    </row>
    <row r="13" spans="1:30" s="196" customFormat="1" ht="15">
      <c r="A13" s="207">
        <v>5</v>
      </c>
      <c r="B13" s="176"/>
      <c r="C13" s="748"/>
      <c r="D13" s="183" t="s">
        <v>704</v>
      </c>
      <c r="E13" s="786"/>
      <c r="F13" s="787"/>
      <c r="G13" s="787"/>
      <c r="H13" s="478"/>
      <c r="I13" s="791">
        <f>J13+K13+L13+M13+N13+O13+P13+Q13</f>
        <v>6709</v>
      </c>
      <c r="J13" s="480">
        <v>2000</v>
      </c>
      <c r="K13" s="480">
        <v>1020</v>
      </c>
      <c r="L13" s="480">
        <v>2047</v>
      </c>
      <c r="M13" s="480"/>
      <c r="N13" s="480"/>
      <c r="O13" s="480">
        <v>1642</v>
      </c>
      <c r="P13" s="480"/>
      <c r="Q13" s="481"/>
      <c r="R13" s="480"/>
      <c r="S13" s="480"/>
      <c r="T13" s="480"/>
      <c r="U13" s="480"/>
      <c r="V13" s="480"/>
      <c r="W13" s="480"/>
      <c r="X13" s="480"/>
      <c r="Y13" s="480"/>
      <c r="Z13" s="480"/>
      <c r="AA13" s="480"/>
      <c r="AB13" s="480"/>
      <c r="AC13" s="480"/>
      <c r="AD13" s="480"/>
    </row>
    <row r="14" spans="1:30" s="196" customFormat="1" ht="15">
      <c r="A14" s="207">
        <v>6</v>
      </c>
      <c r="B14" s="176"/>
      <c r="C14" s="748"/>
      <c r="D14" s="183" t="s">
        <v>734</v>
      </c>
      <c r="E14" s="786"/>
      <c r="F14" s="787"/>
      <c r="G14" s="787"/>
      <c r="H14" s="478"/>
      <c r="I14" s="791">
        <f>J14+K14+L14+M14+N14+O14+P14+Q14</f>
        <v>181</v>
      </c>
      <c r="J14" s="480">
        <v>133</v>
      </c>
      <c r="K14" s="480">
        <v>48</v>
      </c>
      <c r="L14" s="480"/>
      <c r="M14" s="480"/>
      <c r="N14" s="480"/>
      <c r="O14" s="480"/>
      <c r="P14" s="480"/>
      <c r="Q14" s="481"/>
      <c r="R14" s="480"/>
      <c r="S14" s="480"/>
      <c r="T14" s="480"/>
      <c r="U14" s="480"/>
      <c r="V14" s="480"/>
      <c r="W14" s="480"/>
      <c r="X14" s="480"/>
      <c r="Y14" s="480"/>
      <c r="Z14" s="480"/>
      <c r="AA14" s="480"/>
      <c r="AB14" s="480"/>
      <c r="AC14" s="480"/>
      <c r="AD14" s="480"/>
    </row>
    <row r="15" spans="1:30" s="196" customFormat="1" ht="15">
      <c r="A15" s="207">
        <v>7</v>
      </c>
      <c r="B15" s="176"/>
      <c r="C15" s="748"/>
      <c r="D15" s="183" t="s">
        <v>803</v>
      </c>
      <c r="E15" s="786"/>
      <c r="F15" s="787"/>
      <c r="G15" s="787"/>
      <c r="H15" s="478"/>
      <c r="I15" s="791">
        <f>J15+K15+L15+M15+N15+O15+P15+Q15</f>
        <v>100</v>
      </c>
      <c r="J15" s="480"/>
      <c r="K15" s="480"/>
      <c r="L15" s="480">
        <v>100</v>
      </c>
      <c r="M15" s="480"/>
      <c r="N15" s="480"/>
      <c r="O15" s="480"/>
      <c r="P15" s="480"/>
      <c r="Q15" s="481"/>
      <c r="R15" s="480"/>
      <c r="S15" s="480"/>
      <c r="T15" s="480"/>
      <c r="U15" s="480"/>
      <c r="V15" s="480"/>
      <c r="W15" s="480"/>
      <c r="X15" s="480"/>
      <c r="Y15" s="480"/>
      <c r="Z15" s="480"/>
      <c r="AA15" s="480"/>
      <c r="AB15" s="480"/>
      <c r="AC15" s="480"/>
      <c r="AD15" s="480"/>
    </row>
    <row r="16" spans="1:30" s="227" customFormat="1" ht="15">
      <c r="A16" s="207">
        <v>8</v>
      </c>
      <c r="B16" s="1101"/>
      <c r="C16" s="1102"/>
      <c r="D16" s="180" t="s">
        <v>637</v>
      </c>
      <c r="E16" s="220"/>
      <c r="F16" s="789"/>
      <c r="G16" s="789"/>
      <c r="H16" s="485"/>
      <c r="I16" s="464">
        <f>J16+K16+L16+M16+N16+O16+P16+Q16</f>
        <v>178451</v>
      </c>
      <c r="J16" s="326">
        <f>SUM(J11:J15)</f>
        <v>103798</v>
      </c>
      <c r="K16" s="326">
        <f aca="true" t="shared" si="0" ref="K16:Q16">SUM(K11:K15)</f>
        <v>29733</v>
      </c>
      <c r="L16" s="326">
        <f t="shared" si="0"/>
        <v>41768</v>
      </c>
      <c r="M16" s="326">
        <f t="shared" si="0"/>
        <v>0</v>
      </c>
      <c r="N16" s="326">
        <f t="shared" si="0"/>
        <v>690</v>
      </c>
      <c r="O16" s="326">
        <f t="shared" si="0"/>
        <v>2462</v>
      </c>
      <c r="P16" s="326">
        <f t="shared" si="0"/>
        <v>0</v>
      </c>
      <c r="Q16" s="491">
        <f t="shared" si="0"/>
        <v>0</v>
      </c>
      <c r="R16" s="326"/>
      <c r="S16" s="326"/>
      <c r="T16" s="326"/>
      <c r="U16" s="326"/>
      <c r="V16" s="326"/>
      <c r="W16" s="326"/>
      <c r="X16" s="326"/>
      <c r="Y16" s="326"/>
      <c r="Z16" s="326"/>
      <c r="AA16" s="326"/>
      <c r="AB16" s="326"/>
      <c r="AC16" s="326"/>
      <c r="AD16" s="326"/>
    </row>
    <row r="17" spans="1:30" s="188" customFormat="1" ht="29.25" customHeight="1">
      <c r="A17" s="210">
        <v>9</v>
      </c>
      <c r="B17" s="1193"/>
      <c r="C17" s="1149">
        <v>1</v>
      </c>
      <c r="D17" s="1148" t="s">
        <v>414</v>
      </c>
      <c r="E17" s="1148"/>
      <c r="F17" s="1151">
        <v>1131</v>
      </c>
      <c r="G17" s="1151"/>
      <c r="H17" s="469">
        <v>1628</v>
      </c>
      <c r="I17" s="1152"/>
      <c r="J17" s="468"/>
      <c r="K17" s="468"/>
      <c r="L17" s="468"/>
      <c r="M17" s="468"/>
      <c r="N17" s="468"/>
      <c r="O17" s="468"/>
      <c r="P17" s="468"/>
      <c r="Q17" s="1153"/>
      <c r="R17" s="468"/>
      <c r="S17" s="468"/>
      <c r="T17" s="468"/>
      <c r="U17" s="468"/>
      <c r="V17" s="468"/>
      <c r="W17" s="468"/>
      <c r="X17" s="468"/>
      <c r="Y17" s="468"/>
      <c r="Z17" s="468"/>
      <c r="AA17" s="468"/>
      <c r="AB17" s="468"/>
      <c r="AC17" s="468"/>
      <c r="AD17" s="468"/>
    </row>
    <row r="18" spans="1:30" s="188" customFormat="1" ht="14.25">
      <c r="A18" s="207">
        <v>10</v>
      </c>
      <c r="B18" s="1150"/>
      <c r="C18" s="559"/>
      <c r="D18" s="1148" t="s">
        <v>635</v>
      </c>
      <c r="E18" s="1148"/>
      <c r="F18" s="1151"/>
      <c r="G18" s="1151"/>
      <c r="H18" s="469"/>
      <c r="I18" s="1155">
        <f aca="true" t="shared" si="1" ref="I18:I24">J18+K18+L18+M18+N18+O18+P18+Q18</f>
        <v>0</v>
      </c>
      <c r="J18" s="468"/>
      <c r="K18" s="468"/>
      <c r="L18" s="468"/>
      <c r="M18" s="468"/>
      <c r="N18" s="468"/>
      <c r="O18" s="468"/>
      <c r="P18" s="468"/>
      <c r="Q18" s="1153"/>
      <c r="R18" s="468"/>
      <c r="S18" s="468"/>
      <c r="T18" s="468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</row>
    <row r="19" spans="1:30" s="194" customFormat="1" ht="14.25">
      <c r="A19" s="207">
        <v>11</v>
      </c>
      <c r="B19" s="1156"/>
      <c r="C19" s="1157"/>
      <c r="D19" s="1158" t="s">
        <v>636</v>
      </c>
      <c r="E19" s="1158"/>
      <c r="F19" s="1159"/>
      <c r="G19" s="1159"/>
      <c r="H19" s="478"/>
      <c r="I19" s="1160">
        <f t="shared" si="1"/>
        <v>0</v>
      </c>
      <c r="J19" s="787"/>
      <c r="K19" s="787"/>
      <c r="L19" s="787"/>
      <c r="M19" s="787"/>
      <c r="N19" s="787"/>
      <c r="O19" s="787"/>
      <c r="P19" s="787"/>
      <c r="Q19" s="1161"/>
      <c r="R19" s="787"/>
      <c r="S19" s="787"/>
      <c r="T19" s="787"/>
      <c r="U19" s="787"/>
      <c r="V19" s="787"/>
      <c r="W19" s="787"/>
      <c r="X19" s="787"/>
      <c r="Y19" s="787"/>
      <c r="Z19" s="787"/>
      <c r="AA19" s="787"/>
      <c r="AB19" s="787"/>
      <c r="AC19" s="787"/>
      <c r="AD19" s="787"/>
    </row>
    <row r="20" spans="1:30" s="192" customFormat="1" ht="14.25">
      <c r="A20" s="207">
        <v>12</v>
      </c>
      <c r="B20" s="1162"/>
      <c r="C20" s="1163"/>
      <c r="D20" s="1164" t="s">
        <v>637</v>
      </c>
      <c r="E20" s="1164"/>
      <c r="F20" s="1165"/>
      <c r="G20" s="1165"/>
      <c r="H20" s="485"/>
      <c r="I20" s="1152">
        <f t="shared" si="1"/>
        <v>0</v>
      </c>
      <c r="J20" s="789">
        <f>SUM(J18:J19)</f>
        <v>0</v>
      </c>
      <c r="K20" s="789">
        <f aca="true" t="shared" si="2" ref="K20:Q20">SUM(K18:K19)</f>
        <v>0</v>
      </c>
      <c r="L20" s="789">
        <f t="shared" si="2"/>
        <v>0</v>
      </c>
      <c r="M20" s="789">
        <f t="shared" si="2"/>
        <v>0</v>
      </c>
      <c r="N20" s="789">
        <f t="shared" si="2"/>
        <v>0</v>
      </c>
      <c r="O20" s="789">
        <f t="shared" si="2"/>
        <v>0</v>
      </c>
      <c r="P20" s="789">
        <f t="shared" si="2"/>
        <v>0</v>
      </c>
      <c r="Q20" s="1166">
        <f t="shared" si="2"/>
        <v>0</v>
      </c>
      <c r="R20" s="789"/>
      <c r="S20" s="789"/>
      <c r="T20" s="789"/>
      <c r="U20" s="789"/>
      <c r="V20" s="789"/>
      <c r="W20" s="789"/>
      <c r="X20" s="789"/>
      <c r="Y20" s="789"/>
      <c r="Z20" s="789"/>
      <c r="AA20" s="789"/>
      <c r="AB20" s="789"/>
      <c r="AC20" s="789"/>
      <c r="AD20" s="789"/>
    </row>
    <row r="21" spans="1:30" s="216" customFormat="1" ht="15">
      <c r="A21" s="207">
        <v>13</v>
      </c>
      <c r="B21" s="170"/>
      <c r="C21" s="171">
        <v>2</v>
      </c>
      <c r="D21" s="214" t="s">
        <v>388</v>
      </c>
      <c r="E21" s="215"/>
      <c r="F21" s="472"/>
      <c r="G21" s="472">
        <v>792</v>
      </c>
      <c r="H21" s="473">
        <v>733</v>
      </c>
      <c r="I21" s="464"/>
      <c r="J21" s="225"/>
      <c r="K21" s="225"/>
      <c r="L21" s="474"/>
      <c r="M21" s="474"/>
      <c r="N21" s="474"/>
      <c r="O21" s="474"/>
      <c r="P21" s="474"/>
      <c r="Q21" s="475"/>
      <c r="R21" s="476"/>
      <c r="S21" s="476"/>
      <c r="T21" s="476"/>
      <c r="U21" s="476"/>
      <c r="V21" s="476"/>
      <c r="W21" s="476"/>
      <c r="X21" s="476"/>
      <c r="Y21" s="476"/>
      <c r="Z21" s="476"/>
      <c r="AA21" s="476"/>
      <c r="AB21" s="476"/>
      <c r="AC21" s="476"/>
      <c r="AD21" s="476"/>
    </row>
    <row r="22" spans="1:30" s="193" customFormat="1" ht="15">
      <c r="A22" s="207">
        <v>14</v>
      </c>
      <c r="B22" s="165"/>
      <c r="C22" s="156"/>
      <c r="D22" s="213" t="s">
        <v>635</v>
      </c>
      <c r="E22" s="213"/>
      <c r="F22" s="471"/>
      <c r="G22" s="471"/>
      <c r="H22" s="469"/>
      <c r="I22" s="790">
        <f t="shared" si="1"/>
        <v>0</v>
      </c>
      <c r="J22" s="197"/>
      <c r="K22" s="197"/>
      <c r="L22" s="197"/>
      <c r="M22" s="197"/>
      <c r="N22" s="197"/>
      <c r="O22" s="197"/>
      <c r="P22" s="197"/>
      <c r="Q22" s="470"/>
      <c r="R22" s="197"/>
      <c r="S22" s="197"/>
      <c r="T22" s="197"/>
      <c r="U22" s="197"/>
      <c r="V22" s="197"/>
      <c r="W22" s="197"/>
      <c r="X22" s="197"/>
      <c r="Y22" s="197"/>
      <c r="Z22" s="197"/>
      <c r="AA22" s="197"/>
      <c r="AB22" s="197"/>
      <c r="AC22" s="197"/>
      <c r="AD22" s="197"/>
    </row>
    <row r="23" spans="1:30" s="196" customFormat="1" ht="15">
      <c r="A23" s="207">
        <v>15</v>
      </c>
      <c r="B23" s="176"/>
      <c r="C23" s="748"/>
      <c r="D23" s="793" t="s">
        <v>636</v>
      </c>
      <c r="E23" s="793"/>
      <c r="F23" s="794"/>
      <c r="G23" s="794"/>
      <c r="H23" s="478"/>
      <c r="I23" s="791">
        <f t="shared" si="1"/>
        <v>0</v>
      </c>
      <c r="J23" s="480"/>
      <c r="K23" s="480"/>
      <c r="L23" s="480"/>
      <c r="M23" s="480"/>
      <c r="N23" s="480"/>
      <c r="O23" s="480"/>
      <c r="P23" s="480"/>
      <c r="Q23" s="481"/>
      <c r="R23" s="480"/>
      <c r="S23" s="480"/>
      <c r="T23" s="480"/>
      <c r="U23" s="480"/>
      <c r="V23" s="480"/>
      <c r="W23" s="480"/>
      <c r="X23" s="480"/>
      <c r="Y23" s="480"/>
      <c r="Z23" s="480"/>
      <c r="AA23" s="480"/>
      <c r="AB23" s="480"/>
      <c r="AC23" s="480"/>
      <c r="AD23" s="480"/>
    </row>
    <row r="24" spans="1:30" s="227" customFormat="1" ht="15">
      <c r="A24" s="207">
        <v>16</v>
      </c>
      <c r="B24" s="1101"/>
      <c r="C24" s="1102"/>
      <c r="D24" s="795" t="s">
        <v>637</v>
      </c>
      <c r="E24" s="795"/>
      <c r="F24" s="796"/>
      <c r="G24" s="796"/>
      <c r="H24" s="485"/>
      <c r="I24" s="464">
        <f t="shared" si="1"/>
        <v>0</v>
      </c>
      <c r="J24" s="326">
        <f>SUM(J22:J23)</f>
        <v>0</v>
      </c>
      <c r="K24" s="326">
        <f aca="true" t="shared" si="3" ref="K24:Q24">SUM(K22:K23)</f>
        <v>0</v>
      </c>
      <c r="L24" s="326">
        <f t="shared" si="3"/>
        <v>0</v>
      </c>
      <c r="M24" s="326">
        <f t="shared" si="3"/>
        <v>0</v>
      </c>
      <c r="N24" s="326">
        <f t="shared" si="3"/>
        <v>0</v>
      </c>
      <c r="O24" s="326">
        <f t="shared" si="3"/>
        <v>0</v>
      </c>
      <c r="P24" s="326">
        <f t="shared" si="3"/>
        <v>0</v>
      </c>
      <c r="Q24" s="491">
        <f t="shared" si="3"/>
        <v>0</v>
      </c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</row>
    <row r="25" spans="1:30" s="209" customFormat="1" ht="15">
      <c r="A25" s="207">
        <v>17</v>
      </c>
      <c r="B25" s="159">
        <v>2</v>
      </c>
      <c r="C25" s="160"/>
      <c r="D25" s="161" t="s">
        <v>51</v>
      </c>
      <c r="E25" s="208" t="s">
        <v>31</v>
      </c>
      <c r="F25" s="462">
        <v>228374</v>
      </c>
      <c r="G25" s="462">
        <v>291675</v>
      </c>
      <c r="H25" s="463">
        <v>299833</v>
      </c>
      <c r="I25" s="813"/>
      <c r="Q25" s="1048"/>
      <c r="R25" s="466"/>
      <c r="S25" s="466"/>
      <c r="T25" s="466"/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</row>
    <row r="26" spans="1:30" s="193" customFormat="1" ht="15">
      <c r="A26" s="207">
        <v>18</v>
      </c>
      <c r="B26" s="165"/>
      <c r="C26" s="156"/>
      <c r="D26" s="166" t="s">
        <v>389</v>
      </c>
      <c r="E26" s="211"/>
      <c r="F26" s="468"/>
      <c r="G26" s="468"/>
      <c r="H26" s="469"/>
      <c r="I26" s="814"/>
      <c r="Q26" s="785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</row>
    <row r="27" spans="1:30" s="193" customFormat="1" ht="15">
      <c r="A27" s="207">
        <v>19</v>
      </c>
      <c r="B27" s="165"/>
      <c r="C27" s="156"/>
      <c r="D27" s="166" t="s">
        <v>635</v>
      </c>
      <c r="E27" s="211"/>
      <c r="F27" s="468"/>
      <c r="G27" s="468"/>
      <c r="H27" s="469"/>
      <c r="I27" s="790">
        <f>J27+K27+L27+M27+N27+O27+P27+Q27</f>
        <v>290968</v>
      </c>
      <c r="J27" s="465">
        <v>182868</v>
      </c>
      <c r="K27" s="465">
        <v>49546</v>
      </c>
      <c r="L27" s="465">
        <v>54454</v>
      </c>
      <c r="M27" s="466"/>
      <c r="N27" s="466">
        <v>2600</v>
      </c>
      <c r="O27" s="466">
        <v>1500</v>
      </c>
      <c r="P27" s="466"/>
      <c r="Q27" s="467"/>
      <c r="R27" s="197"/>
      <c r="S27" s="197"/>
      <c r="T27" s="197"/>
      <c r="U27" s="197"/>
      <c r="V27" s="197"/>
      <c r="W27" s="197"/>
      <c r="X27" s="197"/>
      <c r="Y27" s="197"/>
      <c r="Z27" s="197"/>
      <c r="AA27" s="197"/>
      <c r="AB27" s="197"/>
      <c r="AC27" s="197"/>
      <c r="AD27" s="197"/>
    </row>
    <row r="28" spans="1:30" s="196" customFormat="1" ht="15">
      <c r="A28" s="207">
        <v>20</v>
      </c>
      <c r="B28" s="176"/>
      <c r="C28" s="748"/>
      <c r="D28" s="183" t="s">
        <v>825</v>
      </c>
      <c r="E28" s="786"/>
      <c r="F28" s="787"/>
      <c r="G28" s="787"/>
      <c r="H28" s="478"/>
      <c r="I28" s="791">
        <f aca="true" t="shared" si="4" ref="I28:I101">J28+K28+L28+M28+N28+O28+P28+Q28</f>
        <v>588</v>
      </c>
      <c r="J28" s="480">
        <v>463</v>
      </c>
      <c r="K28" s="480">
        <v>125</v>
      </c>
      <c r="L28" s="480"/>
      <c r="M28" s="480"/>
      <c r="N28" s="480"/>
      <c r="O28" s="480"/>
      <c r="P28" s="480"/>
      <c r="Q28" s="481"/>
      <c r="R28" s="480"/>
      <c r="S28" s="480"/>
      <c r="T28" s="480"/>
      <c r="U28" s="480"/>
      <c r="V28" s="480"/>
      <c r="W28" s="480"/>
      <c r="X28" s="480"/>
      <c r="Y28" s="480"/>
      <c r="Z28" s="480"/>
      <c r="AA28" s="480"/>
      <c r="AB28" s="480"/>
      <c r="AC28" s="480"/>
      <c r="AD28" s="480"/>
    </row>
    <row r="29" spans="1:30" s="196" customFormat="1" ht="15">
      <c r="A29" s="207">
        <v>21</v>
      </c>
      <c r="B29" s="176"/>
      <c r="C29" s="748"/>
      <c r="D29" s="183" t="s">
        <v>704</v>
      </c>
      <c r="E29" s="786"/>
      <c r="F29" s="787"/>
      <c r="G29" s="787"/>
      <c r="H29" s="478"/>
      <c r="I29" s="791">
        <f t="shared" si="4"/>
        <v>5070</v>
      </c>
      <c r="J29" s="480">
        <v>1000</v>
      </c>
      <c r="K29" s="480">
        <v>1034</v>
      </c>
      <c r="L29" s="480">
        <v>1052</v>
      </c>
      <c r="M29" s="480"/>
      <c r="N29" s="480"/>
      <c r="O29" s="480">
        <v>1984</v>
      </c>
      <c r="P29" s="480"/>
      <c r="Q29" s="481"/>
      <c r="R29" s="480"/>
      <c r="S29" s="480"/>
      <c r="T29" s="480"/>
      <c r="U29" s="480"/>
      <c r="V29" s="480"/>
      <c r="W29" s="480"/>
      <c r="X29" s="480"/>
      <c r="Y29" s="480"/>
      <c r="Z29" s="480"/>
      <c r="AA29" s="480"/>
      <c r="AB29" s="480"/>
      <c r="AC29" s="480"/>
      <c r="AD29" s="480"/>
    </row>
    <row r="30" spans="1:30" s="196" customFormat="1" ht="15">
      <c r="A30" s="207">
        <v>22</v>
      </c>
      <c r="B30" s="176"/>
      <c r="C30" s="748"/>
      <c r="D30" s="183" t="s">
        <v>734</v>
      </c>
      <c r="E30" s="786"/>
      <c r="F30" s="787"/>
      <c r="G30" s="787"/>
      <c r="H30" s="478"/>
      <c r="I30" s="791">
        <f t="shared" si="4"/>
        <v>337</v>
      </c>
      <c r="J30" s="480">
        <v>248</v>
      </c>
      <c r="K30" s="480">
        <v>89</v>
      </c>
      <c r="L30" s="480"/>
      <c r="M30" s="480"/>
      <c r="N30" s="480"/>
      <c r="O30" s="480"/>
      <c r="P30" s="480"/>
      <c r="Q30" s="481"/>
      <c r="R30" s="480"/>
      <c r="S30" s="480"/>
      <c r="T30" s="480"/>
      <c r="U30" s="480"/>
      <c r="V30" s="480"/>
      <c r="W30" s="480"/>
      <c r="X30" s="480"/>
      <c r="Y30" s="480"/>
      <c r="Z30" s="480"/>
      <c r="AA30" s="480"/>
      <c r="AB30" s="480"/>
      <c r="AC30" s="480"/>
      <c r="AD30" s="480"/>
    </row>
    <row r="31" spans="1:30" s="227" customFormat="1" ht="15">
      <c r="A31" s="207">
        <v>23</v>
      </c>
      <c r="B31" s="1101"/>
      <c r="C31" s="1102"/>
      <c r="D31" s="180" t="s">
        <v>637</v>
      </c>
      <c r="E31" s="220"/>
      <c r="F31" s="789"/>
      <c r="G31" s="789"/>
      <c r="H31" s="485"/>
      <c r="I31" s="464">
        <f t="shared" si="4"/>
        <v>296963</v>
      </c>
      <c r="J31" s="326">
        <f aca="true" t="shared" si="5" ref="J31:Q31">SUM(J27:J30)</f>
        <v>184579</v>
      </c>
      <c r="K31" s="326">
        <f t="shared" si="5"/>
        <v>50794</v>
      </c>
      <c r="L31" s="326">
        <f t="shared" si="5"/>
        <v>55506</v>
      </c>
      <c r="M31" s="326">
        <f t="shared" si="5"/>
        <v>0</v>
      </c>
      <c r="N31" s="326">
        <f t="shared" si="5"/>
        <v>2600</v>
      </c>
      <c r="O31" s="326">
        <f t="shared" si="5"/>
        <v>3484</v>
      </c>
      <c r="P31" s="326">
        <f t="shared" si="5"/>
        <v>0</v>
      </c>
      <c r="Q31" s="491">
        <f t="shared" si="5"/>
        <v>0</v>
      </c>
      <c r="R31" s="326"/>
      <c r="S31" s="326"/>
      <c r="T31" s="326"/>
      <c r="U31" s="326"/>
      <c r="V31" s="326"/>
      <c r="W31" s="326"/>
      <c r="X31" s="326"/>
      <c r="Y31" s="326"/>
      <c r="Z31" s="326"/>
      <c r="AA31" s="326"/>
      <c r="AB31" s="326"/>
      <c r="AC31" s="326"/>
      <c r="AD31" s="326"/>
    </row>
    <row r="32" spans="1:30" s="188" customFormat="1" ht="29.25" customHeight="1">
      <c r="A32" s="210">
        <v>24</v>
      </c>
      <c r="B32" s="1193"/>
      <c r="C32" s="1149">
        <v>1</v>
      </c>
      <c r="D32" s="1148" t="s">
        <v>414</v>
      </c>
      <c r="E32" s="1148"/>
      <c r="F32" s="1151">
        <v>1010</v>
      </c>
      <c r="G32" s="1151"/>
      <c r="H32" s="469">
        <v>2237</v>
      </c>
      <c r="I32" s="1152"/>
      <c r="J32" s="468"/>
      <c r="K32" s="468"/>
      <c r="L32" s="468"/>
      <c r="M32" s="468"/>
      <c r="N32" s="468"/>
      <c r="O32" s="468"/>
      <c r="P32" s="468"/>
      <c r="Q32" s="1153"/>
      <c r="R32" s="468"/>
      <c r="S32" s="468"/>
      <c r="T32" s="468"/>
      <c r="U32" s="468"/>
      <c r="V32" s="468"/>
      <c r="W32" s="468"/>
      <c r="X32" s="468"/>
      <c r="Y32" s="468"/>
      <c r="Z32" s="468"/>
      <c r="AA32" s="468"/>
      <c r="AB32" s="468"/>
      <c r="AC32" s="468"/>
      <c r="AD32" s="468"/>
    </row>
    <row r="33" spans="1:30" s="188" customFormat="1" ht="14.25">
      <c r="A33" s="207">
        <v>25</v>
      </c>
      <c r="B33" s="1150"/>
      <c r="C33" s="559"/>
      <c r="D33" s="1148" t="s">
        <v>635</v>
      </c>
      <c r="E33" s="1148"/>
      <c r="F33" s="1151"/>
      <c r="G33" s="1151"/>
      <c r="H33" s="469"/>
      <c r="I33" s="1155">
        <f t="shared" si="4"/>
        <v>0</v>
      </c>
      <c r="J33" s="468"/>
      <c r="K33" s="468"/>
      <c r="L33" s="468"/>
      <c r="M33" s="468"/>
      <c r="N33" s="468"/>
      <c r="O33" s="468"/>
      <c r="P33" s="468"/>
      <c r="Q33" s="1153"/>
      <c r="R33" s="468"/>
      <c r="S33" s="468"/>
      <c r="T33" s="468"/>
      <c r="U33" s="468"/>
      <c r="V33" s="468"/>
      <c r="W33" s="468"/>
      <c r="X33" s="468"/>
      <c r="Y33" s="468"/>
      <c r="Z33" s="468"/>
      <c r="AA33" s="468"/>
      <c r="AB33" s="468"/>
      <c r="AC33" s="468"/>
      <c r="AD33" s="468"/>
    </row>
    <row r="34" spans="1:30" s="194" customFormat="1" ht="14.25">
      <c r="A34" s="207">
        <v>26</v>
      </c>
      <c r="B34" s="1156"/>
      <c r="C34" s="1157"/>
      <c r="D34" s="1158" t="s">
        <v>636</v>
      </c>
      <c r="E34" s="1158"/>
      <c r="F34" s="1159"/>
      <c r="G34" s="1159"/>
      <c r="H34" s="478"/>
      <c r="I34" s="1160">
        <f t="shared" si="4"/>
        <v>0</v>
      </c>
      <c r="J34" s="787"/>
      <c r="K34" s="787"/>
      <c r="L34" s="787"/>
      <c r="M34" s="787"/>
      <c r="N34" s="787"/>
      <c r="O34" s="787"/>
      <c r="P34" s="787"/>
      <c r="Q34" s="1161"/>
      <c r="R34" s="787"/>
      <c r="S34" s="787"/>
      <c r="T34" s="787"/>
      <c r="U34" s="787"/>
      <c r="V34" s="787"/>
      <c r="W34" s="787"/>
      <c r="X34" s="787"/>
      <c r="Y34" s="787"/>
      <c r="Z34" s="787"/>
      <c r="AA34" s="787"/>
      <c r="AB34" s="787"/>
      <c r="AC34" s="787"/>
      <c r="AD34" s="787"/>
    </row>
    <row r="35" spans="1:30" s="192" customFormat="1" ht="14.25">
      <c r="A35" s="207">
        <v>27</v>
      </c>
      <c r="B35" s="1162"/>
      <c r="C35" s="1163"/>
      <c r="D35" s="1164" t="s">
        <v>637</v>
      </c>
      <c r="E35" s="1164"/>
      <c r="F35" s="1165"/>
      <c r="G35" s="1165"/>
      <c r="H35" s="485"/>
      <c r="I35" s="1152">
        <f t="shared" si="4"/>
        <v>0</v>
      </c>
      <c r="J35" s="789">
        <f>SUM(J33:J34)</f>
        <v>0</v>
      </c>
      <c r="K35" s="789">
        <f aca="true" t="shared" si="6" ref="K35:Q35">SUM(K33:K34)</f>
        <v>0</v>
      </c>
      <c r="L35" s="789">
        <f t="shared" si="6"/>
        <v>0</v>
      </c>
      <c r="M35" s="789">
        <f t="shared" si="6"/>
        <v>0</v>
      </c>
      <c r="N35" s="789">
        <f t="shared" si="6"/>
        <v>0</v>
      </c>
      <c r="O35" s="789">
        <f t="shared" si="6"/>
        <v>0</v>
      </c>
      <c r="P35" s="789">
        <f t="shared" si="6"/>
        <v>0</v>
      </c>
      <c r="Q35" s="1166">
        <f t="shared" si="6"/>
        <v>0</v>
      </c>
      <c r="R35" s="789"/>
      <c r="S35" s="789"/>
      <c r="T35" s="789"/>
      <c r="U35" s="789"/>
      <c r="V35" s="789"/>
      <c r="W35" s="789"/>
      <c r="X35" s="789"/>
      <c r="Y35" s="789"/>
      <c r="Z35" s="789"/>
      <c r="AA35" s="789"/>
      <c r="AB35" s="789"/>
      <c r="AC35" s="789"/>
      <c r="AD35" s="789"/>
    </row>
    <row r="36" spans="1:30" s="216" customFormat="1" ht="15">
      <c r="A36" s="207">
        <v>28</v>
      </c>
      <c r="B36" s="170"/>
      <c r="C36" s="171">
        <v>2</v>
      </c>
      <c r="D36" s="214" t="s">
        <v>388</v>
      </c>
      <c r="E36" s="215"/>
      <c r="F36" s="472"/>
      <c r="G36" s="472">
        <v>1053</v>
      </c>
      <c r="H36" s="473">
        <v>1158</v>
      </c>
      <c r="I36" s="464"/>
      <c r="J36" s="197"/>
      <c r="K36" s="197"/>
      <c r="L36" s="197"/>
      <c r="M36" s="197"/>
      <c r="N36" s="197"/>
      <c r="O36" s="197"/>
      <c r="P36" s="197"/>
      <c r="Q36" s="470"/>
      <c r="R36" s="476"/>
      <c r="S36" s="476"/>
      <c r="T36" s="476"/>
      <c r="U36" s="476"/>
      <c r="V36" s="476"/>
      <c r="W36" s="476"/>
      <c r="X36" s="476"/>
      <c r="Y36" s="476"/>
      <c r="Z36" s="476"/>
      <c r="AA36" s="476"/>
      <c r="AB36" s="476"/>
      <c r="AC36" s="476"/>
      <c r="AD36" s="476"/>
    </row>
    <row r="37" spans="1:30" s="193" customFormat="1" ht="15">
      <c r="A37" s="207">
        <v>29</v>
      </c>
      <c r="B37" s="165"/>
      <c r="C37" s="156"/>
      <c r="D37" s="213" t="s">
        <v>635</v>
      </c>
      <c r="E37" s="213"/>
      <c r="F37" s="471"/>
      <c r="G37" s="471"/>
      <c r="H37" s="469"/>
      <c r="I37" s="790">
        <f t="shared" si="4"/>
        <v>268</v>
      </c>
      <c r="J37" s="197">
        <v>236</v>
      </c>
      <c r="K37" s="197">
        <v>32</v>
      </c>
      <c r="L37" s="197"/>
      <c r="M37" s="197"/>
      <c r="N37" s="197"/>
      <c r="O37" s="197"/>
      <c r="P37" s="197"/>
      <c r="Q37" s="470"/>
      <c r="R37" s="197"/>
      <c r="S37" s="197"/>
      <c r="T37" s="197"/>
      <c r="U37" s="197"/>
      <c r="V37" s="197"/>
      <c r="W37" s="197"/>
      <c r="X37" s="197"/>
      <c r="Y37" s="197"/>
      <c r="Z37" s="197"/>
      <c r="AA37" s="197"/>
      <c r="AB37" s="197"/>
      <c r="AC37" s="197"/>
      <c r="AD37" s="197"/>
    </row>
    <row r="38" spans="1:30" s="196" customFormat="1" ht="15">
      <c r="A38" s="207">
        <v>30</v>
      </c>
      <c r="B38" s="176"/>
      <c r="C38" s="748"/>
      <c r="D38" s="793" t="s">
        <v>636</v>
      </c>
      <c r="E38" s="793"/>
      <c r="F38" s="794"/>
      <c r="G38" s="794"/>
      <c r="H38" s="478"/>
      <c r="I38" s="791">
        <f t="shared" si="4"/>
        <v>0</v>
      </c>
      <c r="J38" s="480"/>
      <c r="K38" s="480"/>
      <c r="L38" s="480"/>
      <c r="M38" s="480"/>
      <c r="N38" s="480"/>
      <c r="O38" s="480"/>
      <c r="P38" s="480"/>
      <c r="Q38" s="481"/>
      <c r="R38" s="480"/>
      <c r="S38" s="480"/>
      <c r="T38" s="480"/>
      <c r="U38" s="480"/>
      <c r="V38" s="480"/>
      <c r="W38" s="480"/>
      <c r="X38" s="480"/>
      <c r="Y38" s="480"/>
      <c r="Z38" s="480"/>
      <c r="AA38" s="480"/>
      <c r="AB38" s="480"/>
      <c r="AC38" s="480"/>
      <c r="AD38" s="480"/>
    </row>
    <row r="39" spans="1:30" s="227" customFormat="1" ht="15">
      <c r="A39" s="207">
        <v>31</v>
      </c>
      <c r="B39" s="1101"/>
      <c r="C39" s="1102"/>
      <c r="D39" s="795" t="s">
        <v>637</v>
      </c>
      <c r="E39" s="795"/>
      <c r="F39" s="796"/>
      <c r="G39" s="796"/>
      <c r="H39" s="485"/>
      <c r="I39" s="464">
        <f t="shared" si="4"/>
        <v>268</v>
      </c>
      <c r="J39" s="326">
        <f>SUM(J37:J38)</f>
        <v>236</v>
      </c>
      <c r="K39" s="326">
        <f aca="true" t="shared" si="7" ref="K39:Q39">SUM(K37:K38)</f>
        <v>32</v>
      </c>
      <c r="L39" s="326">
        <f t="shared" si="7"/>
        <v>0</v>
      </c>
      <c r="M39" s="326">
        <f t="shared" si="7"/>
        <v>0</v>
      </c>
      <c r="N39" s="326">
        <f t="shared" si="7"/>
        <v>0</v>
      </c>
      <c r="O39" s="326">
        <f t="shared" si="7"/>
        <v>0</v>
      </c>
      <c r="P39" s="326">
        <f t="shared" si="7"/>
        <v>0</v>
      </c>
      <c r="Q39" s="491">
        <f t="shared" si="7"/>
        <v>0</v>
      </c>
      <c r="R39" s="326"/>
      <c r="S39" s="326"/>
      <c r="T39" s="326"/>
      <c r="U39" s="326"/>
      <c r="V39" s="326"/>
      <c r="W39" s="326"/>
      <c r="X39" s="326"/>
      <c r="Y39" s="326"/>
      <c r="Z39" s="326"/>
      <c r="AA39" s="326"/>
      <c r="AB39" s="326"/>
      <c r="AC39" s="326"/>
      <c r="AD39" s="326"/>
    </row>
    <row r="40" spans="1:30" s="209" customFormat="1" ht="15">
      <c r="A40" s="207">
        <v>32</v>
      </c>
      <c r="B40" s="159">
        <v>3</v>
      </c>
      <c r="C40" s="160"/>
      <c r="D40" s="161" t="s">
        <v>180</v>
      </c>
      <c r="E40" s="208" t="s">
        <v>31</v>
      </c>
      <c r="F40" s="462">
        <v>248435</v>
      </c>
      <c r="G40" s="462">
        <v>327758</v>
      </c>
      <c r="H40" s="463">
        <v>332667</v>
      </c>
      <c r="I40" s="464"/>
      <c r="J40" s="225"/>
      <c r="K40" s="225"/>
      <c r="L40" s="474"/>
      <c r="M40" s="474"/>
      <c r="N40" s="474"/>
      <c r="O40" s="474"/>
      <c r="P40" s="474"/>
      <c r="Q40" s="475"/>
      <c r="R40" s="466"/>
      <c r="S40" s="466"/>
      <c r="T40" s="466"/>
      <c r="U40" s="466"/>
      <c r="V40" s="466"/>
      <c r="W40" s="466"/>
      <c r="X40" s="466"/>
      <c r="Y40" s="466"/>
      <c r="Z40" s="466"/>
      <c r="AA40" s="466"/>
      <c r="AB40" s="466"/>
      <c r="AC40" s="466"/>
      <c r="AD40" s="466"/>
    </row>
    <row r="41" spans="1:30" s="193" customFormat="1" ht="15">
      <c r="A41" s="207">
        <v>33</v>
      </c>
      <c r="B41" s="165"/>
      <c r="C41" s="156"/>
      <c r="D41" s="166" t="s">
        <v>390</v>
      </c>
      <c r="E41" s="211"/>
      <c r="F41" s="468"/>
      <c r="G41" s="468"/>
      <c r="H41" s="469"/>
      <c r="I41" s="814"/>
      <c r="Q41" s="785"/>
      <c r="R41" s="197"/>
      <c r="S41" s="197"/>
      <c r="T41" s="197"/>
      <c r="U41" s="197"/>
      <c r="V41" s="197"/>
      <c r="W41" s="197"/>
      <c r="X41" s="197"/>
      <c r="Y41" s="197"/>
      <c r="Z41" s="197"/>
      <c r="AA41" s="197"/>
      <c r="AB41" s="197"/>
      <c r="AC41" s="197"/>
      <c r="AD41" s="197"/>
    </row>
    <row r="42" spans="1:30" s="193" customFormat="1" ht="15">
      <c r="A42" s="207">
        <v>34</v>
      </c>
      <c r="B42" s="165"/>
      <c r="C42" s="156"/>
      <c r="D42" s="166" t="s">
        <v>635</v>
      </c>
      <c r="E42" s="211"/>
      <c r="F42" s="468"/>
      <c r="G42" s="468"/>
      <c r="H42" s="469"/>
      <c r="I42" s="790">
        <f>J42+K42+L42+M42+N42+O42+P42+Q42</f>
        <v>344902</v>
      </c>
      <c r="J42" s="465">
        <v>219517</v>
      </c>
      <c r="K42" s="465">
        <v>62280</v>
      </c>
      <c r="L42" s="465">
        <v>60675</v>
      </c>
      <c r="M42" s="466"/>
      <c r="N42" s="466">
        <v>1200</v>
      </c>
      <c r="O42" s="466">
        <v>1230</v>
      </c>
      <c r="P42" s="466"/>
      <c r="Q42" s="467"/>
      <c r="R42" s="197"/>
      <c r="S42" s="197"/>
      <c r="T42" s="197"/>
      <c r="U42" s="197"/>
      <c r="V42" s="197"/>
      <c r="W42" s="197"/>
      <c r="X42" s="197"/>
      <c r="Y42" s="197"/>
      <c r="Z42" s="197"/>
      <c r="AA42" s="197"/>
      <c r="AB42" s="197"/>
      <c r="AC42" s="197"/>
      <c r="AD42" s="197"/>
    </row>
    <row r="43" spans="1:30" s="196" customFormat="1" ht="15">
      <c r="A43" s="207">
        <v>35</v>
      </c>
      <c r="B43" s="176"/>
      <c r="C43" s="748"/>
      <c r="D43" s="183" t="s">
        <v>686</v>
      </c>
      <c r="E43" s="786"/>
      <c r="F43" s="787"/>
      <c r="G43" s="787"/>
      <c r="H43" s="478"/>
      <c r="I43" s="791">
        <f t="shared" si="4"/>
        <v>221</v>
      </c>
      <c r="J43" s="480">
        <v>174</v>
      </c>
      <c r="K43" s="480">
        <v>47</v>
      </c>
      <c r="L43" s="480"/>
      <c r="M43" s="480"/>
      <c r="N43" s="480"/>
      <c r="O43" s="480"/>
      <c r="P43" s="480"/>
      <c r="Q43" s="481"/>
      <c r="R43" s="480"/>
      <c r="S43" s="480"/>
      <c r="T43" s="480"/>
      <c r="U43" s="480"/>
      <c r="V43" s="480"/>
      <c r="W43" s="480"/>
      <c r="X43" s="480"/>
      <c r="Y43" s="480"/>
      <c r="Z43" s="480"/>
      <c r="AA43" s="480"/>
      <c r="AB43" s="480"/>
      <c r="AC43" s="480"/>
      <c r="AD43" s="480"/>
    </row>
    <row r="44" spans="1:30" s="196" customFormat="1" ht="15">
      <c r="A44" s="207">
        <v>36</v>
      </c>
      <c r="B44" s="176"/>
      <c r="C44" s="748"/>
      <c r="D44" s="183" t="s">
        <v>704</v>
      </c>
      <c r="E44" s="786"/>
      <c r="F44" s="787"/>
      <c r="G44" s="787"/>
      <c r="H44" s="478"/>
      <c r="I44" s="791">
        <f t="shared" si="4"/>
        <v>8257</v>
      </c>
      <c r="J44" s="480">
        <v>3200</v>
      </c>
      <c r="K44" s="480">
        <v>828</v>
      </c>
      <c r="L44" s="480">
        <v>2229</v>
      </c>
      <c r="M44" s="480"/>
      <c r="N44" s="480"/>
      <c r="O44" s="480">
        <v>2000</v>
      </c>
      <c r="P44" s="480"/>
      <c r="Q44" s="481"/>
      <c r="R44" s="480"/>
      <c r="S44" s="480"/>
      <c r="T44" s="480"/>
      <c r="U44" s="480"/>
      <c r="V44" s="480"/>
      <c r="W44" s="480"/>
      <c r="X44" s="480"/>
      <c r="Y44" s="480"/>
      <c r="Z44" s="480"/>
      <c r="AA44" s="480"/>
      <c r="AB44" s="480"/>
      <c r="AC44" s="480"/>
      <c r="AD44" s="480"/>
    </row>
    <row r="45" spans="1:30" s="196" customFormat="1" ht="15">
      <c r="A45" s="207">
        <v>37</v>
      </c>
      <c r="B45" s="176"/>
      <c r="C45" s="748"/>
      <c r="D45" s="183" t="s">
        <v>734</v>
      </c>
      <c r="E45" s="786"/>
      <c r="F45" s="787"/>
      <c r="G45" s="787"/>
      <c r="H45" s="478"/>
      <c r="I45" s="791">
        <f t="shared" si="4"/>
        <v>403</v>
      </c>
      <c r="J45" s="480">
        <v>297</v>
      </c>
      <c r="K45" s="480">
        <v>106</v>
      </c>
      <c r="L45" s="480"/>
      <c r="M45" s="480"/>
      <c r="N45" s="480"/>
      <c r="O45" s="480"/>
      <c r="P45" s="480"/>
      <c r="Q45" s="481"/>
      <c r="R45" s="480"/>
      <c r="S45" s="480"/>
      <c r="T45" s="480"/>
      <c r="U45" s="480"/>
      <c r="V45" s="480"/>
      <c r="W45" s="480"/>
      <c r="X45" s="480"/>
      <c r="Y45" s="480"/>
      <c r="Z45" s="480"/>
      <c r="AA45" s="480"/>
      <c r="AB45" s="480"/>
      <c r="AC45" s="480"/>
      <c r="AD45" s="480"/>
    </row>
    <row r="46" spans="1:30" s="227" customFormat="1" ht="15">
      <c r="A46" s="207">
        <v>38</v>
      </c>
      <c r="B46" s="1101"/>
      <c r="C46" s="1102"/>
      <c r="D46" s="180" t="s">
        <v>637</v>
      </c>
      <c r="E46" s="220"/>
      <c r="F46" s="789"/>
      <c r="G46" s="789"/>
      <c r="H46" s="485"/>
      <c r="I46" s="464">
        <f t="shared" si="4"/>
        <v>353783</v>
      </c>
      <c r="J46" s="326">
        <f aca="true" t="shared" si="8" ref="J46:Q46">SUM(J42:J45)</f>
        <v>223188</v>
      </c>
      <c r="K46" s="326">
        <f t="shared" si="8"/>
        <v>63261</v>
      </c>
      <c r="L46" s="326">
        <f t="shared" si="8"/>
        <v>62904</v>
      </c>
      <c r="M46" s="326">
        <f t="shared" si="8"/>
        <v>0</v>
      </c>
      <c r="N46" s="326">
        <f t="shared" si="8"/>
        <v>1200</v>
      </c>
      <c r="O46" s="326">
        <f t="shared" si="8"/>
        <v>3230</v>
      </c>
      <c r="P46" s="326">
        <f t="shared" si="8"/>
        <v>0</v>
      </c>
      <c r="Q46" s="491">
        <f t="shared" si="8"/>
        <v>0</v>
      </c>
      <c r="R46" s="326"/>
      <c r="S46" s="326"/>
      <c r="T46" s="326"/>
      <c r="U46" s="326"/>
      <c r="V46" s="326"/>
      <c r="W46" s="326"/>
      <c r="X46" s="326"/>
      <c r="Y46" s="326"/>
      <c r="Z46" s="326"/>
      <c r="AA46" s="326"/>
      <c r="AB46" s="326"/>
      <c r="AC46" s="326"/>
      <c r="AD46" s="326"/>
    </row>
    <row r="47" spans="1:30" s="188" customFormat="1" ht="29.25" customHeight="1">
      <c r="A47" s="210">
        <v>39</v>
      </c>
      <c r="B47" s="1193"/>
      <c r="C47" s="1149">
        <v>1</v>
      </c>
      <c r="D47" s="1148" t="s">
        <v>414</v>
      </c>
      <c r="E47" s="1148"/>
      <c r="F47" s="1151">
        <v>281</v>
      </c>
      <c r="G47" s="1151"/>
      <c r="H47" s="469">
        <v>556</v>
      </c>
      <c r="I47" s="1152"/>
      <c r="J47" s="468"/>
      <c r="K47" s="468"/>
      <c r="L47" s="468"/>
      <c r="M47" s="468"/>
      <c r="N47" s="468"/>
      <c r="O47" s="468"/>
      <c r="P47" s="468"/>
      <c r="Q47" s="1153"/>
      <c r="R47" s="468"/>
      <c r="S47" s="468"/>
      <c r="T47" s="468"/>
      <c r="U47" s="468"/>
      <c r="V47" s="468"/>
      <c r="W47" s="468"/>
      <c r="X47" s="468"/>
      <c r="Y47" s="468"/>
      <c r="Z47" s="468"/>
      <c r="AA47" s="468"/>
      <c r="AB47" s="468"/>
      <c r="AC47" s="468"/>
      <c r="AD47" s="468"/>
    </row>
    <row r="48" spans="1:30" s="188" customFormat="1" ht="14.25">
      <c r="A48" s="207">
        <v>40</v>
      </c>
      <c r="B48" s="1150"/>
      <c r="C48" s="559"/>
      <c r="D48" s="1148" t="s">
        <v>635</v>
      </c>
      <c r="E48" s="1148"/>
      <c r="F48" s="1151"/>
      <c r="G48" s="1151"/>
      <c r="H48" s="469"/>
      <c r="I48" s="1155">
        <f t="shared" si="4"/>
        <v>0</v>
      </c>
      <c r="J48" s="468"/>
      <c r="K48" s="468"/>
      <c r="L48" s="468"/>
      <c r="M48" s="468"/>
      <c r="N48" s="468"/>
      <c r="O48" s="468"/>
      <c r="P48" s="468"/>
      <c r="Q48" s="1153"/>
      <c r="R48" s="468"/>
      <c r="S48" s="468"/>
      <c r="T48" s="468"/>
      <c r="U48" s="468"/>
      <c r="V48" s="468"/>
      <c r="W48" s="468"/>
      <c r="X48" s="468"/>
      <c r="Y48" s="468"/>
      <c r="Z48" s="468"/>
      <c r="AA48" s="468"/>
      <c r="AB48" s="468"/>
      <c r="AC48" s="468"/>
      <c r="AD48" s="468"/>
    </row>
    <row r="49" spans="1:30" s="194" customFormat="1" ht="14.25">
      <c r="A49" s="207">
        <v>41</v>
      </c>
      <c r="B49" s="1156"/>
      <c r="C49" s="1157"/>
      <c r="D49" s="1158" t="s">
        <v>636</v>
      </c>
      <c r="E49" s="1158"/>
      <c r="F49" s="1159"/>
      <c r="G49" s="1159"/>
      <c r="H49" s="478"/>
      <c r="I49" s="1160">
        <f t="shared" si="4"/>
        <v>0</v>
      </c>
      <c r="J49" s="787"/>
      <c r="K49" s="787"/>
      <c r="L49" s="787"/>
      <c r="M49" s="787"/>
      <c r="N49" s="787"/>
      <c r="O49" s="787"/>
      <c r="P49" s="787"/>
      <c r="Q49" s="1161"/>
      <c r="R49" s="787"/>
      <c r="S49" s="787"/>
      <c r="T49" s="787"/>
      <c r="U49" s="787"/>
      <c r="V49" s="787"/>
      <c r="W49" s="787"/>
      <c r="X49" s="787"/>
      <c r="Y49" s="787"/>
      <c r="Z49" s="787"/>
      <c r="AA49" s="787"/>
      <c r="AB49" s="787"/>
      <c r="AC49" s="787"/>
      <c r="AD49" s="787"/>
    </row>
    <row r="50" spans="1:30" s="192" customFormat="1" ht="14.25">
      <c r="A50" s="207">
        <v>42</v>
      </c>
      <c r="B50" s="1162"/>
      <c r="C50" s="1163"/>
      <c r="D50" s="1164" t="s">
        <v>637</v>
      </c>
      <c r="E50" s="1164"/>
      <c r="F50" s="1165"/>
      <c r="G50" s="1165"/>
      <c r="H50" s="485"/>
      <c r="I50" s="1152">
        <f t="shared" si="4"/>
        <v>0</v>
      </c>
      <c r="J50" s="789">
        <f>SUM(J48:J49)</f>
        <v>0</v>
      </c>
      <c r="K50" s="789">
        <f aca="true" t="shared" si="9" ref="K50:Q50">SUM(K48:K49)</f>
        <v>0</v>
      </c>
      <c r="L50" s="789">
        <f t="shared" si="9"/>
        <v>0</v>
      </c>
      <c r="M50" s="789">
        <f t="shared" si="9"/>
        <v>0</v>
      </c>
      <c r="N50" s="789">
        <f t="shared" si="9"/>
        <v>0</v>
      </c>
      <c r="O50" s="789">
        <f t="shared" si="9"/>
        <v>0</v>
      </c>
      <c r="P50" s="789">
        <f t="shared" si="9"/>
        <v>0</v>
      </c>
      <c r="Q50" s="1166">
        <f t="shared" si="9"/>
        <v>0</v>
      </c>
      <c r="R50" s="789"/>
      <c r="S50" s="789"/>
      <c r="T50" s="789"/>
      <c r="U50" s="789"/>
      <c r="V50" s="789"/>
      <c r="W50" s="789"/>
      <c r="X50" s="789"/>
      <c r="Y50" s="789"/>
      <c r="Z50" s="789"/>
      <c r="AA50" s="789"/>
      <c r="AB50" s="789"/>
      <c r="AC50" s="789"/>
      <c r="AD50" s="789"/>
    </row>
    <row r="51" spans="1:30" s="216" customFormat="1" ht="15">
      <c r="A51" s="207">
        <v>43</v>
      </c>
      <c r="B51" s="170"/>
      <c r="C51" s="171">
        <v>2</v>
      </c>
      <c r="D51" s="214" t="s">
        <v>388</v>
      </c>
      <c r="E51" s="215"/>
      <c r="F51" s="472"/>
      <c r="G51" s="472">
        <v>2317</v>
      </c>
      <c r="H51" s="473">
        <v>2146</v>
      </c>
      <c r="I51" s="464"/>
      <c r="J51" s="197"/>
      <c r="K51" s="197"/>
      <c r="L51" s="197"/>
      <c r="M51" s="197"/>
      <c r="N51" s="197"/>
      <c r="O51" s="197"/>
      <c r="P51" s="197"/>
      <c r="Q51" s="470"/>
      <c r="R51" s="476"/>
      <c r="S51" s="476"/>
      <c r="T51" s="476"/>
      <c r="U51" s="476"/>
      <c r="V51" s="476"/>
      <c r="W51" s="476"/>
      <c r="X51" s="476"/>
      <c r="Y51" s="476"/>
      <c r="Z51" s="476"/>
      <c r="AA51" s="476"/>
      <c r="AB51" s="476"/>
      <c r="AC51" s="476"/>
      <c r="AD51" s="476"/>
    </row>
    <row r="52" spans="1:30" s="193" customFormat="1" ht="15">
      <c r="A52" s="207">
        <v>44</v>
      </c>
      <c r="B52" s="165"/>
      <c r="C52" s="156"/>
      <c r="D52" s="213" t="s">
        <v>635</v>
      </c>
      <c r="E52" s="213"/>
      <c r="F52" s="471"/>
      <c r="G52" s="471"/>
      <c r="H52" s="469"/>
      <c r="I52" s="790">
        <f t="shared" si="4"/>
        <v>0</v>
      </c>
      <c r="J52" s="197"/>
      <c r="K52" s="197"/>
      <c r="L52" s="197"/>
      <c r="M52" s="197"/>
      <c r="N52" s="197"/>
      <c r="O52" s="197"/>
      <c r="P52" s="197"/>
      <c r="Q52" s="470"/>
      <c r="R52" s="197"/>
      <c r="S52" s="197"/>
      <c r="T52" s="197"/>
      <c r="U52" s="197"/>
      <c r="V52" s="197"/>
      <c r="W52" s="197"/>
      <c r="X52" s="197"/>
      <c r="Y52" s="197"/>
      <c r="Z52" s="197"/>
      <c r="AA52" s="197"/>
      <c r="AB52" s="197"/>
      <c r="AC52" s="197"/>
      <c r="AD52" s="197"/>
    </row>
    <row r="53" spans="1:30" s="196" customFormat="1" ht="15">
      <c r="A53" s="207">
        <v>45</v>
      </c>
      <c r="B53" s="176"/>
      <c r="C53" s="748"/>
      <c r="D53" s="793" t="s">
        <v>636</v>
      </c>
      <c r="E53" s="793"/>
      <c r="F53" s="794"/>
      <c r="G53" s="794"/>
      <c r="H53" s="478"/>
      <c r="I53" s="791">
        <f t="shared" si="4"/>
        <v>0</v>
      </c>
      <c r="J53" s="480"/>
      <c r="K53" s="480"/>
      <c r="L53" s="480"/>
      <c r="M53" s="480"/>
      <c r="N53" s="480"/>
      <c r="O53" s="480"/>
      <c r="P53" s="480"/>
      <c r="Q53" s="481"/>
      <c r="R53" s="480"/>
      <c r="S53" s="480"/>
      <c r="T53" s="480"/>
      <c r="U53" s="480"/>
      <c r="V53" s="480"/>
      <c r="W53" s="480"/>
      <c r="X53" s="480"/>
      <c r="Y53" s="480"/>
      <c r="Z53" s="480"/>
      <c r="AA53" s="480"/>
      <c r="AB53" s="480"/>
      <c r="AC53" s="480"/>
      <c r="AD53" s="480"/>
    </row>
    <row r="54" spans="1:30" s="227" customFormat="1" ht="15">
      <c r="A54" s="207">
        <v>46</v>
      </c>
      <c r="B54" s="1101"/>
      <c r="C54" s="1102"/>
      <c r="D54" s="795" t="s">
        <v>637</v>
      </c>
      <c r="E54" s="795"/>
      <c r="F54" s="796"/>
      <c r="G54" s="796"/>
      <c r="H54" s="485"/>
      <c r="I54" s="464">
        <f t="shared" si="4"/>
        <v>0</v>
      </c>
      <c r="J54" s="326">
        <f>SUM(J52:J53)</f>
        <v>0</v>
      </c>
      <c r="K54" s="326">
        <f aca="true" t="shared" si="10" ref="K54:Q54">SUM(K52:K53)</f>
        <v>0</v>
      </c>
      <c r="L54" s="326">
        <f t="shared" si="10"/>
        <v>0</v>
      </c>
      <c r="M54" s="326">
        <f t="shared" si="10"/>
        <v>0</v>
      </c>
      <c r="N54" s="326">
        <f t="shared" si="10"/>
        <v>0</v>
      </c>
      <c r="O54" s="326">
        <f t="shared" si="10"/>
        <v>0</v>
      </c>
      <c r="P54" s="326">
        <f t="shared" si="10"/>
        <v>0</v>
      </c>
      <c r="Q54" s="491">
        <f t="shared" si="10"/>
        <v>0</v>
      </c>
      <c r="R54" s="326"/>
      <c r="S54" s="326"/>
      <c r="T54" s="326"/>
      <c r="U54" s="326"/>
      <c r="V54" s="326"/>
      <c r="W54" s="326"/>
      <c r="X54" s="326"/>
      <c r="Y54" s="326"/>
      <c r="Z54" s="326"/>
      <c r="AA54" s="326"/>
      <c r="AB54" s="326"/>
      <c r="AC54" s="326"/>
      <c r="AD54" s="326"/>
    </row>
    <row r="55" spans="1:30" s="209" customFormat="1" ht="15">
      <c r="A55" s="207">
        <v>47</v>
      </c>
      <c r="B55" s="159">
        <v>4</v>
      </c>
      <c r="C55" s="160"/>
      <c r="D55" s="161" t="s">
        <v>53</v>
      </c>
      <c r="E55" s="208" t="s">
        <v>31</v>
      </c>
      <c r="F55" s="462">
        <v>189834</v>
      </c>
      <c r="G55" s="462">
        <v>240673</v>
      </c>
      <c r="H55" s="463">
        <v>235464</v>
      </c>
      <c r="I55" s="464"/>
      <c r="J55" s="225"/>
      <c r="K55" s="225"/>
      <c r="L55" s="474"/>
      <c r="M55" s="474"/>
      <c r="N55" s="474"/>
      <c r="O55" s="474"/>
      <c r="P55" s="474"/>
      <c r="Q55" s="475"/>
      <c r="R55" s="466"/>
      <c r="S55" s="466"/>
      <c r="T55" s="466"/>
      <c r="U55" s="466"/>
      <c r="V55" s="466"/>
      <c r="W55" s="466"/>
      <c r="X55" s="466"/>
      <c r="Y55" s="466"/>
      <c r="Z55" s="466"/>
      <c r="AA55" s="466"/>
      <c r="AB55" s="466"/>
      <c r="AC55" s="466"/>
      <c r="AD55" s="466"/>
    </row>
    <row r="56" spans="1:30" s="193" customFormat="1" ht="15">
      <c r="A56" s="207">
        <v>48</v>
      </c>
      <c r="B56" s="165"/>
      <c r="C56" s="156"/>
      <c r="D56" s="166" t="s">
        <v>391</v>
      </c>
      <c r="E56" s="211"/>
      <c r="F56" s="468"/>
      <c r="G56" s="468"/>
      <c r="H56" s="469"/>
      <c r="I56" s="814"/>
      <c r="Q56" s="785"/>
      <c r="R56" s="197"/>
      <c r="S56" s="197"/>
      <c r="T56" s="197"/>
      <c r="U56" s="197"/>
      <c r="V56" s="197"/>
      <c r="W56" s="197"/>
      <c r="X56" s="197"/>
      <c r="Y56" s="197"/>
      <c r="Z56" s="197"/>
      <c r="AA56" s="197"/>
      <c r="AB56" s="197"/>
      <c r="AC56" s="197"/>
      <c r="AD56" s="197"/>
    </row>
    <row r="57" spans="1:30" s="193" customFormat="1" ht="15">
      <c r="A57" s="207">
        <v>49</v>
      </c>
      <c r="B57" s="165"/>
      <c r="C57" s="156"/>
      <c r="D57" s="166" t="s">
        <v>635</v>
      </c>
      <c r="E57" s="211"/>
      <c r="F57" s="468"/>
      <c r="G57" s="468"/>
      <c r="H57" s="469"/>
      <c r="I57" s="790">
        <f>J57+K57+L57+M57+N57+O57+P57+Q57</f>
        <v>255649</v>
      </c>
      <c r="J57" s="465">
        <v>159807</v>
      </c>
      <c r="K57" s="465">
        <v>43426</v>
      </c>
      <c r="L57" s="465">
        <v>50726</v>
      </c>
      <c r="M57" s="466"/>
      <c r="N57" s="466">
        <v>790</v>
      </c>
      <c r="O57" s="466">
        <v>900</v>
      </c>
      <c r="P57" s="466"/>
      <c r="Q57" s="467"/>
      <c r="R57" s="197"/>
      <c r="S57" s="197"/>
      <c r="T57" s="197"/>
      <c r="U57" s="197"/>
      <c r="V57" s="197"/>
      <c r="W57" s="197"/>
      <c r="X57" s="197"/>
      <c r="Y57" s="197"/>
      <c r="Z57" s="197"/>
      <c r="AA57" s="197"/>
      <c r="AB57" s="197"/>
      <c r="AC57" s="197"/>
      <c r="AD57" s="197"/>
    </row>
    <row r="58" spans="1:30" s="196" customFormat="1" ht="15">
      <c r="A58" s="207">
        <v>50</v>
      </c>
      <c r="B58" s="176"/>
      <c r="C58" s="748"/>
      <c r="D58" s="183" t="s">
        <v>686</v>
      </c>
      <c r="E58" s="786"/>
      <c r="F58" s="787"/>
      <c r="G58" s="787"/>
      <c r="H58" s="478"/>
      <c r="I58" s="791">
        <f t="shared" si="4"/>
        <v>387</v>
      </c>
      <c r="J58" s="480">
        <v>305</v>
      </c>
      <c r="K58" s="480">
        <v>82</v>
      </c>
      <c r="L58" s="480"/>
      <c r="M58" s="480"/>
      <c r="N58" s="480"/>
      <c r="O58" s="480"/>
      <c r="P58" s="480"/>
      <c r="Q58" s="481"/>
      <c r="R58" s="480"/>
      <c r="S58" s="480"/>
      <c r="T58" s="480"/>
      <c r="U58" s="480"/>
      <c r="V58" s="480"/>
      <c r="W58" s="480"/>
      <c r="X58" s="480"/>
      <c r="Y58" s="480"/>
      <c r="Z58" s="480"/>
      <c r="AA58" s="480"/>
      <c r="AB58" s="480"/>
      <c r="AC58" s="480"/>
      <c r="AD58" s="480"/>
    </row>
    <row r="59" spans="1:30" s="196" customFormat="1" ht="15">
      <c r="A59" s="207">
        <v>51</v>
      </c>
      <c r="B59" s="176"/>
      <c r="C59" s="748"/>
      <c r="D59" s="183" t="s">
        <v>704</v>
      </c>
      <c r="E59" s="786"/>
      <c r="F59" s="787"/>
      <c r="G59" s="787"/>
      <c r="H59" s="478"/>
      <c r="I59" s="791">
        <f t="shared" si="4"/>
        <v>12515</v>
      </c>
      <c r="J59" s="480">
        <v>1000</v>
      </c>
      <c r="K59" s="480">
        <v>1000</v>
      </c>
      <c r="L59" s="480">
        <v>1715</v>
      </c>
      <c r="M59" s="480"/>
      <c r="N59" s="480">
        <v>500</v>
      </c>
      <c r="O59" s="480">
        <v>8300</v>
      </c>
      <c r="P59" s="480"/>
      <c r="Q59" s="481"/>
      <c r="R59" s="480"/>
      <c r="S59" s="480"/>
      <c r="T59" s="480"/>
      <c r="U59" s="480"/>
      <c r="V59" s="480"/>
      <c r="W59" s="480"/>
      <c r="X59" s="480"/>
      <c r="Y59" s="480"/>
      <c r="Z59" s="480"/>
      <c r="AA59" s="480"/>
      <c r="AB59" s="480"/>
      <c r="AC59" s="480"/>
      <c r="AD59" s="480"/>
    </row>
    <row r="60" spans="1:30" s="196" customFormat="1" ht="15">
      <c r="A60" s="207">
        <v>52</v>
      </c>
      <c r="B60" s="176"/>
      <c r="C60" s="748"/>
      <c r="D60" s="183" t="s">
        <v>734</v>
      </c>
      <c r="E60" s="786"/>
      <c r="F60" s="787"/>
      <c r="G60" s="787"/>
      <c r="H60" s="478"/>
      <c r="I60" s="791">
        <f t="shared" si="4"/>
        <v>288</v>
      </c>
      <c r="J60" s="480">
        <v>212</v>
      </c>
      <c r="K60" s="480">
        <v>76</v>
      </c>
      <c r="L60" s="480"/>
      <c r="M60" s="480"/>
      <c r="N60" s="480"/>
      <c r="O60" s="480"/>
      <c r="P60" s="480"/>
      <c r="Q60" s="481"/>
      <c r="R60" s="480"/>
      <c r="S60" s="480"/>
      <c r="T60" s="480"/>
      <c r="U60" s="480"/>
      <c r="V60" s="480"/>
      <c r="W60" s="480"/>
      <c r="X60" s="480"/>
      <c r="Y60" s="480"/>
      <c r="Z60" s="480"/>
      <c r="AA60" s="480"/>
      <c r="AB60" s="480"/>
      <c r="AC60" s="480"/>
      <c r="AD60" s="480"/>
    </row>
    <row r="61" spans="1:30" s="196" customFormat="1" ht="15">
      <c r="A61" s="207">
        <v>53</v>
      </c>
      <c r="B61" s="176"/>
      <c r="C61" s="748"/>
      <c r="D61" s="183" t="s">
        <v>804</v>
      </c>
      <c r="E61" s="786"/>
      <c r="F61" s="787"/>
      <c r="G61" s="787"/>
      <c r="H61" s="478"/>
      <c r="I61" s="791">
        <f t="shared" si="4"/>
        <v>200</v>
      </c>
      <c r="J61" s="480"/>
      <c r="K61" s="480"/>
      <c r="L61" s="480">
        <v>200</v>
      </c>
      <c r="M61" s="480"/>
      <c r="N61" s="480"/>
      <c r="O61" s="480"/>
      <c r="P61" s="480"/>
      <c r="Q61" s="481"/>
      <c r="R61" s="480"/>
      <c r="S61" s="480"/>
      <c r="T61" s="480"/>
      <c r="U61" s="480"/>
      <c r="V61" s="480"/>
      <c r="W61" s="480"/>
      <c r="X61" s="480"/>
      <c r="Y61" s="480"/>
      <c r="Z61" s="480"/>
      <c r="AA61" s="480"/>
      <c r="AB61" s="480"/>
      <c r="AC61" s="480"/>
      <c r="AD61" s="480"/>
    </row>
    <row r="62" spans="1:30" s="227" customFormat="1" ht="15">
      <c r="A62" s="207">
        <v>54</v>
      </c>
      <c r="B62" s="1101"/>
      <c r="C62" s="1102"/>
      <c r="D62" s="180" t="s">
        <v>637</v>
      </c>
      <c r="E62" s="220"/>
      <c r="F62" s="789"/>
      <c r="G62" s="789"/>
      <c r="H62" s="485"/>
      <c r="I62" s="464">
        <f t="shared" si="4"/>
        <v>269039</v>
      </c>
      <c r="J62" s="326">
        <f>SUM(J57:J61)</f>
        <v>161324</v>
      </c>
      <c r="K62" s="326">
        <f aca="true" t="shared" si="11" ref="K62:Q62">SUM(K57:K61)</f>
        <v>44584</v>
      </c>
      <c r="L62" s="326">
        <f t="shared" si="11"/>
        <v>52641</v>
      </c>
      <c r="M62" s="326">
        <f t="shared" si="11"/>
        <v>0</v>
      </c>
      <c r="N62" s="326">
        <f t="shared" si="11"/>
        <v>1290</v>
      </c>
      <c r="O62" s="326">
        <f t="shared" si="11"/>
        <v>9200</v>
      </c>
      <c r="P62" s="326">
        <f t="shared" si="11"/>
        <v>0</v>
      </c>
      <c r="Q62" s="491">
        <f t="shared" si="11"/>
        <v>0</v>
      </c>
      <c r="R62" s="326"/>
      <c r="S62" s="326"/>
      <c r="T62" s="326"/>
      <c r="U62" s="326"/>
      <c r="V62" s="326"/>
      <c r="W62" s="326"/>
      <c r="X62" s="326"/>
      <c r="Y62" s="326"/>
      <c r="Z62" s="326"/>
      <c r="AA62" s="326"/>
      <c r="AB62" s="326"/>
      <c r="AC62" s="326"/>
      <c r="AD62" s="326"/>
    </row>
    <row r="63" spans="1:30" s="193" customFormat="1" ht="29.25" customHeight="1">
      <c r="A63" s="210">
        <v>55</v>
      </c>
      <c r="B63" s="170"/>
      <c r="C63" s="171">
        <v>1</v>
      </c>
      <c r="D63" s="213" t="s">
        <v>414</v>
      </c>
      <c r="E63" s="213"/>
      <c r="F63" s="471">
        <v>264</v>
      </c>
      <c r="G63" s="471"/>
      <c r="H63" s="469">
        <v>613</v>
      </c>
      <c r="I63" s="464"/>
      <c r="J63" s="197"/>
      <c r="K63" s="197"/>
      <c r="L63" s="197"/>
      <c r="M63" s="197"/>
      <c r="N63" s="197"/>
      <c r="O63" s="197"/>
      <c r="P63" s="197"/>
      <c r="Q63" s="470"/>
      <c r="R63" s="197"/>
      <c r="S63" s="197"/>
      <c r="T63" s="197"/>
      <c r="U63" s="197"/>
      <c r="V63" s="197"/>
      <c r="W63" s="197"/>
      <c r="X63" s="197"/>
      <c r="Y63" s="197"/>
      <c r="Z63" s="197"/>
      <c r="AA63" s="197"/>
      <c r="AB63" s="197"/>
      <c r="AC63" s="197"/>
      <c r="AD63" s="197"/>
    </row>
    <row r="64" spans="1:30" s="193" customFormat="1" ht="15">
      <c r="A64" s="207">
        <v>56</v>
      </c>
      <c r="B64" s="165"/>
      <c r="C64" s="156"/>
      <c r="D64" s="213" t="s">
        <v>635</v>
      </c>
      <c r="E64" s="213"/>
      <c r="F64" s="471"/>
      <c r="G64" s="471"/>
      <c r="H64" s="469"/>
      <c r="I64" s="790">
        <f t="shared" si="4"/>
        <v>0</v>
      </c>
      <c r="J64" s="197"/>
      <c r="K64" s="197"/>
      <c r="L64" s="197"/>
      <c r="M64" s="197"/>
      <c r="N64" s="197"/>
      <c r="O64" s="197"/>
      <c r="P64" s="197"/>
      <c r="Q64" s="470"/>
      <c r="R64" s="197"/>
      <c r="S64" s="197"/>
      <c r="T64" s="197"/>
      <c r="U64" s="197"/>
      <c r="V64" s="197"/>
      <c r="W64" s="197"/>
      <c r="X64" s="197"/>
      <c r="Y64" s="197"/>
      <c r="Z64" s="197"/>
      <c r="AA64" s="197"/>
      <c r="AB64" s="197"/>
      <c r="AC64" s="197"/>
      <c r="AD64" s="197"/>
    </row>
    <row r="65" spans="1:30" s="196" customFormat="1" ht="15">
      <c r="A65" s="207">
        <v>57</v>
      </c>
      <c r="B65" s="176"/>
      <c r="C65" s="748"/>
      <c r="D65" s="793" t="s">
        <v>636</v>
      </c>
      <c r="E65" s="793"/>
      <c r="F65" s="794"/>
      <c r="G65" s="794"/>
      <c r="H65" s="478"/>
      <c r="I65" s="791">
        <f t="shared" si="4"/>
        <v>0</v>
      </c>
      <c r="J65" s="480"/>
      <c r="K65" s="480"/>
      <c r="L65" s="480"/>
      <c r="M65" s="480"/>
      <c r="N65" s="480"/>
      <c r="O65" s="480"/>
      <c r="P65" s="480"/>
      <c r="Q65" s="481"/>
      <c r="R65" s="480"/>
      <c r="S65" s="480"/>
      <c r="T65" s="480"/>
      <c r="U65" s="480"/>
      <c r="V65" s="480"/>
      <c r="W65" s="480"/>
      <c r="X65" s="480"/>
      <c r="Y65" s="480"/>
      <c r="Z65" s="480"/>
      <c r="AA65" s="480"/>
      <c r="AB65" s="480"/>
      <c r="AC65" s="480"/>
      <c r="AD65" s="480"/>
    </row>
    <row r="66" spans="1:30" s="227" customFormat="1" ht="15">
      <c r="A66" s="207">
        <v>58</v>
      </c>
      <c r="B66" s="1101"/>
      <c r="C66" s="1102"/>
      <c r="D66" s="795" t="s">
        <v>637</v>
      </c>
      <c r="E66" s="795"/>
      <c r="F66" s="796"/>
      <c r="G66" s="796"/>
      <c r="H66" s="485"/>
      <c r="I66" s="464">
        <f t="shared" si="4"/>
        <v>0</v>
      </c>
      <c r="J66" s="326">
        <f>SUM(J64:J65)</f>
        <v>0</v>
      </c>
      <c r="K66" s="326">
        <f aca="true" t="shared" si="12" ref="K66:Q66">SUM(K64:K65)</f>
        <v>0</v>
      </c>
      <c r="L66" s="326">
        <f t="shared" si="12"/>
        <v>0</v>
      </c>
      <c r="M66" s="326">
        <f t="shared" si="12"/>
        <v>0</v>
      </c>
      <c r="N66" s="326">
        <f t="shared" si="12"/>
        <v>0</v>
      </c>
      <c r="O66" s="326">
        <f t="shared" si="12"/>
        <v>0</v>
      </c>
      <c r="P66" s="326">
        <f t="shared" si="12"/>
        <v>0</v>
      </c>
      <c r="Q66" s="491">
        <f t="shared" si="12"/>
        <v>0</v>
      </c>
      <c r="R66" s="326"/>
      <c r="S66" s="326"/>
      <c r="T66" s="326"/>
      <c r="U66" s="326"/>
      <c r="V66" s="326"/>
      <c r="W66" s="326"/>
      <c r="X66" s="326"/>
      <c r="Y66" s="326"/>
      <c r="Z66" s="326"/>
      <c r="AA66" s="326"/>
      <c r="AB66" s="326"/>
      <c r="AC66" s="326"/>
      <c r="AD66" s="326"/>
    </row>
    <row r="67" spans="1:30" s="216" customFormat="1" ht="15">
      <c r="A67" s="207">
        <v>59</v>
      </c>
      <c r="B67" s="170"/>
      <c r="C67" s="171">
        <v>2</v>
      </c>
      <c r="D67" s="214" t="s">
        <v>388</v>
      </c>
      <c r="E67" s="215"/>
      <c r="F67" s="472"/>
      <c r="G67" s="472">
        <v>1518</v>
      </c>
      <c r="H67" s="473">
        <v>1421</v>
      </c>
      <c r="I67" s="464"/>
      <c r="J67" s="197"/>
      <c r="K67" s="197"/>
      <c r="L67" s="197"/>
      <c r="M67" s="197"/>
      <c r="N67" s="197"/>
      <c r="O67" s="197"/>
      <c r="P67" s="197"/>
      <c r="Q67" s="470"/>
      <c r="R67" s="476"/>
      <c r="S67" s="476"/>
      <c r="T67" s="476"/>
      <c r="U67" s="476"/>
      <c r="V67" s="476"/>
      <c r="W67" s="476"/>
      <c r="X67" s="476"/>
      <c r="Y67" s="476"/>
      <c r="Z67" s="476"/>
      <c r="AA67" s="476"/>
      <c r="AB67" s="476"/>
      <c r="AC67" s="476"/>
      <c r="AD67" s="476"/>
    </row>
    <row r="68" spans="1:30" s="193" customFormat="1" ht="15">
      <c r="A68" s="207">
        <v>60</v>
      </c>
      <c r="B68" s="165"/>
      <c r="C68" s="156"/>
      <c r="D68" s="213" t="s">
        <v>635</v>
      </c>
      <c r="E68" s="213"/>
      <c r="F68" s="471"/>
      <c r="G68" s="471"/>
      <c r="H68" s="469"/>
      <c r="I68" s="790">
        <f t="shared" si="4"/>
        <v>0</v>
      </c>
      <c r="J68" s="197"/>
      <c r="K68" s="197"/>
      <c r="L68" s="197"/>
      <c r="M68" s="197"/>
      <c r="N68" s="197"/>
      <c r="O68" s="197"/>
      <c r="P68" s="197"/>
      <c r="Q68" s="470"/>
      <c r="R68" s="197"/>
      <c r="S68" s="197"/>
      <c r="T68" s="197"/>
      <c r="U68" s="197"/>
      <c r="V68" s="197"/>
      <c r="W68" s="197"/>
      <c r="X68" s="197"/>
      <c r="Y68" s="197"/>
      <c r="Z68" s="197"/>
      <c r="AA68" s="197"/>
      <c r="AB68" s="197"/>
      <c r="AC68" s="197"/>
      <c r="AD68" s="197"/>
    </row>
    <row r="69" spans="1:30" s="196" customFormat="1" ht="15">
      <c r="A69" s="207">
        <v>61</v>
      </c>
      <c r="B69" s="176"/>
      <c r="C69" s="748"/>
      <c r="D69" s="793" t="s">
        <v>636</v>
      </c>
      <c r="E69" s="793"/>
      <c r="F69" s="794"/>
      <c r="G69" s="794"/>
      <c r="H69" s="478"/>
      <c r="I69" s="791">
        <f t="shared" si="4"/>
        <v>0</v>
      </c>
      <c r="J69" s="480"/>
      <c r="K69" s="480"/>
      <c r="L69" s="480"/>
      <c r="M69" s="480"/>
      <c r="N69" s="480"/>
      <c r="O69" s="480"/>
      <c r="P69" s="480"/>
      <c r="Q69" s="481"/>
      <c r="R69" s="480"/>
      <c r="S69" s="480"/>
      <c r="T69" s="480"/>
      <c r="U69" s="480"/>
      <c r="V69" s="480"/>
      <c r="W69" s="480"/>
      <c r="X69" s="480"/>
      <c r="Y69" s="480"/>
      <c r="Z69" s="480"/>
      <c r="AA69" s="480"/>
      <c r="AB69" s="480"/>
      <c r="AC69" s="480"/>
      <c r="AD69" s="480"/>
    </row>
    <row r="70" spans="1:30" s="227" customFormat="1" ht="15">
      <c r="A70" s="207">
        <v>62</v>
      </c>
      <c r="B70" s="1101"/>
      <c r="C70" s="1102"/>
      <c r="D70" s="795" t="s">
        <v>637</v>
      </c>
      <c r="E70" s="795"/>
      <c r="F70" s="796"/>
      <c r="G70" s="796"/>
      <c r="H70" s="485"/>
      <c r="I70" s="464">
        <f t="shared" si="4"/>
        <v>0</v>
      </c>
      <c r="J70" s="326">
        <f>SUM(J68:J69)</f>
        <v>0</v>
      </c>
      <c r="K70" s="326">
        <f aca="true" t="shared" si="13" ref="K70:Q70">SUM(K68:K69)</f>
        <v>0</v>
      </c>
      <c r="L70" s="326">
        <f t="shared" si="13"/>
        <v>0</v>
      </c>
      <c r="M70" s="326">
        <f t="shared" si="13"/>
        <v>0</v>
      </c>
      <c r="N70" s="326">
        <f t="shared" si="13"/>
        <v>0</v>
      </c>
      <c r="O70" s="326">
        <f t="shared" si="13"/>
        <v>0</v>
      </c>
      <c r="P70" s="326">
        <f t="shared" si="13"/>
        <v>0</v>
      </c>
      <c r="Q70" s="491">
        <f t="shared" si="13"/>
        <v>0</v>
      </c>
      <c r="R70" s="326"/>
      <c r="S70" s="326"/>
      <c r="T70" s="326"/>
      <c r="U70" s="326"/>
      <c r="V70" s="326"/>
      <c r="W70" s="326"/>
      <c r="X70" s="326"/>
      <c r="Y70" s="326"/>
      <c r="Z70" s="326"/>
      <c r="AA70" s="326"/>
      <c r="AB70" s="326"/>
      <c r="AC70" s="326"/>
      <c r="AD70" s="326"/>
    </row>
    <row r="71" spans="1:30" s="209" customFormat="1" ht="15">
      <c r="A71" s="207">
        <v>63</v>
      </c>
      <c r="B71" s="159">
        <v>5</v>
      </c>
      <c r="C71" s="160"/>
      <c r="D71" s="161" t="s">
        <v>55</v>
      </c>
      <c r="E71" s="208" t="s">
        <v>31</v>
      </c>
      <c r="F71" s="462">
        <v>222369</v>
      </c>
      <c r="G71" s="462">
        <v>294881</v>
      </c>
      <c r="H71" s="463">
        <v>289945</v>
      </c>
      <c r="I71" s="464"/>
      <c r="J71" s="225"/>
      <c r="K71" s="225"/>
      <c r="L71" s="474"/>
      <c r="M71" s="474"/>
      <c r="N71" s="474"/>
      <c r="O71" s="474"/>
      <c r="P71" s="474"/>
      <c r="Q71" s="475"/>
      <c r="R71" s="466"/>
      <c r="S71" s="466"/>
      <c r="T71" s="466"/>
      <c r="U71" s="466"/>
      <c r="V71" s="466"/>
      <c r="W71" s="466"/>
      <c r="X71" s="466"/>
      <c r="Y71" s="466"/>
      <c r="Z71" s="466"/>
      <c r="AA71" s="466"/>
      <c r="AB71" s="466"/>
      <c r="AC71" s="466"/>
      <c r="AD71" s="466"/>
    </row>
    <row r="72" spans="1:30" s="193" customFormat="1" ht="15">
      <c r="A72" s="207">
        <v>64</v>
      </c>
      <c r="B72" s="165"/>
      <c r="C72" s="156"/>
      <c r="D72" s="166" t="s">
        <v>392</v>
      </c>
      <c r="E72" s="211"/>
      <c r="F72" s="468"/>
      <c r="G72" s="468"/>
      <c r="H72" s="469"/>
      <c r="I72" s="814"/>
      <c r="Q72" s="785"/>
      <c r="R72" s="197"/>
      <c r="S72" s="197"/>
      <c r="T72" s="197"/>
      <c r="U72" s="197"/>
      <c r="V72" s="197"/>
      <c r="W72" s="197"/>
      <c r="X72" s="197"/>
      <c r="Y72" s="197"/>
      <c r="Z72" s="197"/>
      <c r="AA72" s="197"/>
      <c r="AB72" s="197"/>
      <c r="AC72" s="197"/>
      <c r="AD72" s="197"/>
    </row>
    <row r="73" spans="1:30" s="193" customFormat="1" ht="15">
      <c r="A73" s="207">
        <v>65</v>
      </c>
      <c r="B73" s="165"/>
      <c r="C73" s="156"/>
      <c r="D73" s="166" t="s">
        <v>635</v>
      </c>
      <c r="E73" s="211"/>
      <c r="F73" s="468"/>
      <c r="G73" s="468"/>
      <c r="H73" s="469"/>
      <c r="I73" s="790">
        <f>J73+K73+L73+M73+N73+O73+P73+Q73</f>
        <v>272389</v>
      </c>
      <c r="J73" s="465">
        <v>162467</v>
      </c>
      <c r="K73" s="465">
        <v>45193</v>
      </c>
      <c r="L73" s="465">
        <v>62259</v>
      </c>
      <c r="M73" s="466"/>
      <c r="N73" s="466">
        <v>1995</v>
      </c>
      <c r="O73" s="466">
        <v>475</v>
      </c>
      <c r="P73" s="466"/>
      <c r="Q73" s="467"/>
      <c r="R73" s="197"/>
      <c r="S73" s="197"/>
      <c r="T73" s="197"/>
      <c r="U73" s="197"/>
      <c r="V73" s="197"/>
      <c r="W73" s="197"/>
      <c r="X73" s="197"/>
      <c r="Y73" s="197"/>
      <c r="Z73" s="197"/>
      <c r="AA73" s="197"/>
      <c r="AB73" s="197"/>
      <c r="AC73" s="197"/>
      <c r="AD73" s="197"/>
    </row>
    <row r="74" spans="1:30" s="196" customFormat="1" ht="15">
      <c r="A74" s="207">
        <v>66</v>
      </c>
      <c r="B74" s="176"/>
      <c r="C74" s="748"/>
      <c r="D74" s="183" t="s">
        <v>686</v>
      </c>
      <c r="E74" s="786"/>
      <c r="F74" s="787"/>
      <c r="G74" s="787"/>
      <c r="H74" s="478"/>
      <c r="I74" s="791">
        <f t="shared" si="4"/>
        <v>325</v>
      </c>
      <c r="J74" s="480">
        <v>256</v>
      </c>
      <c r="K74" s="480">
        <v>69</v>
      </c>
      <c r="L74" s="480"/>
      <c r="M74" s="480"/>
      <c r="N74" s="480"/>
      <c r="O74" s="480"/>
      <c r="P74" s="480"/>
      <c r="Q74" s="481"/>
      <c r="R74" s="480"/>
      <c r="S74" s="480"/>
      <c r="T74" s="480"/>
      <c r="U74" s="480"/>
      <c r="V74" s="480"/>
      <c r="W74" s="480"/>
      <c r="X74" s="480"/>
      <c r="Y74" s="480"/>
      <c r="Z74" s="480"/>
      <c r="AA74" s="480"/>
      <c r="AB74" s="480"/>
      <c r="AC74" s="480"/>
      <c r="AD74" s="480"/>
    </row>
    <row r="75" spans="1:30" s="196" customFormat="1" ht="15">
      <c r="A75" s="207">
        <v>67</v>
      </c>
      <c r="B75" s="176"/>
      <c r="C75" s="748"/>
      <c r="D75" s="183" t="s">
        <v>704</v>
      </c>
      <c r="E75" s="786"/>
      <c r="F75" s="787"/>
      <c r="G75" s="787"/>
      <c r="H75" s="478"/>
      <c r="I75" s="791">
        <f t="shared" si="4"/>
        <v>27772</v>
      </c>
      <c r="J75" s="480">
        <v>6100</v>
      </c>
      <c r="K75" s="480">
        <v>3793</v>
      </c>
      <c r="L75" s="480">
        <v>3613</v>
      </c>
      <c r="M75" s="480"/>
      <c r="N75" s="480"/>
      <c r="O75" s="480">
        <v>14266</v>
      </c>
      <c r="P75" s="480"/>
      <c r="Q75" s="481"/>
      <c r="R75" s="480"/>
      <c r="S75" s="480"/>
      <c r="T75" s="480"/>
      <c r="U75" s="480"/>
      <c r="V75" s="480"/>
      <c r="W75" s="480"/>
      <c r="X75" s="480"/>
      <c r="Y75" s="480"/>
      <c r="Z75" s="480"/>
      <c r="AA75" s="480"/>
      <c r="AB75" s="480"/>
      <c r="AC75" s="480"/>
      <c r="AD75" s="480"/>
    </row>
    <row r="76" spans="1:30" s="196" customFormat="1" ht="15">
      <c r="A76" s="207">
        <v>68</v>
      </c>
      <c r="B76" s="176"/>
      <c r="C76" s="748"/>
      <c r="D76" s="183" t="s">
        <v>734</v>
      </c>
      <c r="E76" s="786"/>
      <c r="F76" s="787"/>
      <c r="G76" s="787"/>
      <c r="H76" s="478"/>
      <c r="I76" s="791">
        <f t="shared" si="4"/>
        <v>296</v>
      </c>
      <c r="J76" s="480">
        <v>218</v>
      </c>
      <c r="K76" s="480">
        <v>78</v>
      </c>
      <c r="L76" s="480"/>
      <c r="M76" s="480"/>
      <c r="N76" s="480"/>
      <c r="O76" s="480"/>
      <c r="P76" s="480"/>
      <c r="Q76" s="481"/>
      <c r="R76" s="480"/>
      <c r="S76" s="480"/>
      <c r="T76" s="480"/>
      <c r="U76" s="480"/>
      <c r="V76" s="480"/>
      <c r="W76" s="480"/>
      <c r="X76" s="480"/>
      <c r="Y76" s="480"/>
      <c r="Z76" s="480"/>
      <c r="AA76" s="480"/>
      <c r="AB76" s="480"/>
      <c r="AC76" s="480"/>
      <c r="AD76" s="480"/>
    </row>
    <row r="77" spans="1:30" s="196" customFormat="1" ht="15">
      <c r="A77" s="207">
        <v>69</v>
      </c>
      <c r="B77" s="176"/>
      <c r="C77" s="748"/>
      <c r="D77" s="183" t="s">
        <v>805</v>
      </c>
      <c r="E77" s="786"/>
      <c r="F77" s="787"/>
      <c r="G77" s="787"/>
      <c r="H77" s="478"/>
      <c r="I77" s="791">
        <f t="shared" si="4"/>
        <v>100</v>
      </c>
      <c r="J77" s="480"/>
      <c r="K77" s="480"/>
      <c r="L77" s="480">
        <v>100</v>
      </c>
      <c r="M77" s="480"/>
      <c r="N77" s="480"/>
      <c r="O77" s="480"/>
      <c r="P77" s="480"/>
      <c r="Q77" s="481"/>
      <c r="R77" s="480"/>
      <c r="S77" s="480"/>
      <c r="T77" s="480"/>
      <c r="U77" s="480"/>
      <c r="V77" s="480"/>
      <c r="W77" s="480"/>
      <c r="X77" s="480"/>
      <c r="Y77" s="480"/>
      <c r="Z77" s="480"/>
      <c r="AA77" s="480"/>
      <c r="AB77" s="480"/>
      <c r="AC77" s="480"/>
      <c r="AD77" s="480"/>
    </row>
    <row r="78" spans="1:30" s="196" customFormat="1" ht="15">
      <c r="A78" s="207">
        <v>70</v>
      </c>
      <c r="B78" s="176"/>
      <c r="C78" s="748"/>
      <c r="D78" s="183" t="s">
        <v>806</v>
      </c>
      <c r="E78" s="786"/>
      <c r="F78" s="787"/>
      <c r="G78" s="787"/>
      <c r="H78" s="478"/>
      <c r="I78" s="791">
        <f t="shared" si="4"/>
        <v>300</v>
      </c>
      <c r="J78" s="480"/>
      <c r="K78" s="480"/>
      <c r="L78" s="480">
        <v>300</v>
      </c>
      <c r="M78" s="480"/>
      <c r="N78" s="480"/>
      <c r="O78" s="480"/>
      <c r="P78" s="480"/>
      <c r="Q78" s="481"/>
      <c r="R78" s="480"/>
      <c r="S78" s="480"/>
      <c r="T78" s="480"/>
      <c r="U78" s="480"/>
      <c r="V78" s="480"/>
      <c r="W78" s="480"/>
      <c r="X78" s="480"/>
      <c r="Y78" s="480"/>
      <c r="Z78" s="480"/>
      <c r="AA78" s="480"/>
      <c r="AB78" s="480"/>
      <c r="AC78" s="480"/>
      <c r="AD78" s="480"/>
    </row>
    <row r="79" spans="1:30" s="227" customFormat="1" ht="15">
      <c r="A79" s="207">
        <v>71</v>
      </c>
      <c r="B79" s="1101"/>
      <c r="C79" s="1102"/>
      <c r="D79" s="180" t="s">
        <v>637</v>
      </c>
      <c r="E79" s="220"/>
      <c r="F79" s="789"/>
      <c r="G79" s="789"/>
      <c r="H79" s="485"/>
      <c r="I79" s="464">
        <f t="shared" si="4"/>
        <v>301182</v>
      </c>
      <c r="J79" s="326">
        <f>SUM(J73:J78)</f>
        <v>169041</v>
      </c>
      <c r="K79" s="326">
        <f aca="true" t="shared" si="14" ref="K79:Q79">SUM(K73:K78)</f>
        <v>49133</v>
      </c>
      <c r="L79" s="326">
        <f t="shared" si="14"/>
        <v>66272</v>
      </c>
      <c r="M79" s="326">
        <f t="shared" si="14"/>
        <v>0</v>
      </c>
      <c r="N79" s="326">
        <f t="shared" si="14"/>
        <v>1995</v>
      </c>
      <c r="O79" s="326">
        <f t="shared" si="14"/>
        <v>14741</v>
      </c>
      <c r="P79" s="326">
        <f t="shared" si="14"/>
        <v>0</v>
      </c>
      <c r="Q79" s="491">
        <f t="shared" si="14"/>
        <v>0</v>
      </c>
      <c r="R79" s="326"/>
      <c r="S79" s="326"/>
      <c r="T79" s="326"/>
      <c r="U79" s="326"/>
      <c r="V79" s="326"/>
      <c r="W79" s="326"/>
      <c r="X79" s="326"/>
      <c r="Y79" s="326"/>
      <c r="Z79" s="326"/>
      <c r="AA79" s="326"/>
      <c r="AB79" s="326"/>
      <c r="AC79" s="326"/>
      <c r="AD79" s="326"/>
    </row>
    <row r="80" spans="1:30" s="193" customFormat="1" ht="29.25" customHeight="1">
      <c r="A80" s="210">
        <v>72</v>
      </c>
      <c r="B80" s="170"/>
      <c r="C80" s="171">
        <v>1</v>
      </c>
      <c r="D80" s="213" t="s">
        <v>414</v>
      </c>
      <c r="E80" s="213"/>
      <c r="F80" s="471">
        <v>271</v>
      </c>
      <c r="G80" s="471"/>
      <c r="H80" s="469">
        <v>542</v>
      </c>
      <c r="I80" s="464"/>
      <c r="J80" s="197"/>
      <c r="K80" s="197"/>
      <c r="L80" s="197"/>
      <c r="M80" s="197"/>
      <c r="N80" s="197"/>
      <c r="O80" s="197"/>
      <c r="P80" s="197"/>
      <c r="Q80" s="470"/>
      <c r="R80" s="197"/>
      <c r="S80" s="197"/>
      <c r="T80" s="197"/>
      <c r="U80" s="197"/>
      <c r="V80" s="197"/>
      <c r="W80" s="197"/>
      <c r="X80" s="197"/>
      <c r="Y80" s="197"/>
      <c r="Z80" s="197"/>
      <c r="AA80" s="197"/>
      <c r="AB80" s="197"/>
      <c r="AC80" s="197"/>
      <c r="AD80" s="197"/>
    </row>
    <row r="81" spans="1:30" s="193" customFormat="1" ht="15">
      <c r="A81" s="207">
        <v>73</v>
      </c>
      <c r="B81" s="165"/>
      <c r="C81" s="156"/>
      <c r="D81" s="213" t="s">
        <v>635</v>
      </c>
      <c r="E81" s="213"/>
      <c r="F81" s="471"/>
      <c r="G81" s="471"/>
      <c r="H81" s="469"/>
      <c r="I81" s="790">
        <f t="shared" si="4"/>
        <v>0</v>
      </c>
      <c r="J81" s="197"/>
      <c r="K81" s="197"/>
      <c r="L81" s="197"/>
      <c r="M81" s="197"/>
      <c r="N81" s="197"/>
      <c r="O81" s="197"/>
      <c r="P81" s="197"/>
      <c r="Q81" s="470"/>
      <c r="R81" s="197"/>
      <c r="S81" s="197"/>
      <c r="T81" s="197"/>
      <c r="U81" s="197"/>
      <c r="V81" s="197"/>
      <c r="W81" s="197"/>
      <c r="X81" s="197"/>
      <c r="Y81" s="197"/>
      <c r="Z81" s="197"/>
      <c r="AA81" s="197"/>
      <c r="AB81" s="197"/>
      <c r="AC81" s="197"/>
      <c r="AD81" s="197"/>
    </row>
    <row r="82" spans="1:30" s="196" customFormat="1" ht="15">
      <c r="A82" s="207">
        <v>74</v>
      </c>
      <c r="B82" s="176"/>
      <c r="C82" s="748"/>
      <c r="D82" s="793" t="s">
        <v>636</v>
      </c>
      <c r="E82" s="793"/>
      <c r="F82" s="794"/>
      <c r="G82" s="794"/>
      <c r="H82" s="478"/>
      <c r="I82" s="791">
        <f t="shared" si="4"/>
        <v>0</v>
      </c>
      <c r="J82" s="480"/>
      <c r="K82" s="480"/>
      <c r="L82" s="480"/>
      <c r="M82" s="480"/>
      <c r="N82" s="480"/>
      <c r="O82" s="480"/>
      <c r="P82" s="480"/>
      <c r="Q82" s="481"/>
      <c r="R82" s="480"/>
      <c r="S82" s="480"/>
      <c r="T82" s="480"/>
      <c r="U82" s="480"/>
      <c r="V82" s="480"/>
      <c r="W82" s="480"/>
      <c r="X82" s="480"/>
      <c r="Y82" s="480"/>
      <c r="Z82" s="480"/>
      <c r="AA82" s="480"/>
      <c r="AB82" s="480"/>
      <c r="AC82" s="480"/>
      <c r="AD82" s="480"/>
    </row>
    <row r="83" spans="1:30" s="227" customFormat="1" ht="15">
      <c r="A83" s="207">
        <v>75</v>
      </c>
      <c r="B83" s="1101"/>
      <c r="C83" s="1102"/>
      <c r="D83" s="795" t="s">
        <v>637</v>
      </c>
      <c r="E83" s="795"/>
      <c r="F83" s="796"/>
      <c r="G83" s="796"/>
      <c r="H83" s="485"/>
      <c r="I83" s="464">
        <f t="shared" si="4"/>
        <v>0</v>
      </c>
      <c r="J83" s="326">
        <f>SUM(J81:J82)</f>
        <v>0</v>
      </c>
      <c r="K83" s="326">
        <f aca="true" t="shared" si="15" ref="K83:Q83">SUM(K81:K82)</f>
        <v>0</v>
      </c>
      <c r="L83" s="326">
        <f t="shared" si="15"/>
        <v>0</v>
      </c>
      <c r="M83" s="326">
        <f t="shared" si="15"/>
        <v>0</v>
      </c>
      <c r="N83" s="326">
        <f t="shared" si="15"/>
        <v>0</v>
      </c>
      <c r="O83" s="326">
        <f t="shared" si="15"/>
        <v>0</v>
      </c>
      <c r="P83" s="326">
        <f t="shared" si="15"/>
        <v>0</v>
      </c>
      <c r="Q83" s="491">
        <f t="shared" si="15"/>
        <v>0</v>
      </c>
      <c r="R83" s="326"/>
      <c r="S83" s="326"/>
      <c r="T83" s="326"/>
      <c r="U83" s="326"/>
      <c r="V83" s="326"/>
      <c r="W83" s="326"/>
      <c r="X83" s="326"/>
      <c r="Y83" s="326"/>
      <c r="Z83" s="326"/>
      <c r="AA83" s="326"/>
      <c r="AB83" s="326"/>
      <c r="AC83" s="326"/>
      <c r="AD83" s="326"/>
    </row>
    <row r="84" spans="1:30" s="216" customFormat="1" ht="15">
      <c r="A84" s="207">
        <v>76</v>
      </c>
      <c r="B84" s="170"/>
      <c r="C84" s="171">
        <v>2</v>
      </c>
      <c r="D84" s="214" t="s">
        <v>388</v>
      </c>
      <c r="E84" s="215"/>
      <c r="F84" s="472"/>
      <c r="G84" s="472">
        <v>887</v>
      </c>
      <c r="H84" s="473">
        <v>866</v>
      </c>
      <c r="I84" s="464"/>
      <c r="J84" s="197"/>
      <c r="K84" s="197"/>
      <c r="L84" s="197"/>
      <c r="M84" s="197"/>
      <c r="N84" s="197"/>
      <c r="O84" s="197"/>
      <c r="P84" s="197"/>
      <c r="Q84" s="470"/>
      <c r="R84" s="476"/>
      <c r="S84" s="476"/>
      <c r="T84" s="476"/>
      <c r="U84" s="476"/>
      <c r="V84" s="476"/>
      <c r="W84" s="476"/>
      <c r="X84" s="476"/>
      <c r="Y84" s="476"/>
      <c r="Z84" s="476"/>
      <c r="AA84" s="476"/>
      <c r="AB84" s="476"/>
      <c r="AC84" s="476"/>
      <c r="AD84" s="476"/>
    </row>
    <row r="85" spans="1:30" s="193" customFormat="1" ht="15">
      <c r="A85" s="207">
        <v>77</v>
      </c>
      <c r="B85" s="165"/>
      <c r="C85" s="156"/>
      <c r="D85" s="213" t="s">
        <v>635</v>
      </c>
      <c r="E85" s="213"/>
      <c r="F85" s="471"/>
      <c r="G85" s="471"/>
      <c r="H85" s="469"/>
      <c r="I85" s="790">
        <f t="shared" si="4"/>
        <v>0</v>
      </c>
      <c r="J85" s="197"/>
      <c r="K85" s="197"/>
      <c r="L85" s="197"/>
      <c r="M85" s="197"/>
      <c r="N85" s="197"/>
      <c r="O85" s="197"/>
      <c r="P85" s="197"/>
      <c r="Q85" s="470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</row>
    <row r="86" spans="1:30" s="196" customFormat="1" ht="15">
      <c r="A86" s="207">
        <v>78</v>
      </c>
      <c r="B86" s="176"/>
      <c r="C86" s="748"/>
      <c r="D86" s="793" t="s">
        <v>636</v>
      </c>
      <c r="E86" s="793"/>
      <c r="F86" s="794"/>
      <c r="G86" s="794"/>
      <c r="H86" s="478"/>
      <c r="I86" s="791">
        <f t="shared" si="4"/>
        <v>0</v>
      </c>
      <c r="J86" s="480"/>
      <c r="K86" s="480"/>
      <c r="L86" s="480"/>
      <c r="M86" s="480"/>
      <c r="N86" s="480"/>
      <c r="O86" s="480"/>
      <c r="P86" s="480"/>
      <c r="Q86" s="481"/>
      <c r="R86" s="480"/>
      <c r="S86" s="480"/>
      <c r="T86" s="480"/>
      <c r="U86" s="480"/>
      <c r="V86" s="480"/>
      <c r="W86" s="480"/>
      <c r="X86" s="480"/>
      <c r="Y86" s="480"/>
      <c r="Z86" s="480"/>
      <c r="AA86" s="480"/>
      <c r="AB86" s="480"/>
      <c r="AC86" s="480"/>
      <c r="AD86" s="480"/>
    </row>
    <row r="87" spans="1:30" s="227" customFormat="1" ht="15">
      <c r="A87" s="207">
        <v>79</v>
      </c>
      <c r="B87" s="1101"/>
      <c r="C87" s="1102"/>
      <c r="D87" s="795" t="s">
        <v>637</v>
      </c>
      <c r="E87" s="795"/>
      <c r="F87" s="796"/>
      <c r="G87" s="796"/>
      <c r="H87" s="485"/>
      <c r="I87" s="464">
        <f t="shared" si="4"/>
        <v>0</v>
      </c>
      <c r="J87" s="326">
        <f>SUM(J85:J86)</f>
        <v>0</v>
      </c>
      <c r="K87" s="326">
        <f aca="true" t="shared" si="16" ref="K87:Q87">SUM(K85:K86)</f>
        <v>0</v>
      </c>
      <c r="L87" s="326">
        <f t="shared" si="16"/>
        <v>0</v>
      </c>
      <c r="M87" s="326">
        <f t="shared" si="16"/>
        <v>0</v>
      </c>
      <c r="N87" s="326">
        <f t="shared" si="16"/>
        <v>0</v>
      </c>
      <c r="O87" s="326">
        <f t="shared" si="16"/>
        <v>0</v>
      </c>
      <c r="P87" s="326">
        <f t="shared" si="16"/>
        <v>0</v>
      </c>
      <c r="Q87" s="491">
        <f t="shared" si="16"/>
        <v>0</v>
      </c>
      <c r="R87" s="326"/>
      <c r="S87" s="326"/>
      <c r="T87" s="326"/>
      <c r="U87" s="326"/>
      <c r="V87" s="326"/>
      <c r="W87" s="326"/>
      <c r="X87" s="326"/>
      <c r="Y87" s="326"/>
      <c r="Z87" s="326"/>
      <c r="AA87" s="326"/>
      <c r="AB87" s="326"/>
      <c r="AC87" s="326"/>
      <c r="AD87" s="326"/>
    </row>
    <row r="88" spans="1:30" s="209" customFormat="1" ht="15">
      <c r="A88" s="207">
        <v>80</v>
      </c>
      <c r="B88" s="159">
        <v>6</v>
      </c>
      <c r="C88" s="160"/>
      <c r="D88" s="161" t="s">
        <v>58</v>
      </c>
      <c r="E88" s="208" t="s">
        <v>31</v>
      </c>
      <c r="F88" s="462">
        <v>95983</v>
      </c>
      <c r="G88" s="462">
        <v>111846</v>
      </c>
      <c r="H88" s="463">
        <v>116855</v>
      </c>
      <c r="I88" s="464"/>
      <c r="J88" s="225"/>
      <c r="K88" s="225"/>
      <c r="L88" s="474"/>
      <c r="M88" s="474"/>
      <c r="N88" s="474"/>
      <c r="O88" s="474"/>
      <c r="P88" s="474"/>
      <c r="Q88" s="475"/>
      <c r="R88" s="466"/>
      <c r="S88" s="466"/>
      <c r="T88" s="466"/>
      <c r="U88" s="466"/>
      <c r="V88" s="466"/>
      <c r="W88" s="466"/>
      <c r="X88" s="466"/>
      <c r="Y88" s="466"/>
      <c r="Z88" s="466"/>
      <c r="AA88" s="466"/>
      <c r="AB88" s="466"/>
      <c r="AC88" s="466"/>
      <c r="AD88" s="466"/>
    </row>
    <row r="89" spans="1:30" s="193" customFormat="1" ht="15">
      <c r="A89" s="207">
        <v>81</v>
      </c>
      <c r="B89" s="165"/>
      <c r="C89" s="156"/>
      <c r="D89" s="166" t="s">
        <v>393</v>
      </c>
      <c r="E89" s="211"/>
      <c r="F89" s="468"/>
      <c r="G89" s="468"/>
      <c r="H89" s="469"/>
      <c r="I89" s="814"/>
      <c r="Q89" s="785"/>
      <c r="R89" s="197"/>
      <c r="S89" s="197"/>
      <c r="T89" s="197"/>
      <c r="U89" s="197"/>
      <c r="V89" s="197"/>
      <c r="W89" s="197"/>
      <c r="X89" s="197"/>
      <c r="Y89" s="197"/>
      <c r="Z89" s="197"/>
      <c r="AA89" s="197"/>
      <c r="AB89" s="197"/>
      <c r="AC89" s="197"/>
      <c r="AD89" s="197"/>
    </row>
    <row r="90" spans="1:30" s="193" customFormat="1" ht="15">
      <c r="A90" s="207">
        <v>82</v>
      </c>
      <c r="B90" s="165"/>
      <c r="C90" s="156"/>
      <c r="D90" s="166" t="s">
        <v>635</v>
      </c>
      <c r="E90" s="211"/>
      <c r="F90" s="468"/>
      <c r="G90" s="468"/>
      <c r="H90" s="469"/>
      <c r="I90" s="790">
        <f>J90+K90+L90+M90+N90+O90+P90+Q90</f>
        <v>136414</v>
      </c>
      <c r="J90" s="465">
        <v>87372</v>
      </c>
      <c r="K90" s="465">
        <v>23986</v>
      </c>
      <c r="L90" s="465">
        <v>24213</v>
      </c>
      <c r="M90" s="466"/>
      <c r="N90" s="466">
        <v>350</v>
      </c>
      <c r="O90" s="466">
        <v>493</v>
      </c>
      <c r="P90" s="466"/>
      <c r="Q90" s="467"/>
      <c r="R90" s="197"/>
      <c r="S90" s="197"/>
      <c r="T90" s="197"/>
      <c r="U90" s="197"/>
      <c r="V90" s="197"/>
      <c r="W90" s="197"/>
      <c r="X90" s="197"/>
      <c r="Y90" s="197"/>
      <c r="Z90" s="197"/>
      <c r="AA90" s="197"/>
      <c r="AB90" s="197"/>
      <c r="AC90" s="197"/>
      <c r="AD90" s="197"/>
    </row>
    <row r="91" spans="1:30" s="196" customFormat="1" ht="15">
      <c r="A91" s="207">
        <v>83</v>
      </c>
      <c r="B91" s="176"/>
      <c r="C91" s="748"/>
      <c r="D91" s="183" t="s">
        <v>686</v>
      </c>
      <c r="E91" s="786"/>
      <c r="F91" s="787"/>
      <c r="G91" s="787"/>
      <c r="H91" s="478"/>
      <c r="I91" s="791">
        <f t="shared" si="4"/>
        <v>50</v>
      </c>
      <c r="J91" s="480">
        <v>39</v>
      </c>
      <c r="K91" s="480">
        <v>11</v>
      </c>
      <c r="L91" s="480"/>
      <c r="M91" s="480"/>
      <c r="N91" s="480"/>
      <c r="O91" s="480"/>
      <c r="P91" s="480"/>
      <c r="Q91" s="481"/>
      <c r="R91" s="480"/>
      <c r="S91" s="480"/>
      <c r="T91" s="480"/>
      <c r="U91" s="480"/>
      <c r="V91" s="480"/>
      <c r="W91" s="480"/>
      <c r="X91" s="480"/>
      <c r="Y91" s="480"/>
      <c r="Z91" s="480"/>
      <c r="AA91" s="480"/>
      <c r="AB91" s="480"/>
      <c r="AC91" s="480"/>
      <c r="AD91" s="480"/>
    </row>
    <row r="92" spans="1:30" s="196" customFormat="1" ht="15">
      <c r="A92" s="207">
        <v>84</v>
      </c>
      <c r="B92" s="176"/>
      <c r="C92" s="748"/>
      <c r="D92" s="183" t="s">
        <v>704</v>
      </c>
      <c r="E92" s="786"/>
      <c r="F92" s="787"/>
      <c r="G92" s="787"/>
      <c r="H92" s="478"/>
      <c r="I92" s="791">
        <f t="shared" si="4"/>
        <v>3820</v>
      </c>
      <c r="J92" s="480">
        <v>902</v>
      </c>
      <c r="K92" s="480">
        <v>265</v>
      </c>
      <c r="L92" s="480">
        <v>1143</v>
      </c>
      <c r="M92" s="480"/>
      <c r="N92" s="480"/>
      <c r="O92" s="480">
        <v>1510</v>
      </c>
      <c r="P92" s="480"/>
      <c r="Q92" s="481"/>
      <c r="R92" s="480"/>
      <c r="S92" s="480"/>
      <c r="T92" s="480"/>
      <c r="U92" s="480"/>
      <c r="V92" s="480"/>
      <c r="W92" s="480"/>
      <c r="X92" s="480"/>
      <c r="Y92" s="480"/>
      <c r="Z92" s="480"/>
      <c r="AA92" s="480"/>
      <c r="AB92" s="480"/>
      <c r="AC92" s="480"/>
      <c r="AD92" s="480"/>
    </row>
    <row r="93" spans="1:30" s="196" customFormat="1" ht="15">
      <c r="A93" s="207">
        <v>85</v>
      </c>
      <c r="B93" s="176"/>
      <c r="C93" s="748"/>
      <c r="D93" s="183" t="s">
        <v>734</v>
      </c>
      <c r="E93" s="786"/>
      <c r="F93" s="787"/>
      <c r="G93" s="787"/>
      <c r="H93" s="478"/>
      <c r="I93" s="791">
        <f t="shared" si="4"/>
        <v>147</v>
      </c>
      <c r="J93" s="480">
        <v>108</v>
      </c>
      <c r="K93" s="480">
        <v>39</v>
      </c>
      <c r="L93" s="480"/>
      <c r="M93" s="480"/>
      <c r="N93" s="480"/>
      <c r="O93" s="480"/>
      <c r="P93" s="480"/>
      <c r="Q93" s="481"/>
      <c r="R93" s="480"/>
      <c r="S93" s="480"/>
      <c r="T93" s="480"/>
      <c r="U93" s="480"/>
      <c r="V93" s="480"/>
      <c r="W93" s="480"/>
      <c r="X93" s="480"/>
      <c r="Y93" s="480"/>
      <c r="Z93" s="480"/>
      <c r="AA93" s="480"/>
      <c r="AB93" s="480"/>
      <c r="AC93" s="480"/>
      <c r="AD93" s="480"/>
    </row>
    <row r="94" spans="1:30" s="196" customFormat="1" ht="15">
      <c r="A94" s="207">
        <v>86</v>
      </c>
      <c r="B94" s="176"/>
      <c r="C94" s="748"/>
      <c r="D94" s="183" t="s">
        <v>807</v>
      </c>
      <c r="E94" s="786"/>
      <c r="F94" s="787"/>
      <c r="G94" s="787"/>
      <c r="H94" s="478"/>
      <c r="I94" s="791">
        <f t="shared" si="4"/>
        <v>100</v>
      </c>
      <c r="J94" s="480"/>
      <c r="K94" s="480"/>
      <c r="L94" s="480">
        <v>100</v>
      </c>
      <c r="M94" s="480"/>
      <c r="N94" s="480"/>
      <c r="O94" s="480"/>
      <c r="P94" s="480"/>
      <c r="Q94" s="481"/>
      <c r="R94" s="480"/>
      <c r="S94" s="480"/>
      <c r="T94" s="480"/>
      <c r="U94" s="480"/>
      <c r="V94" s="480"/>
      <c r="W94" s="480"/>
      <c r="X94" s="480"/>
      <c r="Y94" s="480"/>
      <c r="Z94" s="480"/>
      <c r="AA94" s="480"/>
      <c r="AB94" s="480"/>
      <c r="AC94" s="480"/>
      <c r="AD94" s="480"/>
    </row>
    <row r="95" spans="1:30" s="227" customFormat="1" ht="15">
      <c r="A95" s="207">
        <v>87</v>
      </c>
      <c r="B95" s="1101"/>
      <c r="C95" s="1102"/>
      <c r="D95" s="180" t="s">
        <v>637</v>
      </c>
      <c r="E95" s="220"/>
      <c r="F95" s="789"/>
      <c r="G95" s="789"/>
      <c r="H95" s="485"/>
      <c r="I95" s="464">
        <f t="shared" si="4"/>
        <v>140531</v>
      </c>
      <c r="J95" s="326">
        <f>SUM(J90:J94)</f>
        <v>88421</v>
      </c>
      <c r="K95" s="326">
        <f aca="true" t="shared" si="17" ref="K95:Q95">SUM(K90:K94)</f>
        <v>24301</v>
      </c>
      <c r="L95" s="326">
        <f t="shared" si="17"/>
        <v>25456</v>
      </c>
      <c r="M95" s="326">
        <f t="shared" si="17"/>
        <v>0</v>
      </c>
      <c r="N95" s="326">
        <f t="shared" si="17"/>
        <v>350</v>
      </c>
      <c r="O95" s="326">
        <f t="shared" si="17"/>
        <v>2003</v>
      </c>
      <c r="P95" s="326">
        <f t="shared" si="17"/>
        <v>0</v>
      </c>
      <c r="Q95" s="491">
        <f t="shared" si="17"/>
        <v>0</v>
      </c>
      <c r="R95" s="326"/>
      <c r="S95" s="326"/>
      <c r="T95" s="326"/>
      <c r="U95" s="326"/>
      <c r="V95" s="326"/>
      <c r="W95" s="326"/>
      <c r="X95" s="326"/>
      <c r="Y95" s="326"/>
      <c r="Z95" s="326"/>
      <c r="AA95" s="326"/>
      <c r="AB95" s="326"/>
      <c r="AC95" s="326"/>
      <c r="AD95" s="326"/>
    </row>
    <row r="96" spans="1:30" s="193" customFormat="1" ht="29.25" customHeight="1">
      <c r="A96" s="210">
        <v>88</v>
      </c>
      <c r="B96" s="165"/>
      <c r="C96" s="171">
        <v>1</v>
      </c>
      <c r="D96" s="213" t="s">
        <v>414</v>
      </c>
      <c r="E96" s="213"/>
      <c r="F96" s="471">
        <v>174</v>
      </c>
      <c r="G96" s="471"/>
      <c r="H96" s="469">
        <v>394</v>
      </c>
      <c r="I96" s="464"/>
      <c r="J96" s="197"/>
      <c r="K96" s="197"/>
      <c r="L96" s="197"/>
      <c r="M96" s="197"/>
      <c r="N96" s="197"/>
      <c r="O96" s="197"/>
      <c r="P96" s="197"/>
      <c r="Q96" s="470"/>
      <c r="R96" s="197"/>
      <c r="S96" s="197"/>
      <c r="T96" s="197"/>
      <c r="U96" s="197"/>
      <c r="V96" s="197"/>
      <c r="W96" s="197"/>
      <c r="X96" s="197"/>
      <c r="Y96" s="197"/>
      <c r="Z96" s="197"/>
      <c r="AA96" s="197"/>
      <c r="AB96" s="197"/>
      <c r="AC96" s="197"/>
      <c r="AD96" s="197"/>
    </row>
    <row r="97" spans="1:30" s="193" customFormat="1" ht="15">
      <c r="A97" s="207">
        <v>89</v>
      </c>
      <c r="B97" s="165"/>
      <c r="C97" s="156"/>
      <c r="D97" s="213" t="s">
        <v>635</v>
      </c>
      <c r="E97" s="213"/>
      <c r="F97" s="471"/>
      <c r="G97" s="471"/>
      <c r="H97" s="469"/>
      <c r="I97" s="790">
        <f t="shared" si="4"/>
        <v>0</v>
      </c>
      <c r="J97" s="197"/>
      <c r="K97" s="197"/>
      <c r="L97" s="197"/>
      <c r="M97" s="197"/>
      <c r="N97" s="197"/>
      <c r="O97" s="197"/>
      <c r="P97" s="197"/>
      <c r="Q97" s="470"/>
      <c r="R97" s="197"/>
      <c r="S97" s="197"/>
      <c r="T97" s="197"/>
      <c r="U97" s="197"/>
      <c r="V97" s="197"/>
      <c r="W97" s="197"/>
      <c r="X97" s="197"/>
      <c r="Y97" s="197"/>
      <c r="Z97" s="197"/>
      <c r="AA97" s="197"/>
      <c r="AB97" s="197"/>
      <c r="AC97" s="197"/>
      <c r="AD97" s="197"/>
    </row>
    <row r="98" spans="1:30" s="196" customFormat="1" ht="15">
      <c r="A98" s="207">
        <v>90</v>
      </c>
      <c r="B98" s="176"/>
      <c r="C98" s="748"/>
      <c r="D98" s="793" t="s">
        <v>636</v>
      </c>
      <c r="E98" s="793"/>
      <c r="F98" s="794"/>
      <c r="G98" s="794"/>
      <c r="H98" s="478"/>
      <c r="I98" s="791">
        <f t="shared" si="4"/>
        <v>0</v>
      </c>
      <c r="J98" s="480"/>
      <c r="K98" s="480"/>
      <c r="L98" s="480"/>
      <c r="M98" s="480"/>
      <c r="N98" s="480"/>
      <c r="O98" s="480"/>
      <c r="P98" s="480"/>
      <c r="Q98" s="481"/>
      <c r="R98" s="480"/>
      <c r="S98" s="480"/>
      <c r="T98" s="480"/>
      <c r="U98" s="480"/>
      <c r="V98" s="480"/>
      <c r="W98" s="480"/>
      <c r="X98" s="480"/>
      <c r="Y98" s="480"/>
      <c r="Z98" s="480"/>
      <c r="AA98" s="480"/>
      <c r="AB98" s="480"/>
      <c r="AC98" s="480"/>
      <c r="AD98" s="480"/>
    </row>
    <row r="99" spans="1:30" s="227" customFormat="1" ht="15">
      <c r="A99" s="207">
        <v>91</v>
      </c>
      <c r="B99" s="1101"/>
      <c r="C99" s="1102"/>
      <c r="D99" s="795" t="s">
        <v>637</v>
      </c>
      <c r="E99" s="795"/>
      <c r="F99" s="796"/>
      <c r="G99" s="796"/>
      <c r="H99" s="485"/>
      <c r="I99" s="464">
        <f t="shared" si="4"/>
        <v>0</v>
      </c>
      <c r="J99" s="326">
        <f>SUM(J97:J98)</f>
        <v>0</v>
      </c>
      <c r="K99" s="326">
        <f aca="true" t="shared" si="18" ref="K99:Q99">SUM(K97:K98)</f>
        <v>0</v>
      </c>
      <c r="L99" s="326">
        <f t="shared" si="18"/>
        <v>0</v>
      </c>
      <c r="M99" s="326">
        <f t="shared" si="18"/>
        <v>0</v>
      </c>
      <c r="N99" s="326">
        <f t="shared" si="18"/>
        <v>0</v>
      </c>
      <c r="O99" s="326">
        <f t="shared" si="18"/>
        <v>0</v>
      </c>
      <c r="P99" s="326">
        <f t="shared" si="18"/>
        <v>0</v>
      </c>
      <c r="Q99" s="491">
        <f t="shared" si="18"/>
        <v>0</v>
      </c>
      <c r="R99" s="326"/>
      <c r="S99" s="326"/>
      <c r="T99" s="326"/>
      <c r="U99" s="326"/>
      <c r="V99" s="326"/>
      <c r="W99" s="326"/>
      <c r="X99" s="326"/>
      <c r="Y99" s="326"/>
      <c r="Z99" s="326"/>
      <c r="AA99" s="326"/>
      <c r="AB99" s="326"/>
      <c r="AC99" s="326"/>
      <c r="AD99" s="326"/>
    </row>
    <row r="100" spans="1:30" s="216" customFormat="1" ht="15">
      <c r="A100" s="207">
        <v>92</v>
      </c>
      <c r="B100" s="170"/>
      <c r="C100" s="171">
        <v>2</v>
      </c>
      <c r="D100" s="214" t="s">
        <v>388</v>
      </c>
      <c r="E100" s="215"/>
      <c r="F100" s="472"/>
      <c r="G100" s="472">
        <v>410</v>
      </c>
      <c r="H100" s="473">
        <v>1147</v>
      </c>
      <c r="I100" s="464"/>
      <c r="J100" s="197"/>
      <c r="K100" s="197"/>
      <c r="L100" s="197"/>
      <c r="M100" s="197"/>
      <c r="N100" s="197"/>
      <c r="O100" s="197"/>
      <c r="P100" s="197"/>
      <c r="Q100" s="470"/>
      <c r="R100" s="476"/>
      <c r="S100" s="476"/>
      <c r="T100" s="476"/>
      <c r="U100" s="476"/>
      <c r="V100" s="476"/>
      <c r="W100" s="476"/>
      <c r="X100" s="476"/>
      <c r="Y100" s="476"/>
      <c r="Z100" s="476"/>
      <c r="AA100" s="476"/>
      <c r="AB100" s="476"/>
      <c r="AC100" s="476"/>
      <c r="AD100" s="476"/>
    </row>
    <row r="101" spans="1:30" s="193" customFormat="1" ht="15">
      <c r="A101" s="207">
        <v>93</v>
      </c>
      <c r="B101" s="165"/>
      <c r="C101" s="156"/>
      <c r="D101" s="213" t="s">
        <v>635</v>
      </c>
      <c r="E101" s="213"/>
      <c r="F101" s="471"/>
      <c r="G101" s="471"/>
      <c r="H101" s="469"/>
      <c r="I101" s="790">
        <f t="shared" si="4"/>
        <v>2236</v>
      </c>
      <c r="J101" s="197">
        <v>1900</v>
      </c>
      <c r="K101" s="197">
        <v>256</v>
      </c>
      <c r="L101" s="197">
        <v>80</v>
      </c>
      <c r="M101" s="197"/>
      <c r="N101" s="197"/>
      <c r="O101" s="197"/>
      <c r="P101" s="197"/>
      <c r="Q101" s="470"/>
      <c r="R101" s="197"/>
      <c r="S101" s="197"/>
      <c r="T101" s="197"/>
      <c r="U101" s="197"/>
      <c r="V101" s="197"/>
      <c r="W101" s="197"/>
      <c r="X101" s="197"/>
      <c r="Y101" s="197"/>
      <c r="Z101" s="197"/>
      <c r="AA101" s="197"/>
      <c r="AB101" s="197"/>
      <c r="AC101" s="197"/>
      <c r="AD101" s="197"/>
    </row>
    <row r="102" spans="1:30" s="196" customFormat="1" ht="15">
      <c r="A102" s="207">
        <v>94</v>
      </c>
      <c r="B102" s="176"/>
      <c r="C102" s="748"/>
      <c r="D102" s="793" t="s">
        <v>636</v>
      </c>
      <c r="E102" s="793"/>
      <c r="F102" s="794"/>
      <c r="G102" s="794"/>
      <c r="H102" s="478"/>
      <c r="I102" s="791">
        <f aca="true" t="shared" si="19" ref="I102:I143">J102+K102+L102+M102+N102+O102+P102+Q102</f>
        <v>0</v>
      </c>
      <c r="J102" s="480"/>
      <c r="K102" s="480"/>
      <c r="L102" s="480"/>
      <c r="M102" s="480"/>
      <c r="N102" s="480"/>
      <c r="O102" s="480"/>
      <c r="P102" s="480"/>
      <c r="Q102" s="481"/>
      <c r="R102" s="480"/>
      <c r="S102" s="480"/>
      <c r="T102" s="480"/>
      <c r="U102" s="480"/>
      <c r="V102" s="480"/>
      <c r="W102" s="480"/>
      <c r="X102" s="480"/>
      <c r="Y102" s="480"/>
      <c r="Z102" s="480"/>
      <c r="AA102" s="480"/>
      <c r="AB102" s="480"/>
      <c r="AC102" s="480"/>
      <c r="AD102" s="480"/>
    </row>
    <row r="103" spans="1:30" s="227" customFormat="1" ht="15">
      <c r="A103" s="207">
        <v>95</v>
      </c>
      <c r="B103" s="1101"/>
      <c r="C103" s="1102"/>
      <c r="D103" s="795" t="s">
        <v>637</v>
      </c>
      <c r="E103" s="795"/>
      <c r="F103" s="796"/>
      <c r="G103" s="796"/>
      <c r="H103" s="485"/>
      <c r="I103" s="464">
        <f t="shared" si="19"/>
        <v>2236</v>
      </c>
      <c r="J103" s="326">
        <f>SUM(J101:J102)</f>
        <v>1900</v>
      </c>
      <c r="K103" s="326">
        <f aca="true" t="shared" si="20" ref="K103:Q103">SUM(K101:K102)</f>
        <v>256</v>
      </c>
      <c r="L103" s="326">
        <f t="shared" si="20"/>
        <v>80</v>
      </c>
      <c r="M103" s="326">
        <f t="shared" si="20"/>
        <v>0</v>
      </c>
      <c r="N103" s="326">
        <f t="shared" si="20"/>
        <v>0</v>
      </c>
      <c r="O103" s="326">
        <f t="shared" si="20"/>
        <v>0</v>
      </c>
      <c r="P103" s="326">
        <f t="shared" si="20"/>
        <v>0</v>
      </c>
      <c r="Q103" s="491">
        <f t="shared" si="20"/>
        <v>0</v>
      </c>
      <c r="R103" s="326"/>
      <c r="S103" s="326"/>
      <c r="T103" s="326"/>
      <c r="U103" s="326"/>
      <c r="V103" s="326"/>
      <c r="W103" s="326"/>
      <c r="X103" s="326"/>
      <c r="Y103" s="326"/>
      <c r="Z103" s="326"/>
      <c r="AA103" s="326"/>
      <c r="AB103" s="326"/>
      <c r="AC103" s="326"/>
      <c r="AD103" s="326"/>
    </row>
    <row r="104" spans="1:30" s="190" customFormat="1" ht="15">
      <c r="A104" s="207">
        <v>96</v>
      </c>
      <c r="B104" s="798"/>
      <c r="C104" s="799"/>
      <c r="D104" s="799" t="s">
        <v>394</v>
      </c>
      <c r="E104" s="800"/>
      <c r="F104" s="801">
        <f>SUM(F9:F100)</f>
        <v>1118328</v>
      </c>
      <c r="G104" s="801">
        <f>SUM(G9:G100)</f>
        <v>1440666</v>
      </c>
      <c r="H104" s="801">
        <f>SUM(H9:H100)</f>
        <v>1453627</v>
      </c>
      <c r="I104" s="809"/>
      <c r="J104" s="810"/>
      <c r="K104" s="810"/>
      <c r="L104" s="811"/>
      <c r="M104" s="811"/>
      <c r="N104" s="811"/>
      <c r="O104" s="811"/>
      <c r="P104" s="811"/>
      <c r="Q104" s="812"/>
      <c r="R104" s="458"/>
      <c r="S104" s="477"/>
      <c r="T104" s="477"/>
      <c r="U104" s="477"/>
      <c r="V104" s="477"/>
      <c r="W104" s="477"/>
      <c r="X104" s="477"/>
      <c r="Y104" s="477"/>
      <c r="Z104" s="477"/>
      <c r="AA104" s="477"/>
      <c r="AB104" s="477"/>
      <c r="AC104" s="477"/>
      <c r="AD104" s="477"/>
    </row>
    <row r="105" spans="1:30" s="193" customFormat="1" ht="15">
      <c r="A105" s="207">
        <v>97</v>
      </c>
      <c r="B105" s="165"/>
      <c r="C105" s="156"/>
      <c r="D105" s="213" t="s">
        <v>635</v>
      </c>
      <c r="E105" s="213"/>
      <c r="F105" s="471"/>
      <c r="G105" s="471"/>
      <c r="H105" s="469"/>
      <c r="I105" s="790">
        <f t="shared" si="19"/>
        <v>1474005</v>
      </c>
      <c r="J105" s="197">
        <f>SUM(J101,J97,J90,J85,J81,J73,J68,J64,J57,J52,J48)+J42+J37+J33+J27+J22+J18+J11</f>
        <v>915610</v>
      </c>
      <c r="K105" s="197">
        <f aca="true" t="shared" si="21" ref="K105:Q105">SUM(K101,K97,K90,K85,K81,K73,K68,K64,K57,K52,K48)+K42+K37+K33+K27+K22+K18+K11</f>
        <v>253324</v>
      </c>
      <c r="L105" s="197">
        <f t="shared" si="21"/>
        <v>292028</v>
      </c>
      <c r="M105" s="197">
        <f t="shared" si="21"/>
        <v>0</v>
      </c>
      <c r="N105" s="197">
        <f t="shared" si="21"/>
        <v>7625</v>
      </c>
      <c r="O105" s="197">
        <f t="shared" si="21"/>
        <v>5418</v>
      </c>
      <c r="P105" s="197">
        <f t="shared" si="21"/>
        <v>0</v>
      </c>
      <c r="Q105" s="470">
        <f t="shared" si="21"/>
        <v>0</v>
      </c>
      <c r="R105" s="197"/>
      <c r="S105" s="197"/>
      <c r="T105" s="197"/>
      <c r="U105" s="197"/>
      <c r="V105" s="197"/>
      <c r="W105" s="197"/>
      <c r="X105" s="197"/>
      <c r="Y105" s="197"/>
      <c r="Z105" s="197"/>
      <c r="AA105" s="197"/>
      <c r="AB105" s="197"/>
      <c r="AC105" s="197"/>
      <c r="AD105" s="197"/>
    </row>
    <row r="106" spans="1:30" s="196" customFormat="1" ht="30">
      <c r="A106" s="210">
        <v>98</v>
      </c>
      <c r="B106" s="176"/>
      <c r="C106" s="748"/>
      <c r="D106" s="793" t="s">
        <v>1148</v>
      </c>
      <c r="E106" s="793"/>
      <c r="F106" s="794"/>
      <c r="G106" s="794"/>
      <c r="H106" s="478"/>
      <c r="I106" s="791">
        <f t="shared" si="19"/>
        <v>68448</v>
      </c>
      <c r="J106" s="480">
        <f>SUM(J102,J98,J91:J93,J86,J82,J74:J76,J69,J65,J58:J60,J53,J49,J43:J45,J38,J34,J28:J30,J23,J19,J12:J14)+J94+J78+J77+J61+J15</f>
        <v>16877</v>
      </c>
      <c r="K106" s="480">
        <f aca="true" t="shared" si="22" ref="K106:Q106">SUM(K102,K98,K91:K93,K86,K82,K74:K76,K69,K65,K58:K60,K53,K49,K43:K45,K38,K34,K28:K30,K23,K19,K12:K14)+K94+K78+K77+K61+K15</f>
        <v>8770</v>
      </c>
      <c r="L106" s="480">
        <f t="shared" si="22"/>
        <v>12599</v>
      </c>
      <c r="M106" s="480">
        <f t="shared" si="22"/>
        <v>0</v>
      </c>
      <c r="N106" s="480">
        <f t="shared" si="22"/>
        <v>500</v>
      </c>
      <c r="O106" s="480">
        <f t="shared" si="22"/>
        <v>29702</v>
      </c>
      <c r="P106" s="480">
        <f t="shared" si="22"/>
        <v>0</v>
      </c>
      <c r="Q106" s="481">
        <f t="shared" si="22"/>
        <v>0</v>
      </c>
      <c r="R106" s="480"/>
      <c r="S106" s="480"/>
      <c r="T106" s="480"/>
      <c r="U106" s="480"/>
      <c r="V106" s="480"/>
      <c r="W106" s="480"/>
      <c r="X106" s="480"/>
      <c r="Y106" s="480"/>
      <c r="Z106" s="480"/>
      <c r="AA106" s="480"/>
      <c r="AB106" s="480"/>
      <c r="AC106" s="480"/>
      <c r="AD106" s="480"/>
    </row>
    <row r="107" spans="1:30" s="227" customFormat="1" ht="15.75" thickBot="1">
      <c r="A107" s="207">
        <v>99</v>
      </c>
      <c r="B107" s="803"/>
      <c r="C107" s="804"/>
      <c r="D107" s="802" t="s">
        <v>637</v>
      </c>
      <c r="E107" s="802"/>
      <c r="F107" s="805"/>
      <c r="G107" s="805"/>
      <c r="H107" s="806"/>
      <c r="I107" s="807">
        <f t="shared" si="19"/>
        <v>1542453</v>
      </c>
      <c r="J107" s="808">
        <f>SUM(J105:J106)</f>
        <v>932487</v>
      </c>
      <c r="K107" s="808">
        <f aca="true" t="shared" si="23" ref="K107:Q107">SUM(K105:K106)</f>
        <v>262094</v>
      </c>
      <c r="L107" s="808">
        <f t="shared" si="23"/>
        <v>304627</v>
      </c>
      <c r="M107" s="808">
        <f t="shared" si="23"/>
        <v>0</v>
      </c>
      <c r="N107" s="808">
        <f t="shared" si="23"/>
        <v>8125</v>
      </c>
      <c r="O107" s="808">
        <f t="shared" si="23"/>
        <v>35120</v>
      </c>
      <c r="P107" s="808">
        <f t="shared" si="23"/>
        <v>0</v>
      </c>
      <c r="Q107" s="1049">
        <f t="shared" si="23"/>
        <v>0</v>
      </c>
      <c r="R107" s="326"/>
      <c r="S107" s="326"/>
      <c r="T107" s="326"/>
      <c r="U107" s="326"/>
      <c r="V107" s="326"/>
      <c r="W107" s="326"/>
      <c r="X107" s="326"/>
      <c r="Y107" s="326"/>
      <c r="Z107" s="326"/>
      <c r="AA107" s="326"/>
      <c r="AB107" s="326"/>
      <c r="AC107" s="326"/>
      <c r="AD107" s="326"/>
    </row>
    <row r="108" spans="1:30" s="219" customFormat="1" ht="24.75" customHeight="1" thickTop="1">
      <c r="A108" s="207">
        <v>100</v>
      </c>
      <c r="B108" s="159">
        <v>7</v>
      </c>
      <c r="C108" s="160"/>
      <c r="D108" s="178" t="s">
        <v>415</v>
      </c>
      <c r="E108" s="224" t="s">
        <v>31</v>
      </c>
      <c r="F108" s="462">
        <v>271763</v>
      </c>
      <c r="G108" s="462">
        <v>195303</v>
      </c>
      <c r="H108" s="797">
        <v>217986</v>
      </c>
      <c r="I108" s="1167"/>
      <c r="J108" s="1168"/>
      <c r="K108" s="1168"/>
      <c r="L108" s="1168"/>
      <c r="M108" s="1168"/>
      <c r="N108" s="1168"/>
      <c r="O108" s="1168"/>
      <c r="P108" s="1168"/>
      <c r="Q108" s="1169"/>
      <c r="R108" s="466"/>
      <c r="S108" s="482"/>
      <c r="T108" s="482"/>
      <c r="U108" s="482"/>
      <c r="V108" s="482"/>
      <c r="W108" s="482"/>
      <c r="X108" s="482"/>
      <c r="Y108" s="482"/>
      <c r="Z108" s="482"/>
      <c r="AA108" s="482"/>
      <c r="AB108" s="482"/>
      <c r="AC108" s="482"/>
      <c r="AD108" s="482"/>
    </row>
    <row r="109" spans="1:30" s="193" customFormat="1" ht="15">
      <c r="A109" s="207">
        <v>101</v>
      </c>
      <c r="B109" s="165"/>
      <c r="C109" s="156"/>
      <c r="D109" s="166" t="s">
        <v>635</v>
      </c>
      <c r="E109" s="211"/>
      <c r="F109" s="468"/>
      <c r="G109" s="468"/>
      <c r="H109" s="469"/>
      <c r="I109" s="790">
        <f t="shared" si="19"/>
        <v>160137</v>
      </c>
      <c r="J109" s="465">
        <v>101878</v>
      </c>
      <c r="K109" s="465">
        <v>27764</v>
      </c>
      <c r="L109" s="465">
        <v>27630</v>
      </c>
      <c r="M109" s="466"/>
      <c r="N109" s="466">
        <v>1200</v>
      </c>
      <c r="O109" s="466">
        <v>1665</v>
      </c>
      <c r="P109" s="466"/>
      <c r="Q109" s="467"/>
      <c r="R109" s="197"/>
      <c r="S109" s="197"/>
      <c r="T109" s="197"/>
      <c r="U109" s="197"/>
      <c r="V109" s="197"/>
      <c r="W109" s="197"/>
      <c r="X109" s="197"/>
      <c r="Y109" s="197"/>
      <c r="Z109" s="197"/>
      <c r="AA109" s="197"/>
      <c r="AB109" s="197"/>
      <c r="AC109" s="197"/>
      <c r="AD109" s="197"/>
    </row>
    <row r="110" spans="1:30" s="196" customFormat="1" ht="15">
      <c r="A110" s="207">
        <v>102</v>
      </c>
      <c r="B110" s="176"/>
      <c r="C110" s="748"/>
      <c r="D110" s="183" t="s">
        <v>686</v>
      </c>
      <c r="E110" s="786"/>
      <c r="F110" s="787"/>
      <c r="G110" s="787"/>
      <c r="H110" s="478"/>
      <c r="I110" s="791">
        <f t="shared" si="19"/>
        <v>1689</v>
      </c>
      <c r="J110" s="480">
        <v>1330</v>
      </c>
      <c r="K110" s="480">
        <v>359</v>
      </c>
      <c r="L110" s="480"/>
      <c r="M110" s="480"/>
      <c r="N110" s="480"/>
      <c r="O110" s="480"/>
      <c r="P110" s="480"/>
      <c r="Q110" s="481"/>
      <c r="R110" s="480"/>
      <c r="S110" s="480"/>
      <c r="T110" s="480"/>
      <c r="U110" s="480"/>
      <c r="V110" s="480"/>
      <c r="W110" s="480"/>
      <c r="X110" s="480"/>
      <c r="Y110" s="480"/>
      <c r="Z110" s="480"/>
      <c r="AA110" s="480"/>
      <c r="AB110" s="480"/>
      <c r="AC110" s="480"/>
      <c r="AD110" s="480"/>
    </row>
    <row r="111" spans="1:30" s="196" customFormat="1" ht="15">
      <c r="A111" s="207">
        <v>103</v>
      </c>
      <c r="B111" s="176"/>
      <c r="C111" s="748"/>
      <c r="D111" s="183" t="s">
        <v>704</v>
      </c>
      <c r="E111" s="786"/>
      <c r="F111" s="787"/>
      <c r="G111" s="787"/>
      <c r="H111" s="478"/>
      <c r="I111" s="791">
        <f t="shared" si="19"/>
        <v>22348</v>
      </c>
      <c r="J111" s="480">
        <v>16700</v>
      </c>
      <c r="K111" s="480">
        <v>4848</v>
      </c>
      <c r="L111" s="480"/>
      <c r="M111" s="480"/>
      <c r="N111" s="480"/>
      <c r="O111" s="480">
        <v>800</v>
      </c>
      <c r="P111" s="480"/>
      <c r="Q111" s="481"/>
      <c r="R111" s="480"/>
      <c r="S111" s="480"/>
      <c r="T111" s="480"/>
      <c r="U111" s="480"/>
      <c r="V111" s="480"/>
      <c r="W111" s="480"/>
      <c r="X111" s="480"/>
      <c r="Y111" s="480"/>
      <c r="Z111" s="480"/>
      <c r="AA111" s="480"/>
      <c r="AB111" s="480"/>
      <c r="AC111" s="480"/>
      <c r="AD111" s="480"/>
    </row>
    <row r="112" spans="1:30" s="196" customFormat="1" ht="15">
      <c r="A112" s="207">
        <v>104</v>
      </c>
      <c r="B112" s="176"/>
      <c r="C112" s="748"/>
      <c r="D112" s="183" t="s">
        <v>734</v>
      </c>
      <c r="E112" s="786"/>
      <c r="F112" s="787"/>
      <c r="G112" s="787"/>
      <c r="H112" s="478"/>
      <c r="I112" s="791">
        <f t="shared" si="19"/>
        <v>225</v>
      </c>
      <c r="J112" s="480">
        <v>166</v>
      </c>
      <c r="K112" s="480">
        <v>59</v>
      </c>
      <c r="L112" s="480"/>
      <c r="M112" s="480"/>
      <c r="N112" s="480"/>
      <c r="O112" s="480"/>
      <c r="P112" s="480"/>
      <c r="Q112" s="481"/>
      <c r="R112" s="480"/>
      <c r="S112" s="480"/>
      <c r="T112" s="480"/>
      <c r="U112" s="480"/>
      <c r="V112" s="480"/>
      <c r="W112" s="480"/>
      <c r="X112" s="480"/>
      <c r="Y112" s="480"/>
      <c r="Z112" s="480"/>
      <c r="AA112" s="480"/>
      <c r="AB112" s="480"/>
      <c r="AC112" s="480"/>
      <c r="AD112" s="480"/>
    </row>
    <row r="113" spans="1:30" s="227" customFormat="1" ht="15">
      <c r="A113" s="207">
        <v>105</v>
      </c>
      <c r="B113" s="1101"/>
      <c r="C113" s="1102"/>
      <c r="D113" s="180" t="s">
        <v>637</v>
      </c>
      <c r="E113" s="220"/>
      <c r="F113" s="789"/>
      <c r="G113" s="789"/>
      <c r="H113" s="485"/>
      <c r="I113" s="464">
        <f t="shared" si="19"/>
        <v>184399</v>
      </c>
      <c r="J113" s="326">
        <f>SUM(J109:J112)</f>
        <v>120074</v>
      </c>
      <c r="K113" s="326">
        <f aca="true" t="shared" si="24" ref="K113:Q113">SUM(K109:K112)</f>
        <v>33030</v>
      </c>
      <c r="L113" s="326">
        <f t="shared" si="24"/>
        <v>27630</v>
      </c>
      <c r="M113" s="326">
        <f t="shared" si="24"/>
        <v>0</v>
      </c>
      <c r="N113" s="326">
        <f t="shared" si="24"/>
        <v>1200</v>
      </c>
      <c r="O113" s="326">
        <f t="shared" si="24"/>
        <v>2465</v>
      </c>
      <c r="P113" s="326">
        <f t="shared" si="24"/>
        <v>0</v>
      </c>
      <c r="Q113" s="491">
        <f t="shared" si="24"/>
        <v>0</v>
      </c>
      <c r="R113" s="326"/>
      <c r="S113" s="326"/>
      <c r="T113" s="326"/>
      <c r="U113" s="326"/>
      <c r="V113" s="326"/>
      <c r="W113" s="326"/>
      <c r="X113" s="326"/>
      <c r="Y113" s="326"/>
      <c r="Z113" s="326"/>
      <c r="AA113" s="326"/>
      <c r="AB113" s="326"/>
      <c r="AC113" s="326"/>
      <c r="AD113" s="326"/>
    </row>
    <row r="114" spans="1:30" s="219" customFormat="1" ht="24.75" customHeight="1">
      <c r="A114" s="207">
        <v>106</v>
      </c>
      <c r="B114" s="159">
        <v>8</v>
      </c>
      <c r="C114" s="160"/>
      <c r="D114" s="161" t="s">
        <v>356</v>
      </c>
      <c r="E114" s="208" t="s">
        <v>31</v>
      </c>
      <c r="F114" s="462">
        <v>418719</v>
      </c>
      <c r="G114" s="462">
        <v>406867</v>
      </c>
      <c r="H114" s="797">
        <v>458327</v>
      </c>
      <c r="I114" s="464"/>
      <c r="J114" s="184"/>
      <c r="K114" s="184"/>
      <c r="L114" s="184"/>
      <c r="M114" s="480"/>
      <c r="N114" s="480"/>
      <c r="O114" s="480"/>
      <c r="P114" s="480"/>
      <c r="Q114" s="481"/>
      <c r="R114" s="466"/>
      <c r="S114" s="482"/>
      <c r="T114" s="482"/>
      <c r="U114" s="482"/>
      <c r="V114" s="482"/>
      <c r="W114" s="482"/>
      <c r="X114" s="482"/>
      <c r="Y114" s="482"/>
      <c r="Z114" s="482"/>
      <c r="AA114" s="482"/>
      <c r="AB114" s="482"/>
      <c r="AC114" s="482"/>
      <c r="AD114" s="482"/>
    </row>
    <row r="115" spans="1:30" s="193" customFormat="1" ht="15">
      <c r="A115" s="207">
        <v>107</v>
      </c>
      <c r="B115" s="165"/>
      <c r="C115" s="156"/>
      <c r="D115" s="166" t="s">
        <v>635</v>
      </c>
      <c r="E115" s="211"/>
      <c r="F115" s="468"/>
      <c r="G115" s="468"/>
      <c r="H115" s="469"/>
      <c r="I115" s="790">
        <f t="shared" si="19"/>
        <v>423423</v>
      </c>
      <c r="J115" s="465">
        <v>272929</v>
      </c>
      <c r="K115" s="465">
        <v>78317</v>
      </c>
      <c r="L115" s="465">
        <v>68147</v>
      </c>
      <c r="M115" s="466"/>
      <c r="N115" s="466">
        <v>3400</v>
      </c>
      <c r="O115" s="466">
        <v>630</v>
      </c>
      <c r="P115" s="466"/>
      <c r="Q115" s="467"/>
      <c r="R115" s="197"/>
      <c r="S115" s="197"/>
      <c r="T115" s="197"/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</row>
    <row r="116" spans="1:30" s="196" customFormat="1" ht="15">
      <c r="A116" s="207">
        <v>108</v>
      </c>
      <c r="B116" s="176"/>
      <c r="C116" s="748"/>
      <c r="D116" s="183" t="s">
        <v>686</v>
      </c>
      <c r="E116" s="786"/>
      <c r="F116" s="787"/>
      <c r="G116" s="787"/>
      <c r="H116" s="478"/>
      <c r="I116" s="791">
        <f t="shared" si="19"/>
        <v>3691</v>
      </c>
      <c r="J116" s="480">
        <v>2906</v>
      </c>
      <c r="K116" s="480">
        <v>785</v>
      </c>
      <c r="L116" s="480"/>
      <c r="M116" s="480"/>
      <c r="N116" s="480"/>
      <c r="O116" s="480"/>
      <c r="P116" s="480"/>
      <c r="Q116" s="481"/>
      <c r="R116" s="480"/>
      <c r="S116" s="480"/>
      <c r="T116" s="480"/>
      <c r="U116" s="480"/>
      <c r="V116" s="480"/>
      <c r="W116" s="480"/>
      <c r="X116" s="480"/>
      <c r="Y116" s="480"/>
      <c r="Z116" s="480"/>
      <c r="AA116" s="480"/>
      <c r="AB116" s="480"/>
      <c r="AC116" s="480"/>
      <c r="AD116" s="480"/>
    </row>
    <row r="117" spans="1:30" s="196" customFormat="1" ht="15">
      <c r="A117" s="207">
        <v>109</v>
      </c>
      <c r="B117" s="176"/>
      <c r="C117" s="748"/>
      <c r="D117" s="183" t="s">
        <v>687</v>
      </c>
      <c r="E117" s="786"/>
      <c r="F117" s="787"/>
      <c r="G117" s="787"/>
      <c r="H117" s="478"/>
      <c r="I117" s="791">
        <f t="shared" si="19"/>
        <v>5272</v>
      </c>
      <c r="J117" s="480">
        <v>4151</v>
      </c>
      <c r="K117" s="480">
        <v>1121</v>
      </c>
      <c r="L117" s="480"/>
      <c r="M117" s="480"/>
      <c r="N117" s="480"/>
      <c r="O117" s="480"/>
      <c r="P117" s="480"/>
      <c r="Q117" s="481"/>
      <c r="R117" s="480"/>
      <c r="S117" s="480"/>
      <c r="T117" s="480"/>
      <c r="U117" s="480"/>
      <c r="V117" s="480"/>
      <c r="W117" s="480"/>
      <c r="X117" s="480"/>
      <c r="Y117" s="480"/>
      <c r="Z117" s="480"/>
      <c r="AA117" s="480"/>
      <c r="AB117" s="480"/>
      <c r="AC117" s="480"/>
      <c r="AD117" s="480"/>
    </row>
    <row r="118" spans="1:30" s="196" customFormat="1" ht="15">
      <c r="A118" s="207">
        <v>110</v>
      </c>
      <c r="B118" s="176"/>
      <c r="C118" s="748"/>
      <c r="D118" s="183" t="s">
        <v>706</v>
      </c>
      <c r="E118" s="786"/>
      <c r="F118" s="787"/>
      <c r="G118" s="787"/>
      <c r="H118" s="478"/>
      <c r="I118" s="791">
        <f t="shared" si="19"/>
        <v>26723</v>
      </c>
      <c r="J118" s="480">
        <v>14160</v>
      </c>
      <c r="K118" s="480">
        <v>3823</v>
      </c>
      <c r="L118" s="480">
        <v>8000</v>
      </c>
      <c r="M118" s="480"/>
      <c r="N118" s="480"/>
      <c r="O118" s="480">
        <v>740</v>
      </c>
      <c r="P118" s="480"/>
      <c r="Q118" s="481"/>
      <c r="R118" s="480"/>
      <c r="S118" s="480"/>
      <c r="T118" s="480"/>
      <c r="U118" s="480"/>
      <c r="V118" s="480"/>
      <c r="W118" s="480"/>
      <c r="X118" s="480"/>
      <c r="Y118" s="480"/>
      <c r="Z118" s="480"/>
      <c r="AA118" s="480"/>
      <c r="AB118" s="480"/>
      <c r="AC118" s="480"/>
      <c r="AD118" s="480"/>
    </row>
    <row r="119" spans="1:30" s="196" customFormat="1" ht="15">
      <c r="A119" s="207">
        <v>111</v>
      </c>
      <c r="B119" s="176"/>
      <c r="C119" s="748"/>
      <c r="D119" s="183" t="s">
        <v>734</v>
      </c>
      <c r="E119" s="786"/>
      <c r="F119" s="787"/>
      <c r="G119" s="787"/>
      <c r="H119" s="478"/>
      <c r="I119" s="791">
        <f t="shared" si="19"/>
        <v>830</v>
      </c>
      <c r="J119" s="480">
        <v>612</v>
      </c>
      <c r="K119" s="480">
        <v>218</v>
      </c>
      <c r="L119" s="480"/>
      <c r="M119" s="480"/>
      <c r="N119" s="480"/>
      <c r="O119" s="480"/>
      <c r="P119" s="480"/>
      <c r="Q119" s="481"/>
      <c r="R119" s="480"/>
      <c r="S119" s="480"/>
      <c r="T119" s="480"/>
      <c r="U119" s="480"/>
      <c r="V119" s="480"/>
      <c r="W119" s="480"/>
      <c r="X119" s="480"/>
      <c r="Y119" s="480"/>
      <c r="Z119" s="480"/>
      <c r="AA119" s="480"/>
      <c r="AB119" s="480"/>
      <c r="AC119" s="480"/>
      <c r="AD119" s="480"/>
    </row>
    <row r="120" spans="1:30" s="196" customFormat="1" ht="15">
      <c r="A120" s="207">
        <v>112</v>
      </c>
      <c r="B120" s="176"/>
      <c r="C120" s="748"/>
      <c r="D120" s="183" t="s">
        <v>808</v>
      </c>
      <c r="E120" s="786"/>
      <c r="F120" s="787"/>
      <c r="G120" s="787"/>
      <c r="H120" s="478"/>
      <c r="I120" s="791">
        <f t="shared" si="19"/>
        <v>300</v>
      </c>
      <c r="J120" s="480"/>
      <c r="K120" s="480"/>
      <c r="L120" s="480">
        <v>300</v>
      </c>
      <c r="M120" s="480"/>
      <c r="N120" s="480"/>
      <c r="O120" s="480"/>
      <c r="P120" s="480"/>
      <c r="Q120" s="481"/>
      <c r="R120" s="480"/>
      <c r="S120" s="480"/>
      <c r="T120" s="480"/>
      <c r="U120" s="480"/>
      <c r="V120" s="480"/>
      <c r="W120" s="480"/>
      <c r="X120" s="480"/>
      <c r="Y120" s="480"/>
      <c r="Z120" s="480"/>
      <c r="AA120" s="480"/>
      <c r="AB120" s="480"/>
      <c r="AC120" s="480"/>
      <c r="AD120" s="480"/>
    </row>
    <row r="121" spans="1:30" s="196" customFormat="1" ht="15">
      <c r="A121" s="207">
        <v>113</v>
      </c>
      <c r="B121" s="176"/>
      <c r="C121" s="748"/>
      <c r="D121" s="183" t="s">
        <v>809</v>
      </c>
      <c r="E121" s="786"/>
      <c r="F121" s="787"/>
      <c r="G121" s="787"/>
      <c r="H121" s="478"/>
      <c r="I121" s="791">
        <f t="shared" si="19"/>
        <v>200</v>
      </c>
      <c r="J121" s="480"/>
      <c r="K121" s="480"/>
      <c r="L121" s="480">
        <v>200</v>
      </c>
      <c r="M121" s="480"/>
      <c r="N121" s="480"/>
      <c r="O121" s="480"/>
      <c r="P121" s="480"/>
      <c r="Q121" s="481"/>
      <c r="R121" s="480"/>
      <c r="S121" s="480"/>
      <c r="T121" s="480"/>
      <c r="U121" s="480"/>
      <c r="V121" s="480"/>
      <c r="W121" s="480"/>
      <c r="X121" s="480"/>
      <c r="Y121" s="480"/>
      <c r="Z121" s="480"/>
      <c r="AA121" s="480"/>
      <c r="AB121" s="480"/>
      <c r="AC121" s="480"/>
      <c r="AD121" s="480"/>
    </row>
    <row r="122" spans="1:30" s="196" customFormat="1" ht="15">
      <c r="A122" s="207">
        <v>114</v>
      </c>
      <c r="B122" s="176"/>
      <c r="C122" s="748"/>
      <c r="D122" s="183" t="s">
        <v>810</v>
      </c>
      <c r="E122" s="786"/>
      <c r="F122" s="787"/>
      <c r="G122" s="787"/>
      <c r="H122" s="478"/>
      <c r="I122" s="791">
        <f t="shared" si="19"/>
        <v>100</v>
      </c>
      <c r="J122" s="480"/>
      <c r="K122" s="480"/>
      <c r="L122" s="480">
        <v>100</v>
      </c>
      <c r="M122" s="480"/>
      <c r="N122" s="480"/>
      <c r="O122" s="480"/>
      <c r="P122" s="480"/>
      <c r="Q122" s="481"/>
      <c r="R122" s="480"/>
      <c r="S122" s="480"/>
      <c r="T122" s="480"/>
      <c r="U122" s="480"/>
      <c r="V122" s="480"/>
      <c r="W122" s="480"/>
      <c r="X122" s="480"/>
      <c r="Y122" s="480"/>
      <c r="Z122" s="480"/>
      <c r="AA122" s="480"/>
      <c r="AB122" s="480"/>
      <c r="AC122" s="480"/>
      <c r="AD122" s="480"/>
    </row>
    <row r="123" spans="1:30" s="227" customFormat="1" ht="15">
      <c r="A123" s="207">
        <v>115</v>
      </c>
      <c r="B123" s="1101"/>
      <c r="C123" s="1102"/>
      <c r="D123" s="180" t="s">
        <v>637</v>
      </c>
      <c r="E123" s="220"/>
      <c r="F123" s="789"/>
      <c r="G123" s="789"/>
      <c r="H123" s="485"/>
      <c r="I123" s="464">
        <f t="shared" si="19"/>
        <v>460539</v>
      </c>
      <c r="J123" s="326">
        <f>SUM(J115:J122)</f>
        <v>294758</v>
      </c>
      <c r="K123" s="326">
        <f aca="true" t="shared" si="25" ref="K123:Q123">SUM(K115:K122)</f>
        <v>84264</v>
      </c>
      <c r="L123" s="326">
        <f>SUM(L115:L122)</f>
        <v>76747</v>
      </c>
      <c r="M123" s="326">
        <f t="shared" si="25"/>
        <v>0</v>
      </c>
      <c r="N123" s="326">
        <f t="shared" si="25"/>
        <v>3400</v>
      </c>
      <c r="O123" s="326">
        <f t="shared" si="25"/>
        <v>1370</v>
      </c>
      <c r="P123" s="326">
        <f t="shared" si="25"/>
        <v>0</v>
      </c>
      <c r="Q123" s="491">
        <f t="shared" si="25"/>
        <v>0</v>
      </c>
      <c r="R123" s="326"/>
      <c r="S123" s="326"/>
      <c r="T123" s="326"/>
      <c r="U123" s="326"/>
      <c r="V123" s="326"/>
      <c r="W123" s="326"/>
      <c r="X123" s="326"/>
      <c r="Y123" s="326"/>
      <c r="Z123" s="326"/>
      <c r="AA123" s="326"/>
      <c r="AB123" s="326"/>
      <c r="AC123" s="326"/>
      <c r="AD123" s="326"/>
    </row>
    <row r="124" spans="1:30" s="216" customFormat="1" ht="15">
      <c r="A124" s="207">
        <v>116</v>
      </c>
      <c r="B124" s="170"/>
      <c r="C124" s="171">
        <v>1</v>
      </c>
      <c r="D124" s="214" t="s">
        <v>388</v>
      </c>
      <c r="E124" s="215"/>
      <c r="F124" s="472"/>
      <c r="G124" s="472">
        <v>1937</v>
      </c>
      <c r="H124" s="473">
        <v>1452</v>
      </c>
      <c r="I124" s="464"/>
      <c r="J124" s="465"/>
      <c r="K124" s="465"/>
      <c r="L124" s="465"/>
      <c r="M124" s="482"/>
      <c r="N124" s="482"/>
      <c r="O124" s="482"/>
      <c r="P124" s="482"/>
      <c r="Q124" s="483"/>
      <c r="R124" s="476"/>
      <c r="S124" s="476"/>
      <c r="T124" s="476"/>
      <c r="U124" s="476"/>
      <c r="V124" s="476"/>
      <c r="W124" s="476"/>
      <c r="X124" s="476"/>
      <c r="Y124" s="476"/>
      <c r="Z124" s="476"/>
      <c r="AA124" s="476"/>
      <c r="AB124" s="476"/>
      <c r="AC124" s="476"/>
      <c r="AD124" s="476"/>
    </row>
    <row r="125" spans="1:30" s="193" customFormat="1" ht="15">
      <c r="A125" s="207">
        <v>117</v>
      </c>
      <c r="B125" s="165"/>
      <c r="C125" s="156"/>
      <c r="D125" s="213" t="s">
        <v>635</v>
      </c>
      <c r="E125" s="213"/>
      <c r="F125" s="471"/>
      <c r="G125" s="471"/>
      <c r="H125" s="469"/>
      <c r="I125" s="790">
        <f t="shared" si="19"/>
        <v>0</v>
      </c>
      <c r="J125" s="197"/>
      <c r="K125" s="197"/>
      <c r="L125" s="197"/>
      <c r="M125" s="197"/>
      <c r="N125" s="197"/>
      <c r="O125" s="197"/>
      <c r="P125" s="197"/>
      <c r="Q125" s="470"/>
      <c r="R125" s="197"/>
      <c r="S125" s="197"/>
      <c r="T125" s="197"/>
      <c r="U125" s="197"/>
      <c r="V125" s="197"/>
      <c r="W125" s="197"/>
      <c r="X125" s="197"/>
      <c r="Y125" s="197"/>
      <c r="Z125" s="197"/>
      <c r="AA125" s="197"/>
      <c r="AB125" s="197"/>
      <c r="AC125" s="197"/>
      <c r="AD125" s="197"/>
    </row>
    <row r="126" spans="1:30" s="196" customFormat="1" ht="15">
      <c r="A126" s="207">
        <v>118</v>
      </c>
      <c r="B126" s="176"/>
      <c r="C126" s="748"/>
      <c r="D126" s="793" t="s">
        <v>636</v>
      </c>
      <c r="E126" s="793"/>
      <c r="F126" s="794"/>
      <c r="G126" s="794"/>
      <c r="H126" s="478"/>
      <c r="I126" s="791">
        <f t="shared" si="19"/>
        <v>360</v>
      </c>
      <c r="J126" s="480">
        <v>317</v>
      </c>
      <c r="K126" s="480">
        <v>43</v>
      </c>
      <c r="L126" s="480"/>
      <c r="M126" s="480"/>
      <c r="N126" s="480"/>
      <c r="O126" s="480"/>
      <c r="P126" s="480"/>
      <c r="Q126" s="481"/>
      <c r="R126" s="480"/>
      <c r="S126" s="480"/>
      <c r="T126" s="480"/>
      <c r="U126" s="480"/>
      <c r="V126" s="480"/>
      <c r="W126" s="480"/>
      <c r="X126" s="480"/>
      <c r="Y126" s="480"/>
      <c r="Z126" s="480"/>
      <c r="AA126" s="480"/>
      <c r="AB126" s="480"/>
      <c r="AC126" s="480"/>
      <c r="AD126" s="480"/>
    </row>
    <row r="127" spans="1:30" s="227" customFormat="1" ht="15">
      <c r="A127" s="207">
        <v>119</v>
      </c>
      <c r="B127" s="1101"/>
      <c r="C127" s="1102"/>
      <c r="D127" s="795" t="s">
        <v>637</v>
      </c>
      <c r="E127" s="795"/>
      <c r="F127" s="796"/>
      <c r="G127" s="796"/>
      <c r="H127" s="485"/>
      <c r="I127" s="464">
        <f>J127+K127+L127+M127+N127+O127+P127+Q127</f>
        <v>360</v>
      </c>
      <c r="J127" s="326">
        <f>SUM(J125:J126)</f>
        <v>317</v>
      </c>
      <c r="K127" s="326">
        <f aca="true" t="shared" si="26" ref="K127:Q127">SUM(K125:K126)</f>
        <v>43</v>
      </c>
      <c r="L127" s="326">
        <f t="shared" si="26"/>
        <v>0</v>
      </c>
      <c r="M127" s="326">
        <f t="shared" si="26"/>
        <v>0</v>
      </c>
      <c r="N127" s="326">
        <f t="shared" si="26"/>
        <v>0</v>
      </c>
      <c r="O127" s="326">
        <f t="shared" si="26"/>
        <v>0</v>
      </c>
      <c r="P127" s="326">
        <f t="shared" si="26"/>
        <v>0</v>
      </c>
      <c r="Q127" s="491">
        <f t="shared" si="26"/>
        <v>0</v>
      </c>
      <c r="R127" s="326"/>
      <c r="S127" s="326"/>
      <c r="T127" s="326"/>
      <c r="U127" s="326"/>
      <c r="V127" s="326"/>
      <c r="W127" s="326"/>
      <c r="X127" s="326"/>
      <c r="Y127" s="326"/>
      <c r="Z127" s="326"/>
      <c r="AA127" s="326"/>
      <c r="AB127" s="326"/>
      <c r="AC127" s="326"/>
      <c r="AD127" s="326"/>
    </row>
    <row r="128" spans="1:30" s="219" customFormat="1" ht="24.75" customHeight="1">
      <c r="A128" s="207">
        <v>120</v>
      </c>
      <c r="B128" s="159">
        <v>9</v>
      </c>
      <c r="C128" s="160"/>
      <c r="D128" s="161" t="s">
        <v>416</v>
      </c>
      <c r="E128" s="208" t="s">
        <v>31</v>
      </c>
      <c r="F128" s="462">
        <v>53669</v>
      </c>
      <c r="G128" s="462">
        <v>51889</v>
      </c>
      <c r="H128" s="797">
        <v>54648</v>
      </c>
      <c r="I128" s="464"/>
      <c r="J128" s="225"/>
      <c r="K128" s="225"/>
      <c r="L128" s="474"/>
      <c r="M128" s="474"/>
      <c r="N128" s="474"/>
      <c r="O128" s="474"/>
      <c r="P128" s="474"/>
      <c r="Q128" s="475"/>
      <c r="R128" s="466"/>
      <c r="S128" s="482"/>
      <c r="T128" s="482"/>
      <c r="U128" s="482"/>
      <c r="V128" s="482"/>
      <c r="W128" s="482"/>
      <c r="X128" s="482"/>
      <c r="Y128" s="482"/>
      <c r="Z128" s="482"/>
      <c r="AA128" s="482"/>
      <c r="AB128" s="482"/>
      <c r="AC128" s="482"/>
      <c r="AD128" s="482"/>
    </row>
    <row r="129" spans="1:30" s="193" customFormat="1" ht="15">
      <c r="A129" s="207">
        <v>121</v>
      </c>
      <c r="B129" s="165"/>
      <c r="C129" s="156"/>
      <c r="D129" s="166" t="s">
        <v>635</v>
      </c>
      <c r="E129" s="211"/>
      <c r="F129" s="468"/>
      <c r="G129" s="468"/>
      <c r="H129" s="469"/>
      <c r="I129" s="790">
        <f t="shared" si="19"/>
        <v>53330</v>
      </c>
      <c r="J129" s="465">
        <v>27516</v>
      </c>
      <c r="K129" s="465">
        <v>7028</v>
      </c>
      <c r="L129" s="465">
        <v>18213</v>
      </c>
      <c r="M129" s="466"/>
      <c r="N129" s="466">
        <v>358</v>
      </c>
      <c r="O129" s="466">
        <v>215</v>
      </c>
      <c r="P129" s="466"/>
      <c r="Q129" s="467"/>
      <c r="R129" s="197"/>
      <c r="S129" s="197"/>
      <c r="T129" s="197"/>
      <c r="U129" s="197"/>
      <c r="V129" s="197"/>
      <c r="W129" s="197"/>
      <c r="X129" s="197"/>
      <c r="Y129" s="197"/>
      <c r="Z129" s="197"/>
      <c r="AA129" s="197"/>
      <c r="AB129" s="197"/>
      <c r="AC129" s="197"/>
      <c r="AD129" s="197"/>
    </row>
    <row r="130" spans="1:30" s="196" customFormat="1" ht="15">
      <c r="A130" s="207">
        <v>122</v>
      </c>
      <c r="B130" s="176"/>
      <c r="C130" s="748"/>
      <c r="D130" s="183" t="s">
        <v>686</v>
      </c>
      <c r="E130" s="786"/>
      <c r="F130" s="787"/>
      <c r="G130" s="787"/>
      <c r="H130" s="478"/>
      <c r="I130" s="791">
        <f t="shared" si="19"/>
        <v>300</v>
      </c>
      <c r="J130" s="480">
        <v>236</v>
      </c>
      <c r="K130" s="480">
        <v>64</v>
      </c>
      <c r="L130" s="480"/>
      <c r="M130" s="480"/>
      <c r="N130" s="480"/>
      <c r="O130" s="480"/>
      <c r="P130" s="480"/>
      <c r="Q130" s="481"/>
      <c r="R130" s="480"/>
      <c r="S130" s="480"/>
      <c r="T130" s="480"/>
      <c r="U130" s="480"/>
      <c r="V130" s="480"/>
      <c r="W130" s="480"/>
      <c r="X130" s="480"/>
      <c r="Y130" s="480"/>
      <c r="Z130" s="480"/>
      <c r="AA130" s="480"/>
      <c r="AB130" s="480"/>
      <c r="AC130" s="480"/>
      <c r="AD130" s="480"/>
    </row>
    <row r="131" spans="1:30" s="196" customFormat="1" ht="15">
      <c r="A131" s="207">
        <v>123</v>
      </c>
      <c r="B131" s="176"/>
      <c r="C131" s="748"/>
      <c r="D131" s="183" t="s">
        <v>687</v>
      </c>
      <c r="E131" s="786"/>
      <c r="F131" s="787"/>
      <c r="G131" s="787"/>
      <c r="H131" s="478"/>
      <c r="I131" s="791">
        <f t="shared" si="19"/>
        <v>325</v>
      </c>
      <c r="J131" s="480">
        <v>255</v>
      </c>
      <c r="K131" s="480">
        <v>70</v>
      </c>
      <c r="L131" s="480"/>
      <c r="M131" s="480"/>
      <c r="N131" s="480"/>
      <c r="O131" s="480"/>
      <c r="P131" s="480"/>
      <c r="Q131" s="481"/>
      <c r="R131" s="480"/>
      <c r="S131" s="480"/>
      <c r="T131" s="480"/>
      <c r="U131" s="480"/>
      <c r="V131" s="480"/>
      <c r="W131" s="480"/>
      <c r="X131" s="480"/>
      <c r="Y131" s="480"/>
      <c r="Z131" s="480"/>
      <c r="AA131" s="480"/>
      <c r="AB131" s="480"/>
      <c r="AC131" s="480"/>
      <c r="AD131" s="480"/>
    </row>
    <row r="132" spans="1:30" s="196" customFormat="1" ht="15">
      <c r="A132" s="207">
        <v>124</v>
      </c>
      <c r="B132" s="176"/>
      <c r="C132" s="748"/>
      <c r="D132" s="183" t="s">
        <v>704</v>
      </c>
      <c r="E132" s="786"/>
      <c r="F132" s="787"/>
      <c r="G132" s="787"/>
      <c r="H132" s="478"/>
      <c r="I132" s="791">
        <f t="shared" si="19"/>
        <v>12784</v>
      </c>
      <c r="J132" s="480">
        <v>2180</v>
      </c>
      <c r="K132" s="480">
        <v>580</v>
      </c>
      <c r="L132" s="480">
        <v>1524</v>
      </c>
      <c r="M132" s="480"/>
      <c r="N132" s="480"/>
      <c r="O132" s="480">
        <v>8500</v>
      </c>
      <c r="P132" s="480"/>
      <c r="Q132" s="481"/>
      <c r="R132" s="480"/>
      <c r="S132" s="480"/>
      <c r="T132" s="480"/>
      <c r="U132" s="480"/>
      <c r="V132" s="480"/>
      <c r="W132" s="480"/>
      <c r="X132" s="480"/>
      <c r="Y132" s="480"/>
      <c r="Z132" s="480"/>
      <c r="AA132" s="480"/>
      <c r="AB132" s="480"/>
      <c r="AC132" s="480"/>
      <c r="AD132" s="480"/>
    </row>
    <row r="133" spans="1:30" s="196" customFormat="1" ht="15">
      <c r="A133" s="207">
        <v>125</v>
      </c>
      <c r="B133" s="176"/>
      <c r="C133" s="748"/>
      <c r="D133" s="183" t="s">
        <v>734</v>
      </c>
      <c r="E133" s="786"/>
      <c r="F133" s="787"/>
      <c r="G133" s="787"/>
      <c r="H133" s="478"/>
      <c r="I133" s="791">
        <f t="shared" si="19"/>
        <v>60</v>
      </c>
      <c r="J133" s="480">
        <v>44</v>
      </c>
      <c r="K133" s="480">
        <v>16</v>
      </c>
      <c r="L133" s="480"/>
      <c r="M133" s="480"/>
      <c r="N133" s="480"/>
      <c r="O133" s="480"/>
      <c r="P133" s="480"/>
      <c r="Q133" s="481"/>
      <c r="R133" s="480"/>
      <c r="S133" s="480"/>
      <c r="T133" s="480"/>
      <c r="U133" s="480"/>
      <c r="V133" s="480"/>
      <c r="W133" s="480"/>
      <c r="X133" s="480"/>
      <c r="Y133" s="480"/>
      <c r="Z133" s="480"/>
      <c r="AA133" s="480"/>
      <c r="AB133" s="480"/>
      <c r="AC133" s="480"/>
      <c r="AD133" s="480"/>
    </row>
    <row r="134" spans="1:30" s="196" customFormat="1" ht="15">
      <c r="A134" s="207">
        <v>126</v>
      </c>
      <c r="B134" s="176"/>
      <c r="C134" s="748"/>
      <c r="D134" s="183" t="s">
        <v>736</v>
      </c>
      <c r="E134" s="786"/>
      <c r="F134" s="787"/>
      <c r="G134" s="787"/>
      <c r="H134" s="478"/>
      <c r="I134" s="791">
        <f t="shared" si="19"/>
        <v>5827</v>
      </c>
      <c r="J134" s="480">
        <v>4588</v>
      </c>
      <c r="K134" s="480">
        <v>1239</v>
      </c>
      <c r="L134" s="480"/>
      <c r="M134" s="480"/>
      <c r="N134" s="480"/>
      <c r="O134" s="480"/>
      <c r="P134" s="480"/>
      <c r="Q134" s="481"/>
      <c r="R134" s="480"/>
      <c r="S134" s="480"/>
      <c r="T134" s="480"/>
      <c r="U134" s="480"/>
      <c r="V134" s="480"/>
      <c r="W134" s="480"/>
      <c r="X134" s="480"/>
      <c r="Y134" s="480"/>
      <c r="Z134" s="480"/>
      <c r="AA134" s="480"/>
      <c r="AB134" s="480"/>
      <c r="AC134" s="480"/>
      <c r="AD134" s="480"/>
    </row>
    <row r="135" spans="1:30" s="227" customFormat="1" ht="15">
      <c r="A135" s="207">
        <v>127</v>
      </c>
      <c r="B135" s="1101"/>
      <c r="C135" s="1102"/>
      <c r="D135" s="180" t="s">
        <v>637</v>
      </c>
      <c r="E135" s="220"/>
      <c r="F135" s="789"/>
      <c r="G135" s="789"/>
      <c r="H135" s="485"/>
      <c r="I135" s="464">
        <f t="shared" si="19"/>
        <v>72626</v>
      </c>
      <c r="J135" s="326">
        <f>SUM(J129:J134)</f>
        <v>34819</v>
      </c>
      <c r="K135" s="326">
        <f>SUM(K129:K134)</f>
        <v>8997</v>
      </c>
      <c r="L135" s="326">
        <f aca="true" t="shared" si="27" ref="L135:Q135">SUM(L129:L133)</f>
        <v>19737</v>
      </c>
      <c r="M135" s="326">
        <f t="shared" si="27"/>
        <v>0</v>
      </c>
      <c r="N135" s="326">
        <f t="shared" si="27"/>
        <v>358</v>
      </c>
      <c r="O135" s="326">
        <f t="shared" si="27"/>
        <v>8715</v>
      </c>
      <c r="P135" s="326">
        <f t="shared" si="27"/>
        <v>0</v>
      </c>
      <c r="Q135" s="491">
        <f t="shared" si="27"/>
        <v>0</v>
      </c>
      <c r="R135" s="326"/>
      <c r="S135" s="326"/>
      <c r="T135" s="326"/>
      <c r="U135" s="326"/>
      <c r="V135" s="326"/>
      <c r="W135" s="326"/>
      <c r="X135" s="326"/>
      <c r="Y135" s="326"/>
      <c r="Z135" s="326"/>
      <c r="AA135" s="326"/>
      <c r="AB135" s="326"/>
      <c r="AC135" s="326"/>
      <c r="AD135" s="326"/>
    </row>
    <row r="136" spans="1:30" s="216" customFormat="1" ht="15">
      <c r="A136" s="207">
        <v>128</v>
      </c>
      <c r="B136" s="170"/>
      <c r="C136" s="171">
        <v>1</v>
      </c>
      <c r="D136" s="214" t="s">
        <v>388</v>
      </c>
      <c r="E136" s="215"/>
      <c r="F136" s="472"/>
      <c r="G136" s="472"/>
      <c r="H136" s="473">
        <v>522</v>
      </c>
      <c r="I136" s="464"/>
      <c r="J136" s="465"/>
      <c r="K136" s="465"/>
      <c r="L136" s="465"/>
      <c r="M136" s="482"/>
      <c r="N136" s="482"/>
      <c r="O136" s="482"/>
      <c r="P136" s="482"/>
      <c r="Q136" s="483"/>
      <c r="R136" s="476"/>
      <c r="S136" s="476"/>
      <c r="T136" s="476"/>
      <c r="U136" s="476"/>
      <c r="V136" s="476"/>
      <c r="W136" s="476"/>
      <c r="X136" s="476"/>
      <c r="Y136" s="476"/>
      <c r="Z136" s="476"/>
      <c r="AA136" s="476"/>
      <c r="AB136" s="476"/>
      <c r="AC136" s="476"/>
      <c r="AD136" s="476"/>
    </row>
    <row r="137" spans="1:30" s="193" customFormat="1" ht="15">
      <c r="A137" s="207">
        <v>129</v>
      </c>
      <c r="B137" s="165"/>
      <c r="C137" s="156"/>
      <c r="D137" s="213" t="s">
        <v>635</v>
      </c>
      <c r="E137" s="213"/>
      <c r="F137" s="471"/>
      <c r="G137" s="471"/>
      <c r="H137" s="469"/>
      <c r="I137" s="790">
        <f t="shared" si="19"/>
        <v>268</v>
      </c>
      <c r="J137" s="197">
        <v>236</v>
      </c>
      <c r="K137" s="197">
        <v>32</v>
      </c>
      <c r="L137" s="197"/>
      <c r="M137" s="197"/>
      <c r="N137" s="197"/>
      <c r="O137" s="197"/>
      <c r="P137" s="197"/>
      <c r="Q137" s="470"/>
      <c r="R137" s="197"/>
      <c r="S137" s="197"/>
      <c r="T137" s="197"/>
      <c r="U137" s="197"/>
      <c r="V137" s="197"/>
      <c r="W137" s="197"/>
      <c r="X137" s="197"/>
      <c r="Y137" s="197"/>
      <c r="Z137" s="197"/>
      <c r="AA137" s="197"/>
      <c r="AB137" s="197"/>
      <c r="AC137" s="197"/>
      <c r="AD137" s="197"/>
    </row>
    <row r="138" spans="1:30" s="196" customFormat="1" ht="15">
      <c r="A138" s="207">
        <v>130</v>
      </c>
      <c r="B138" s="176"/>
      <c r="C138" s="748"/>
      <c r="D138" s="793" t="s">
        <v>636</v>
      </c>
      <c r="E138" s="793"/>
      <c r="F138" s="794"/>
      <c r="G138" s="794"/>
      <c r="H138" s="478"/>
      <c r="I138" s="791">
        <f t="shared" si="19"/>
        <v>0</v>
      </c>
      <c r="J138" s="480"/>
      <c r="K138" s="480"/>
      <c r="L138" s="480"/>
      <c r="M138" s="480"/>
      <c r="N138" s="480"/>
      <c r="O138" s="480"/>
      <c r="P138" s="480"/>
      <c r="Q138" s="481"/>
      <c r="R138" s="480"/>
      <c r="S138" s="480"/>
      <c r="T138" s="480"/>
      <c r="U138" s="480"/>
      <c r="V138" s="480"/>
      <c r="W138" s="480"/>
      <c r="X138" s="480"/>
      <c r="Y138" s="480"/>
      <c r="Z138" s="480"/>
      <c r="AA138" s="480"/>
      <c r="AB138" s="480"/>
      <c r="AC138" s="480"/>
      <c r="AD138" s="480"/>
    </row>
    <row r="139" spans="1:30" s="227" customFormat="1" ht="15">
      <c r="A139" s="207">
        <v>131</v>
      </c>
      <c r="B139" s="1101"/>
      <c r="C139" s="1102"/>
      <c r="D139" s="795" t="s">
        <v>637</v>
      </c>
      <c r="E139" s="795"/>
      <c r="F139" s="796"/>
      <c r="G139" s="796"/>
      <c r="H139" s="485"/>
      <c r="I139" s="464">
        <f t="shared" si="19"/>
        <v>268</v>
      </c>
      <c r="J139" s="326">
        <f>SUM(J137:J138)</f>
        <v>236</v>
      </c>
      <c r="K139" s="326">
        <f aca="true" t="shared" si="28" ref="K139:Q139">SUM(K137:K138)</f>
        <v>32</v>
      </c>
      <c r="L139" s="326">
        <f t="shared" si="28"/>
        <v>0</v>
      </c>
      <c r="M139" s="326">
        <f t="shared" si="28"/>
        <v>0</v>
      </c>
      <c r="N139" s="326">
        <f t="shared" si="28"/>
        <v>0</v>
      </c>
      <c r="O139" s="326">
        <f t="shared" si="28"/>
        <v>0</v>
      </c>
      <c r="P139" s="326">
        <f t="shared" si="28"/>
        <v>0</v>
      </c>
      <c r="Q139" s="491">
        <f t="shared" si="28"/>
        <v>0</v>
      </c>
      <c r="R139" s="326"/>
      <c r="S139" s="326"/>
      <c r="T139" s="326"/>
      <c r="U139" s="326"/>
      <c r="V139" s="326"/>
      <c r="W139" s="326"/>
      <c r="X139" s="326"/>
      <c r="Y139" s="326"/>
      <c r="Z139" s="326"/>
      <c r="AA139" s="326"/>
      <c r="AB139" s="326"/>
      <c r="AC139" s="326"/>
      <c r="AD139" s="326"/>
    </row>
    <row r="140" spans="1:30" s="190" customFormat="1" ht="15">
      <c r="A140" s="207">
        <v>132</v>
      </c>
      <c r="B140" s="798"/>
      <c r="C140" s="799"/>
      <c r="D140" s="799" t="s">
        <v>395</v>
      </c>
      <c r="E140" s="800"/>
      <c r="F140" s="801">
        <f>SUM(F108:F128)</f>
        <v>744151</v>
      </c>
      <c r="G140" s="801">
        <f>SUM(G108:G128)</f>
        <v>655996</v>
      </c>
      <c r="H140" s="801">
        <f>SUM(H108:H128)+H136</f>
        <v>732935</v>
      </c>
      <c r="I140" s="809"/>
      <c r="J140" s="1170"/>
      <c r="K140" s="1170"/>
      <c r="L140" s="844"/>
      <c r="M140" s="844"/>
      <c r="N140" s="844"/>
      <c r="O140" s="844"/>
      <c r="P140" s="844"/>
      <c r="Q140" s="845"/>
      <c r="R140" s="458"/>
      <c r="S140" s="477"/>
      <c r="T140" s="477"/>
      <c r="U140" s="477"/>
      <c r="V140" s="477"/>
      <c r="W140" s="477"/>
      <c r="X140" s="477"/>
      <c r="Y140" s="477"/>
      <c r="Z140" s="477"/>
      <c r="AA140" s="477"/>
      <c r="AB140" s="477"/>
      <c r="AC140" s="477"/>
      <c r="AD140" s="477"/>
    </row>
    <row r="141" spans="1:30" s="193" customFormat="1" ht="15">
      <c r="A141" s="207">
        <v>133</v>
      </c>
      <c r="B141" s="165"/>
      <c r="C141" s="156"/>
      <c r="D141" s="140" t="s">
        <v>635</v>
      </c>
      <c r="E141" s="1100"/>
      <c r="F141" s="1171"/>
      <c r="G141" s="1171"/>
      <c r="H141" s="469"/>
      <c r="I141" s="790">
        <f t="shared" si="19"/>
        <v>637158</v>
      </c>
      <c r="J141" s="197">
        <f aca="true" t="shared" si="29" ref="J141:Q141">SUM(J137,J129,J125,J115,J109)</f>
        <v>402559</v>
      </c>
      <c r="K141" s="197">
        <f t="shared" si="29"/>
        <v>113141</v>
      </c>
      <c r="L141" s="197">
        <f t="shared" si="29"/>
        <v>113990</v>
      </c>
      <c r="M141" s="197">
        <f t="shared" si="29"/>
        <v>0</v>
      </c>
      <c r="N141" s="197">
        <f t="shared" si="29"/>
        <v>4958</v>
      </c>
      <c r="O141" s="197">
        <f t="shared" si="29"/>
        <v>2510</v>
      </c>
      <c r="P141" s="197">
        <f t="shared" si="29"/>
        <v>0</v>
      </c>
      <c r="Q141" s="470">
        <f t="shared" si="29"/>
        <v>0</v>
      </c>
      <c r="R141" s="197"/>
      <c r="S141" s="197"/>
      <c r="T141" s="197"/>
      <c r="U141" s="197"/>
      <c r="V141" s="197"/>
      <c r="W141" s="197"/>
      <c r="X141" s="197"/>
      <c r="Y141" s="197"/>
      <c r="Z141" s="197"/>
      <c r="AA141" s="197"/>
      <c r="AB141" s="197"/>
      <c r="AC141" s="197"/>
      <c r="AD141" s="197"/>
    </row>
    <row r="142" spans="1:30" s="196" customFormat="1" ht="30">
      <c r="A142" s="210">
        <v>134</v>
      </c>
      <c r="B142" s="176"/>
      <c r="C142" s="748"/>
      <c r="D142" s="1140" t="s">
        <v>1145</v>
      </c>
      <c r="E142" s="838"/>
      <c r="F142" s="1172"/>
      <c r="G142" s="1172"/>
      <c r="H142" s="478"/>
      <c r="I142" s="791">
        <f t="shared" si="19"/>
        <v>81034</v>
      </c>
      <c r="J142" s="480">
        <f>SUM(J138,J130:J132,J126,J116:J118,J110:J112)+J119+J122+J133+J134+J121+J120</f>
        <v>47645</v>
      </c>
      <c r="K142" s="480">
        <f aca="true" t="shared" si="30" ref="K142:Q142">SUM(K138,K130:K132,K126,K116:K118,K110:K112)+K119+K122+K133+K134+K121+K120</f>
        <v>13225</v>
      </c>
      <c r="L142" s="480">
        <f t="shared" si="30"/>
        <v>10124</v>
      </c>
      <c r="M142" s="480">
        <f t="shared" si="30"/>
        <v>0</v>
      </c>
      <c r="N142" s="480">
        <f t="shared" si="30"/>
        <v>0</v>
      </c>
      <c r="O142" s="480">
        <f t="shared" si="30"/>
        <v>10040</v>
      </c>
      <c r="P142" s="480">
        <f t="shared" si="30"/>
        <v>0</v>
      </c>
      <c r="Q142" s="481">
        <f t="shared" si="30"/>
        <v>0</v>
      </c>
      <c r="R142" s="480"/>
      <c r="S142" s="480"/>
      <c r="T142" s="480"/>
      <c r="U142" s="480"/>
      <c r="V142" s="480"/>
      <c r="W142" s="480"/>
      <c r="X142" s="480"/>
      <c r="Y142" s="480"/>
      <c r="Z142" s="480"/>
      <c r="AA142" s="480"/>
      <c r="AB142" s="480"/>
      <c r="AC142" s="480"/>
      <c r="AD142" s="480"/>
    </row>
    <row r="143" spans="1:30" s="227" customFormat="1" ht="15.75" thickBot="1">
      <c r="A143" s="207">
        <v>135</v>
      </c>
      <c r="B143" s="803"/>
      <c r="C143" s="804"/>
      <c r="D143" s="1174" t="s">
        <v>637</v>
      </c>
      <c r="E143" s="846"/>
      <c r="F143" s="1173"/>
      <c r="G143" s="1173"/>
      <c r="H143" s="806"/>
      <c r="I143" s="807">
        <f t="shared" si="19"/>
        <v>718192</v>
      </c>
      <c r="J143" s="808">
        <f>SUM(J141:J142)</f>
        <v>450204</v>
      </c>
      <c r="K143" s="808">
        <f aca="true" t="shared" si="31" ref="K143:Q143">SUM(K141:K142)</f>
        <v>126366</v>
      </c>
      <c r="L143" s="808">
        <f t="shared" si="31"/>
        <v>124114</v>
      </c>
      <c r="M143" s="808">
        <f t="shared" si="31"/>
        <v>0</v>
      </c>
      <c r="N143" s="808">
        <f t="shared" si="31"/>
        <v>4958</v>
      </c>
      <c r="O143" s="808">
        <f t="shared" si="31"/>
        <v>12550</v>
      </c>
      <c r="P143" s="808">
        <f t="shared" si="31"/>
        <v>0</v>
      </c>
      <c r="Q143" s="1049">
        <f t="shared" si="31"/>
        <v>0</v>
      </c>
      <c r="R143" s="326"/>
      <c r="S143" s="326"/>
      <c r="T143" s="326"/>
      <c r="U143" s="326"/>
      <c r="V143" s="326"/>
      <c r="W143" s="326"/>
      <c r="X143" s="326"/>
      <c r="Y143" s="326"/>
      <c r="Z143" s="326"/>
      <c r="AA143" s="326"/>
      <c r="AB143" s="326"/>
      <c r="AC143" s="326"/>
      <c r="AD143" s="326"/>
    </row>
    <row r="144" spans="1:30" s="221" customFormat="1" ht="30" customHeight="1" thickTop="1">
      <c r="A144" s="207">
        <v>136</v>
      </c>
      <c r="B144" s="159">
        <v>10</v>
      </c>
      <c r="C144" s="160"/>
      <c r="D144" s="161" t="s">
        <v>358</v>
      </c>
      <c r="E144" s="208" t="s">
        <v>31</v>
      </c>
      <c r="F144" s="462">
        <v>172414</v>
      </c>
      <c r="G144" s="462">
        <v>162519</v>
      </c>
      <c r="H144" s="463">
        <v>174762</v>
      </c>
      <c r="I144" s="813"/>
      <c r="J144" s="209"/>
      <c r="K144" s="209"/>
      <c r="L144" s="209"/>
      <c r="M144" s="209"/>
      <c r="N144" s="209"/>
      <c r="O144" s="209"/>
      <c r="P144" s="209"/>
      <c r="Q144" s="1048"/>
      <c r="R144" s="450"/>
      <c r="S144" s="450"/>
      <c r="T144" s="450"/>
      <c r="U144" s="450"/>
      <c r="V144" s="450"/>
      <c r="W144" s="450"/>
      <c r="X144" s="450"/>
      <c r="Y144" s="450"/>
      <c r="Z144" s="450"/>
      <c r="AA144" s="450"/>
      <c r="AB144" s="450"/>
      <c r="AC144" s="450"/>
      <c r="AD144" s="450"/>
    </row>
    <row r="145" spans="1:30" s="193" customFormat="1" ht="15">
      <c r="A145" s="207">
        <v>137</v>
      </c>
      <c r="B145" s="165"/>
      <c r="C145" s="156"/>
      <c r="D145" s="166" t="s">
        <v>635</v>
      </c>
      <c r="E145" s="211"/>
      <c r="F145" s="468"/>
      <c r="G145" s="468"/>
      <c r="H145" s="469"/>
      <c r="I145" s="790">
        <f aca="true" t="shared" si="32" ref="I145:I235">SUM(J145:Q145)</f>
        <v>162042</v>
      </c>
      <c r="J145" s="465">
        <v>61830</v>
      </c>
      <c r="K145" s="465">
        <v>16013</v>
      </c>
      <c r="L145" s="465">
        <v>65958</v>
      </c>
      <c r="M145" s="466"/>
      <c r="N145" s="466">
        <v>500</v>
      </c>
      <c r="O145" s="466">
        <v>17741</v>
      </c>
      <c r="P145" s="466"/>
      <c r="Q145" s="467"/>
      <c r="R145" s="197"/>
      <c r="S145" s="197"/>
      <c r="T145" s="197"/>
      <c r="U145" s="197"/>
      <c r="V145" s="197"/>
      <c r="W145" s="197"/>
      <c r="X145" s="197"/>
      <c r="Y145" s="197"/>
      <c r="Z145" s="197"/>
      <c r="AA145" s="197"/>
      <c r="AB145" s="197"/>
      <c r="AC145" s="197"/>
      <c r="AD145" s="197"/>
    </row>
    <row r="146" spans="1:30" s="196" customFormat="1" ht="15">
      <c r="A146" s="207">
        <v>138</v>
      </c>
      <c r="B146" s="176"/>
      <c r="C146" s="748"/>
      <c r="D146" s="183" t="s">
        <v>686</v>
      </c>
      <c r="E146" s="786"/>
      <c r="F146" s="787"/>
      <c r="G146" s="787"/>
      <c r="H146" s="478"/>
      <c r="I146" s="791">
        <f t="shared" si="32"/>
        <v>506</v>
      </c>
      <c r="J146" s="480">
        <v>398</v>
      </c>
      <c r="K146" s="480">
        <v>108</v>
      </c>
      <c r="L146" s="480"/>
      <c r="M146" s="480"/>
      <c r="N146" s="480"/>
      <c r="O146" s="480"/>
      <c r="P146" s="480"/>
      <c r="Q146" s="481"/>
      <c r="R146" s="480"/>
      <c r="S146" s="480"/>
      <c r="T146" s="480"/>
      <c r="U146" s="480"/>
      <c r="V146" s="480"/>
      <c r="W146" s="480"/>
      <c r="X146" s="480"/>
      <c r="Y146" s="480"/>
      <c r="Z146" s="480"/>
      <c r="AA146" s="480"/>
      <c r="AB146" s="480"/>
      <c r="AC146" s="480"/>
      <c r="AD146" s="480"/>
    </row>
    <row r="147" spans="1:30" s="196" customFormat="1" ht="15">
      <c r="A147" s="207">
        <v>139</v>
      </c>
      <c r="B147" s="176"/>
      <c r="C147" s="748"/>
      <c r="D147" s="183" t="s">
        <v>704</v>
      </c>
      <c r="E147" s="786"/>
      <c r="F147" s="787"/>
      <c r="G147" s="787"/>
      <c r="H147" s="478"/>
      <c r="I147" s="791">
        <f t="shared" si="32"/>
        <v>33523</v>
      </c>
      <c r="J147" s="480">
        <v>12904</v>
      </c>
      <c r="K147" s="480">
        <v>2192</v>
      </c>
      <c r="L147" s="480">
        <v>9427</v>
      </c>
      <c r="M147" s="480"/>
      <c r="N147" s="480"/>
      <c r="O147" s="480">
        <v>9000</v>
      </c>
      <c r="P147" s="480"/>
      <c r="Q147" s="481"/>
      <c r="R147" s="480"/>
      <c r="S147" s="480"/>
      <c r="T147" s="480"/>
      <c r="U147" s="480"/>
      <c r="V147" s="480"/>
      <c r="W147" s="480"/>
      <c r="X147" s="480"/>
      <c r="Y147" s="480"/>
      <c r="Z147" s="480"/>
      <c r="AA147" s="480"/>
      <c r="AB147" s="480"/>
      <c r="AC147" s="480"/>
      <c r="AD147" s="480"/>
    </row>
    <row r="148" spans="1:30" s="196" customFormat="1" ht="15">
      <c r="A148" s="207">
        <v>140</v>
      </c>
      <c r="B148" s="176"/>
      <c r="C148" s="748"/>
      <c r="D148" s="183" t="s">
        <v>1181</v>
      </c>
      <c r="E148" s="786"/>
      <c r="F148" s="787"/>
      <c r="G148" s="787"/>
      <c r="H148" s="478"/>
      <c r="I148" s="791">
        <f t="shared" si="32"/>
        <v>75</v>
      </c>
      <c r="J148" s="480"/>
      <c r="K148" s="480"/>
      <c r="L148" s="167">
        <v>75</v>
      </c>
      <c r="M148" s="480"/>
      <c r="N148" s="480"/>
      <c r="O148" s="480"/>
      <c r="P148" s="480"/>
      <c r="Q148" s="481"/>
      <c r="R148" s="480"/>
      <c r="S148" s="480"/>
      <c r="T148" s="480"/>
      <c r="U148" s="480"/>
      <c r="V148" s="480"/>
      <c r="W148" s="480"/>
      <c r="X148" s="480"/>
      <c r="Y148" s="480"/>
      <c r="Z148" s="480"/>
      <c r="AA148" s="480"/>
      <c r="AB148" s="480"/>
      <c r="AC148" s="480"/>
      <c r="AD148" s="480"/>
    </row>
    <row r="149" spans="1:30" s="196" customFormat="1" ht="15">
      <c r="A149" s="207">
        <v>141</v>
      </c>
      <c r="B149" s="176"/>
      <c r="C149" s="748"/>
      <c r="D149" s="183" t="s">
        <v>728</v>
      </c>
      <c r="E149" s="786"/>
      <c r="F149" s="787"/>
      <c r="G149" s="787"/>
      <c r="H149" s="478"/>
      <c r="I149" s="791">
        <f t="shared" si="32"/>
        <v>100</v>
      </c>
      <c r="J149" s="480"/>
      <c r="K149" s="480"/>
      <c r="L149" s="167">
        <v>100</v>
      </c>
      <c r="M149" s="480"/>
      <c r="N149" s="480"/>
      <c r="O149" s="480"/>
      <c r="P149" s="480"/>
      <c r="Q149" s="481"/>
      <c r="R149" s="480"/>
      <c r="S149" s="480"/>
      <c r="T149" s="480"/>
      <c r="U149" s="480"/>
      <c r="V149" s="480"/>
      <c r="W149" s="480"/>
      <c r="X149" s="480"/>
      <c r="Y149" s="480"/>
      <c r="Z149" s="480"/>
      <c r="AA149" s="480"/>
      <c r="AB149" s="480"/>
      <c r="AC149" s="480"/>
      <c r="AD149" s="480"/>
    </row>
    <row r="150" spans="1:30" s="196" customFormat="1" ht="15">
      <c r="A150" s="207">
        <v>142</v>
      </c>
      <c r="B150" s="176"/>
      <c r="C150" s="748"/>
      <c r="D150" s="183" t="s">
        <v>729</v>
      </c>
      <c r="E150" s="786"/>
      <c r="F150" s="787"/>
      <c r="G150" s="787"/>
      <c r="H150" s="478"/>
      <c r="I150" s="791">
        <f t="shared" si="32"/>
        <v>100</v>
      </c>
      <c r="J150" s="480"/>
      <c r="K150" s="480"/>
      <c r="L150" s="167">
        <v>100</v>
      </c>
      <c r="M150" s="480"/>
      <c r="N150" s="480"/>
      <c r="O150" s="480"/>
      <c r="P150" s="480"/>
      <c r="Q150" s="481"/>
      <c r="R150" s="480"/>
      <c r="S150" s="480"/>
      <c r="T150" s="480"/>
      <c r="U150" s="480"/>
      <c r="V150" s="480"/>
      <c r="W150" s="480"/>
      <c r="X150" s="480"/>
      <c r="Y150" s="480"/>
      <c r="Z150" s="480"/>
      <c r="AA150" s="480"/>
      <c r="AB150" s="480"/>
      <c r="AC150" s="480"/>
      <c r="AD150" s="480"/>
    </row>
    <row r="151" spans="1:30" s="196" customFormat="1" ht="15">
      <c r="A151" s="207">
        <v>143</v>
      </c>
      <c r="B151" s="176"/>
      <c r="C151" s="748"/>
      <c r="D151" s="183" t="s">
        <v>731</v>
      </c>
      <c r="E151" s="786"/>
      <c r="F151" s="787"/>
      <c r="G151" s="787"/>
      <c r="H151" s="478"/>
      <c r="I151" s="791">
        <f t="shared" si="32"/>
        <v>50</v>
      </c>
      <c r="J151" s="480"/>
      <c r="K151" s="480"/>
      <c r="L151" s="167">
        <v>50</v>
      </c>
      <c r="M151" s="480"/>
      <c r="N151" s="480"/>
      <c r="O151" s="480"/>
      <c r="P151" s="480"/>
      <c r="Q151" s="481"/>
      <c r="R151" s="480"/>
      <c r="S151" s="480"/>
      <c r="T151" s="480"/>
      <c r="U151" s="480"/>
      <c r="V151" s="480"/>
      <c r="W151" s="480"/>
      <c r="X151" s="480"/>
      <c r="Y151" s="480"/>
      <c r="Z151" s="480"/>
      <c r="AA151" s="480"/>
      <c r="AB151" s="480"/>
      <c r="AC151" s="480"/>
      <c r="AD151" s="480"/>
    </row>
    <row r="152" spans="1:30" s="196" customFormat="1" ht="15">
      <c r="A152" s="207">
        <v>144</v>
      </c>
      <c r="B152" s="176"/>
      <c r="C152" s="748"/>
      <c r="D152" s="183" t="s">
        <v>1182</v>
      </c>
      <c r="E152" s="786"/>
      <c r="F152" s="787"/>
      <c r="G152" s="787"/>
      <c r="H152" s="478"/>
      <c r="I152" s="791">
        <f t="shared" si="32"/>
        <v>2500</v>
      </c>
      <c r="J152" s="480"/>
      <c r="K152" s="480"/>
      <c r="L152" s="167">
        <v>2500</v>
      </c>
      <c r="M152" s="480"/>
      <c r="N152" s="480"/>
      <c r="O152" s="480"/>
      <c r="P152" s="480"/>
      <c r="Q152" s="481"/>
      <c r="R152" s="480"/>
      <c r="S152" s="480"/>
      <c r="T152" s="480"/>
      <c r="U152" s="480"/>
      <c r="V152" s="480"/>
      <c r="W152" s="480"/>
      <c r="X152" s="480"/>
      <c r="Y152" s="480"/>
      <c r="Z152" s="480"/>
      <c r="AA152" s="480"/>
      <c r="AB152" s="480"/>
      <c r="AC152" s="480"/>
      <c r="AD152" s="480"/>
    </row>
    <row r="153" spans="1:30" s="196" customFormat="1" ht="15">
      <c r="A153" s="207">
        <v>145</v>
      </c>
      <c r="B153" s="176"/>
      <c r="C153" s="748"/>
      <c r="D153" s="183" t="s">
        <v>734</v>
      </c>
      <c r="E153" s="786"/>
      <c r="F153" s="787"/>
      <c r="G153" s="787"/>
      <c r="H153" s="478"/>
      <c r="I153" s="791">
        <f t="shared" si="32"/>
        <v>118</v>
      </c>
      <c r="J153" s="480">
        <v>87</v>
      </c>
      <c r="K153" s="480">
        <v>31</v>
      </c>
      <c r="L153" s="167"/>
      <c r="M153" s="480"/>
      <c r="N153" s="480"/>
      <c r="O153" s="480"/>
      <c r="P153" s="480"/>
      <c r="Q153" s="481"/>
      <c r="R153" s="480"/>
      <c r="S153" s="480"/>
      <c r="T153" s="480"/>
      <c r="U153" s="480"/>
      <c r="V153" s="480"/>
      <c r="W153" s="480"/>
      <c r="X153" s="480"/>
      <c r="Y153" s="480"/>
      <c r="Z153" s="480"/>
      <c r="AA153" s="480"/>
      <c r="AB153" s="480"/>
      <c r="AC153" s="480"/>
      <c r="AD153" s="480"/>
    </row>
    <row r="154" spans="1:30" s="196" customFormat="1" ht="15">
      <c r="A154" s="207">
        <v>146</v>
      </c>
      <c r="B154" s="176"/>
      <c r="C154" s="748"/>
      <c r="D154" s="183" t="s">
        <v>756</v>
      </c>
      <c r="E154" s="786"/>
      <c r="F154" s="787"/>
      <c r="G154" s="787"/>
      <c r="H154" s="478"/>
      <c r="I154" s="791">
        <f t="shared" si="32"/>
        <v>1332</v>
      </c>
      <c r="J154" s="480">
        <v>1049</v>
      </c>
      <c r="K154" s="480">
        <v>283</v>
      </c>
      <c r="L154" s="167"/>
      <c r="M154" s="480"/>
      <c r="N154" s="480"/>
      <c r="O154" s="480"/>
      <c r="P154" s="480"/>
      <c r="Q154" s="481"/>
      <c r="R154" s="480"/>
      <c r="S154" s="480"/>
      <c r="T154" s="480"/>
      <c r="U154" s="480"/>
      <c r="V154" s="480"/>
      <c r="W154" s="480"/>
      <c r="X154" s="480"/>
      <c r="Y154" s="480"/>
      <c r="Z154" s="480"/>
      <c r="AA154" s="480"/>
      <c r="AB154" s="480"/>
      <c r="AC154" s="480"/>
      <c r="AD154" s="480"/>
    </row>
    <row r="155" spans="1:30" s="196" customFormat="1" ht="16.5">
      <c r="A155" s="207">
        <v>147</v>
      </c>
      <c r="B155" s="176"/>
      <c r="C155" s="748"/>
      <c r="D155" s="183" t="s">
        <v>811</v>
      </c>
      <c r="E155" s="786"/>
      <c r="F155" s="787"/>
      <c r="G155" s="787"/>
      <c r="H155" s="478"/>
      <c r="I155" s="791">
        <f t="shared" si="32"/>
        <v>100</v>
      </c>
      <c r="J155" s="480"/>
      <c r="K155" s="480"/>
      <c r="L155" s="41">
        <v>100</v>
      </c>
      <c r="M155" s="480"/>
      <c r="N155" s="480"/>
      <c r="O155" s="480"/>
      <c r="P155" s="480"/>
      <c r="Q155" s="481"/>
      <c r="R155" s="480"/>
      <c r="S155" s="480"/>
      <c r="T155" s="480"/>
      <c r="U155" s="480"/>
      <c r="V155" s="480"/>
      <c r="W155" s="480"/>
      <c r="X155" s="480"/>
      <c r="Y155" s="480"/>
      <c r="Z155" s="480"/>
      <c r="AA155" s="480"/>
      <c r="AB155" s="480"/>
      <c r="AC155" s="480"/>
      <c r="AD155" s="480"/>
    </row>
    <row r="156" spans="1:30" s="196" customFormat="1" ht="16.5">
      <c r="A156" s="207">
        <v>148</v>
      </c>
      <c r="B156" s="176"/>
      <c r="C156" s="748"/>
      <c r="D156" s="183" t="s">
        <v>1173</v>
      </c>
      <c r="E156" s="786"/>
      <c r="F156" s="787"/>
      <c r="G156" s="787"/>
      <c r="H156" s="478"/>
      <c r="I156" s="791">
        <f t="shared" si="32"/>
        <v>70</v>
      </c>
      <c r="J156" s="480"/>
      <c r="K156" s="480"/>
      <c r="L156" s="41">
        <v>70</v>
      </c>
      <c r="M156" s="480"/>
      <c r="N156" s="480"/>
      <c r="O156" s="480"/>
      <c r="P156" s="480"/>
      <c r="Q156" s="481"/>
      <c r="R156" s="480"/>
      <c r="S156" s="480"/>
      <c r="T156" s="480"/>
      <c r="U156" s="480"/>
      <c r="V156" s="480"/>
      <c r="W156" s="480"/>
      <c r="X156" s="480"/>
      <c r="Y156" s="480"/>
      <c r="Z156" s="480"/>
      <c r="AA156" s="480"/>
      <c r="AB156" s="480"/>
      <c r="AC156" s="480"/>
      <c r="AD156" s="480"/>
    </row>
    <row r="157" spans="1:30" s="196" customFormat="1" ht="16.5">
      <c r="A157" s="207">
        <v>149</v>
      </c>
      <c r="B157" s="176"/>
      <c r="C157" s="748"/>
      <c r="D157" s="183" t="s">
        <v>812</v>
      </c>
      <c r="E157" s="786"/>
      <c r="F157" s="787"/>
      <c r="G157" s="787"/>
      <c r="H157" s="478"/>
      <c r="I157" s="791">
        <f t="shared" si="32"/>
        <v>60</v>
      </c>
      <c r="J157" s="480"/>
      <c r="K157" s="480"/>
      <c r="L157" s="41">
        <v>60</v>
      </c>
      <c r="M157" s="480"/>
      <c r="N157" s="480"/>
      <c r="O157" s="480"/>
      <c r="P157" s="480"/>
      <c r="Q157" s="481"/>
      <c r="R157" s="480"/>
      <c r="S157" s="480"/>
      <c r="T157" s="480"/>
      <c r="U157" s="480"/>
      <c r="V157" s="480"/>
      <c r="W157" s="480"/>
      <c r="X157" s="480"/>
      <c r="Y157" s="480"/>
      <c r="Z157" s="480"/>
      <c r="AA157" s="480"/>
      <c r="AB157" s="480"/>
      <c r="AC157" s="480"/>
      <c r="AD157" s="480"/>
    </row>
    <row r="158" spans="1:30" s="196" customFormat="1" ht="16.5">
      <c r="A158" s="207">
        <v>150</v>
      </c>
      <c r="B158" s="176"/>
      <c r="C158" s="748"/>
      <c r="D158" s="183" t="s">
        <v>813</v>
      </c>
      <c r="E158" s="786"/>
      <c r="F158" s="787"/>
      <c r="G158" s="787"/>
      <c r="H158" s="478"/>
      <c r="I158" s="791">
        <f t="shared" si="32"/>
        <v>10</v>
      </c>
      <c r="J158" s="480"/>
      <c r="K158" s="480"/>
      <c r="L158" s="41">
        <v>10</v>
      </c>
      <c r="M158" s="480"/>
      <c r="N158" s="480"/>
      <c r="O158" s="480"/>
      <c r="P158" s="480"/>
      <c r="Q158" s="481"/>
      <c r="R158" s="480"/>
      <c r="S158" s="480"/>
      <c r="T158" s="480"/>
      <c r="U158" s="480"/>
      <c r="V158" s="480"/>
      <c r="W158" s="480"/>
      <c r="X158" s="480"/>
      <c r="Y158" s="480"/>
      <c r="Z158" s="480"/>
      <c r="AA158" s="480"/>
      <c r="AB158" s="480"/>
      <c r="AC158" s="480"/>
      <c r="AD158" s="480"/>
    </row>
    <row r="159" spans="1:30" s="196" customFormat="1" ht="16.5">
      <c r="A159" s="207">
        <v>151</v>
      </c>
      <c r="B159" s="176"/>
      <c r="C159" s="748"/>
      <c r="D159" s="183" t="s">
        <v>814</v>
      </c>
      <c r="E159" s="786"/>
      <c r="F159" s="787"/>
      <c r="G159" s="787"/>
      <c r="H159" s="478"/>
      <c r="I159" s="791">
        <f t="shared" si="32"/>
        <v>200</v>
      </c>
      <c r="J159" s="480"/>
      <c r="K159" s="480"/>
      <c r="L159" s="41">
        <v>200</v>
      </c>
      <c r="M159" s="480"/>
      <c r="N159" s="480"/>
      <c r="O159" s="480"/>
      <c r="P159" s="480"/>
      <c r="Q159" s="481"/>
      <c r="R159" s="480"/>
      <c r="S159" s="480"/>
      <c r="T159" s="480"/>
      <c r="U159" s="480"/>
      <c r="V159" s="480"/>
      <c r="W159" s="480"/>
      <c r="X159" s="480"/>
      <c r="Y159" s="480"/>
      <c r="Z159" s="480"/>
      <c r="AA159" s="480"/>
      <c r="AB159" s="480"/>
      <c r="AC159" s="480"/>
      <c r="AD159" s="480"/>
    </row>
    <row r="160" spans="1:30" s="196" customFormat="1" ht="16.5">
      <c r="A160" s="207">
        <v>152</v>
      </c>
      <c r="B160" s="176"/>
      <c r="C160" s="748"/>
      <c r="D160" s="183" t="s">
        <v>815</v>
      </c>
      <c r="E160" s="786"/>
      <c r="F160" s="787"/>
      <c r="G160" s="787"/>
      <c r="H160" s="478"/>
      <c r="I160" s="791">
        <f t="shared" si="32"/>
        <v>100</v>
      </c>
      <c r="J160" s="480"/>
      <c r="K160" s="480"/>
      <c r="L160" s="41">
        <v>100</v>
      </c>
      <c r="M160" s="480"/>
      <c r="N160" s="480"/>
      <c r="O160" s="480"/>
      <c r="P160" s="480"/>
      <c r="Q160" s="481"/>
      <c r="R160" s="480"/>
      <c r="S160" s="480"/>
      <c r="T160" s="480"/>
      <c r="U160" s="480"/>
      <c r="V160" s="480"/>
      <c r="W160" s="480"/>
      <c r="X160" s="480"/>
      <c r="Y160" s="480"/>
      <c r="Z160" s="480"/>
      <c r="AA160" s="480"/>
      <c r="AB160" s="480"/>
      <c r="AC160" s="480"/>
      <c r="AD160" s="480"/>
    </row>
    <row r="161" spans="1:30" s="196" customFormat="1" ht="16.5">
      <c r="A161" s="207">
        <v>153</v>
      </c>
      <c r="B161" s="176"/>
      <c r="C161" s="748"/>
      <c r="D161" s="183" t="s">
        <v>816</v>
      </c>
      <c r="E161" s="786"/>
      <c r="F161" s="787"/>
      <c r="G161" s="787"/>
      <c r="H161" s="478"/>
      <c r="I161" s="791">
        <f t="shared" si="32"/>
        <v>50</v>
      </c>
      <c r="J161" s="480"/>
      <c r="K161" s="480"/>
      <c r="L161" s="41">
        <v>50</v>
      </c>
      <c r="M161" s="480"/>
      <c r="N161" s="480"/>
      <c r="O161" s="480"/>
      <c r="P161" s="480"/>
      <c r="Q161" s="481"/>
      <c r="R161" s="480"/>
      <c r="S161" s="480"/>
      <c r="T161" s="480"/>
      <c r="U161" s="480"/>
      <c r="V161" s="480"/>
      <c r="W161" s="480"/>
      <c r="X161" s="480"/>
      <c r="Y161" s="480"/>
      <c r="Z161" s="480"/>
      <c r="AA161" s="480"/>
      <c r="AB161" s="480"/>
      <c r="AC161" s="480"/>
      <c r="AD161" s="480"/>
    </row>
    <row r="162" spans="1:30" s="196" customFormat="1" ht="16.5">
      <c r="A162" s="207">
        <v>154</v>
      </c>
      <c r="B162" s="176"/>
      <c r="C162" s="748"/>
      <c r="D162" s="183" t="s">
        <v>817</v>
      </c>
      <c r="E162" s="786"/>
      <c r="F162" s="787"/>
      <c r="G162" s="787"/>
      <c r="H162" s="478"/>
      <c r="I162" s="791">
        <f t="shared" si="32"/>
        <v>30</v>
      </c>
      <c r="J162" s="480"/>
      <c r="K162" s="480"/>
      <c r="L162" s="41">
        <v>30</v>
      </c>
      <c r="M162" s="480"/>
      <c r="N162" s="480"/>
      <c r="O162" s="480"/>
      <c r="P162" s="480"/>
      <c r="Q162" s="481"/>
      <c r="R162" s="480"/>
      <c r="S162" s="480"/>
      <c r="T162" s="480"/>
      <c r="U162" s="480"/>
      <c r="V162" s="480"/>
      <c r="W162" s="480"/>
      <c r="X162" s="480"/>
      <c r="Y162" s="480"/>
      <c r="Z162" s="480"/>
      <c r="AA162" s="480"/>
      <c r="AB162" s="480"/>
      <c r="AC162" s="480"/>
      <c r="AD162" s="480"/>
    </row>
    <row r="163" spans="1:30" s="196" customFormat="1" ht="16.5">
      <c r="A163" s="207">
        <v>155</v>
      </c>
      <c r="B163" s="176"/>
      <c r="C163" s="748"/>
      <c r="D163" s="183" t="s">
        <v>818</v>
      </c>
      <c r="E163" s="786"/>
      <c r="F163" s="787"/>
      <c r="G163" s="787"/>
      <c r="H163" s="478"/>
      <c r="I163" s="791">
        <f t="shared" si="32"/>
        <v>170</v>
      </c>
      <c r="J163" s="480"/>
      <c r="K163" s="480"/>
      <c r="L163" s="41">
        <v>170</v>
      </c>
      <c r="M163" s="480"/>
      <c r="N163" s="480"/>
      <c r="O163" s="480"/>
      <c r="P163" s="480"/>
      <c r="Q163" s="481"/>
      <c r="R163" s="480"/>
      <c r="S163" s="480"/>
      <c r="T163" s="480"/>
      <c r="U163" s="480"/>
      <c r="V163" s="480"/>
      <c r="W163" s="480"/>
      <c r="X163" s="480"/>
      <c r="Y163" s="480"/>
      <c r="Z163" s="480"/>
      <c r="AA163" s="480"/>
      <c r="AB163" s="480"/>
      <c r="AC163" s="480"/>
      <c r="AD163" s="480"/>
    </row>
    <row r="164" spans="1:30" s="196" customFormat="1" ht="16.5">
      <c r="A164" s="207">
        <v>156</v>
      </c>
      <c r="B164" s="176"/>
      <c r="C164" s="748"/>
      <c r="D164" s="183" t="s">
        <v>819</v>
      </c>
      <c r="E164" s="786"/>
      <c r="F164" s="787"/>
      <c r="G164" s="787"/>
      <c r="H164" s="478"/>
      <c r="I164" s="791">
        <f t="shared" si="32"/>
        <v>50</v>
      </c>
      <c r="J164" s="480"/>
      <c r="K164" s="480"/>
      <c r="L164" s="41">
        <v>50</v>
      </c>
      <c r="M164" s="480"/>
      <c r="N164" s="480"/>
      <c r="O164" s="480"/>
      <c r="P164" s="480"/>
      <c r="Q164" s="481"/>
      <c r="R164" s="480"/>
      <c r="S164" s="480"/>
      <c r="T164" s="480"/>
      <c r="U164" s="480"/>
      <c r="V164" s="480"/>
      <c r="W164" s="480"/>
      <c r="X164" s="480"/>
      <c r="Y164" s="480"/>
      <c r="Z164" s="480"/>
      <c r="AA164" s="480"/>
      <c r="AB164" s="480"/>
      <c r="AC164" s="480"/>
      <c r="AD164" s="480"/>
    </row>
    <row r="165" spans="1:30" s="196" customFormat="1" ht="16.5">
      <c r="A165" s="207">
        <v>157</v>
      </c>
      <c r="B165" s="176"/>
      <c r="C165" s="748"/>
      <c r="D165" s="183" t="s">
        <v>820</v>
      </c>
      <c r="E165" s="786"/>
      <c r="F165" s="787"/>
      <c r="G165" s="787"/>
      <c r="H165" s="478"/>
      <c r="I165" s="791">
        <f t="shared" si="32"/>
        <v>80</v>
      </c>
      <c r="J165" s="480"/>
      <c r="K165" s="480"/>
      <c r="L165" s="41">
        <v>80</v>
      </c>
      <c r="M165" s="480"/>
      <c r="N165" s="480"/>
      <c r="O165" s="480"/>
      <c r="P165" s="480"/>
      <c r="Q165" s="481"/>
      <c r="R165" s="480"/>
      <c r="S165" s="480"/>
      <c r="T165" s="480"/>
      <c r="U165" s="480"/>
      <c r="V165" s="480"/>
      <c r="W165" s="480"/>
      <c r="X165" s="480"/>
      <c r="Y165" s="480"/>
      <c r="Z165" s="480"/>
      <c r="AA165" s="480"/>
      <c r="AB165" s="480"/>
      <c r="AC165" s="480"/>
      <c r="AD165" s="480"/>
    </row>
    <row r="166" spans="1:30" s="196" customFormat="1" ht="16.5">
      <c r="A166" s="207">
        <v>158</v>
      </c>
      <c r="B166" s="176"/>
      <c r="C166" s="748"/>
      <c r="D166" s="183" t="s">
        <v>821</v>
      </c>
      <c r="E166" s="786"/>
      <c r="F166" s="787"/>
      <c r="G166" s="787"/>
      <c r="H166" s="478"/>
      <c r="I166" s="791">
        <f t="shared" si="32"/>
        <v>80</v>
      </c>
      <c r="J166" s="480"/>
      <c r="K166" s="480"/>
      <c r="L166" s="41">
        <v>80</v>
      </c>
      <c r="M166" s="480"/>
      <c r="N166" s="480"/>
      <c r="O166" s="480"/>
      <c r="P166" s="480"/>
      <c r="Q166" s="481"/>
      <c r="R166" s="480"/>
      <c r="S166" s="480"/>
      <c r="T166" s="480"/>
      <c r="U166" s="480"/>
      <c r="V166" s="480"/>
      <c r="W166" s="480"/>
      <c r="X166" s="480"/>
      <c r="Y166" s="480"/>
      <c r="Z166" s="480"/>
      <c r="AA166" s="480"/>
      <c r="AB166" s="480"/>
      <c r="AC166" s="480"/>
      <c r="AD166" s="480"/>
    </row>
    <row r="167" spans="1:30" s="196" customFormat="1" ht="16.5">
      <c r="A167" s="207">
        <v>159</v>
      </c>
      <c r="B167" s="176"/>
      <c r="C167" s="748"/>
      <c r="D167" s="183" t="s">
        <v>822</v>
      </c>
      <c r="E167" s="786"/>
      <c r="F167" s="787"/>
      <c r="G167" s="787"/>
      <c r="H167" s="478"/>
      <c r="I167" s="791">
        <f t="shared" si="32"/>
        <v>150</v>
      </c>
      <c r="J167" s="480"/>
      <c r="K167" s="480"/>
      <c r="L167" s="41">
        <v>150</v>
      </c>
      <c r="M167" s="480"/>
      <c r="N167" s="480"/>
      <c r="O167" s="480"/>
      <c r="P167" s="480"/>
      <c r="Q167" s="481"/>
      <c r="R167" s="480"/>
      <c r="S167" s="480"/>
      <c r="T167" s="480"/>
      <c r="U167" s="480"/>
      <c r="V167" s="480"/>
      <c r="W167" s="480"/>
      <c r="X167" s="480"/>
      <c r="Y167" s="480"/>
      <c r="Z167" s="480"/>
      <c r="AA167" s="480"/>
      <c r="AB167" s="480"/>
      <c r="AC167" s="480"/>
      <c r="AD167" s="480"/>
    </row>
    <row r="168" spans="1:30" s="196" customFormat="1" ht="16.5">
      <c r="A168" s="207">
        <v>160</v>
      </c>
      <c r="B168" s="176"/>
      <c r="C168" s="748"/>
      <c r="D168" s="183" t="s">
        <v>823</v>
      </c>
      <c r="E168" s="786"/>
      <c r="F168" s="787"/>
      <c r="G168" s="787"/>
      <c r="H168" s="478"/>
      <c r="I168" s="791">
        <f t="shared" si="32"/>
        <v>240</v>
      </c>
      <c r="J168" s="480"/>
      <c r="K168" s="480"/>
      <c r="L168" s="41">
        <v>240</v>
      </c>
      <c r="M168" s="480"/>
      <c r="N168" s="480"/>
      <c r="O168" s="480"/>
      <c r="P168" s="480"/>
      <c r="Q168" s="481"/>
      <c r="R168" s="480"/>
      <c r="S168" s="480"/>
      <c r="T168" s="480"/>
      <c r="U168" s="480"/>
      <c r="V168" s="480"/>
      <c r="W168" s="480"/>
      <c r="X168" s="480"/>
      <c r="Y168" s="480"/>
      <c r="Z168" s="480"/>
      <c r="AA168" s="480"/>
      <c r="AB168" s="480"/>
      <c r="AC168" s="480"/>
      <c r="AD168" s="480"/>
    </row>
    <row r="169" spans="1:30" s="196" customFormat="1" ht="15">
      <c r="A169" s="207">
        <v>161</v>
      </c>
      <c r="B169" s="176"/>
      <c r="C169" s="748"/>
      <c r="D169" s="183" t="s">
        <v>935</v>
      </c>
      <c r="E169" s="786"/>
      <c r="F169" s="787"/>
      <c r="G169" s="787"/>
      <c r="H169" s="478"/>
      <c r="I169" s="791">
        <f t="shared" si="32"/>
        <v>37500</v>
      </c>
      <c r="J169" s="480"/>
      <c r="K169" s="480"/>
      <c r="L169" s="167"/>
      <c r="M169" s="480"/>
      <c r="N169" s="480"/>
      <c r="O169" s="480"/>
      <c r="P169" s="480">
        <v>37500</v>
      </c>
      <c r="Q169" s="481"/>
      <c r="R169" s="480"/>
      <c r="S169" s="480"/>
      <c r="T169" s="480"/>
      <c r="U169" s="480"/>
      <c r="V169" s="480"/>
      <c r="W169" s="480"/>
      <c r="X169" s="480"/>
      <c r="Y169" s="480"/>
      <c r="Z169" s="480"/>
      <c r="AA169" s="480"/>
      <c r="AB169" s="480"/>
      <c r="AC169" s="480"/>
      <c r="AD169" s="480"/>
    </row>
    <row r="170" spans="1:30" s="227" customFormat="1" ht="15">
      <c r="A170" s="207">
        <v>162</v>
      </c>
      <c r="B170" s="1101"/>
      <c r="C170" s="1102"/>
      <c r="D170" s="180" t="s">
        <v>637</v>
      </c>
      <c r="E170" s="220"/>
      <c r="F170" s="789"/>
      <c r="G170" s="789"/>
      <c r="H170" s="485"/>
      <c r="I170" s="464">
        <f t="shared" si="32"/>
        <v>239236</v>
      </c>
      <c r="J170" s="326">
        <f aca="true" t="shared" si="33" ref="J170:Q170">SUM(J145:J169)</f>
        <v>76268</v>
      </c>
      <c r="K170" s="326">
        <f t="shared" si="33"/>
        <v>18627</v>
      </c>
      <c r="L170" s="326">
        <f t="shared" si="33"/>
        <v>79600</v>
      </c>
      <c r="M170" s="326">
        <f t="shared" si="33"/>
        <v>0</v>
      </c>
      <c r="N170" s="326">
        <f t="shared" si="33"/>
        <v>500</v>
      </c>
      <c r="O170" s="326">
        <f t="shared" si="33"/>
        <v>26741</v>
      </c>
      <c r="P170" s="326">
        <f t="shared" si="33"/>
        <v>37500</v>
      </c>
      <c r="Q170" s="491">
        <f t="shared" si="33"/>
        <v>0</v>
      </c>
      <c r="R170" s="326"/>
      <c r="S170" s="326"/>
      <c r="T170" s="326"/>
      <c r="U170" s="326"/>
      <c r="V170" s="326"/>
      <c r="W170" s="326"/>
      <c r="X170" s="326"/>
      <c r="Y170" s="326"/>
      <c r="Z170" s="326"/>
      <c r="AA170" s="326"/>
      <c r="AB170" s="326"/>
      <c r="AC170" s="326"/>
      <c r="AD170" s="326"/>
    </row>
    <row r="171" spans="1:30" s="216" customFormat="1" ht="15">
      <c r="A171" s="207">
        <v>163</v>
      </c>
      <c r="B171" s="170"/>
      <c r="C171" s="171">
        <v>1</v>
      </c>
      <c r="D171" s="1408" t="s">
        <v>396</v>
      </c>
      <c r="E171" s="1408"/>
      <c r="F171" s="1408"/>
      <c r="G171" s="472">
        <v>17664</v>
      </c>
      <c r="H171" s="473">
        <v>5059</v>
      </c>
      <c r="I171" s="815"/>
      <c r="J171" s="465"/>
      <c r="K171" s="465"/>
      <c r="L171" s="465"/>
      <c r="M171" s="466"/>
      <c r="N171" s="466"/>
      <c r="O171" s="465"/>
      <c r="P171" s="466"/>
      <c r="Q171" s="467"/>
      <c r="R171" s="476"/>
      <c r="S171" s="476"/>
      <c r="T171" s="476"/>
      <c r="U171" s="476"/>
      <c r="V171" s="476"/>
      <c r="W171" s="476"/>
      <c r="X171" s="476"/>
      <c r="Y171" s="476"/>
      <c r="Z171" s="476"/>
      <c r="AA171" s="476"/>
      <c r="AB171" s="476"/>
      <c r="AC171" s="476"/>
      <c r="AD171" s="476"/>
    </row>
    <row r="172" spans="1:30" s="193" customFormat="1" ht="15">
      <c r="A172" s="207">
        <v>164</v>
      </c>
      <c r="B172" s="165"/>
      <c r="C172" s="156"/>
      <c r="D172" s="213" t="s">
        <v>635</v>
      </c>
      <c r="E172" s="213"/>
      <c r="F172" s="471"/>
      <c r="G172" s="471"/>
      <c r="H172" s="469"/>
      <c r="I172" s="790">
        <f t="shared" si="32"/>
        <v>13236</v>
      </c>
      <c r="J172" s="197"/>
      <c r="K172" s="197"/>
      <c r="L172" s="197">
        <v>13236</v>
      </c>
      <c r="M172" s="197"/>
      <c r="N172" s="197"/>
      <c r="O172" s="197"/>
      <c r="P172" s="197"/>
      <c r="Q172" s="470"/>
      <c r="R172" s="197"/>
      <c r="S172" s="197"/>
      <c r="T172" s="197"/>
      <c r="U172" s="197"/>
      <c r="V172" s="197"/>
      <c r="W172" s="197"/>
      <c r="X172" s="197"/>
      <c r="Y172" s="197"/>
      <c r="Z172" s="197"/>
      <c r="AA172" s="197"/>
      <c r="AB172" s="197"/>
      <c r="AC172" s="197"/>
      <c r="AD172" s="197"/>
    </row>
    <row r="173" spans="1:30" s="196" customFormat="1" ht="15">
      <c r="A173" s="207">
        <v>165</v>
      </c>
      <c r="B173" s="176"/>
      <c r="C173" s="748"/>
      <c r="D173" s="793" t="s">
        <v>797</v>
      </c>
      <c r="E173" s="793"/>
      <c r="F173" s="794"/>
      <c r="G173" s="794"/>
      <c r="H173" s="478"/>
      <c r="I173" s="791">
        <f t="shared" si="32"/>
        <v>15105</v>
      </c>
      <c r="J173" s="480"/>
      <c r="K173" s="480"/>
      <c r="L173" s="480">
        <v>15105</v>
      </c>
      <c r="M173" s="480"/>
      <c r="N173" s="480"/>
      <c r="O173" s="480"/>
      <c r="P173" s="480"/>
      <c r="Q173" s="481"/>
      <c r="R173" s="480"/>
      <c r="S173" s="480"/>
      <c r="T173" s="480"/>
      <c r="U173" s="480"/>
      <c r="V173" s="480"/>
      <c r="W173" s="480"/>
      <c r="X173" s="480"/>
      <c r="Y173" s="480"/>
      <c r="Z173" s="480"/>
      <c r="AA173" s="480"/>
      <c r="AB173" s="480"/>
      <c r="AC173" s="480"/>
      <c r="AD173" s="480"/>
    </row>
    <row r="174" spans="1:30" s="227" customFormat="1" ht="15">
      <c r="A174" s="207">
        <v>166</v>
      </c>
      <c r="B174" s="1101"/>
      <c r="C174" s="1102"/>
      <c r="D174" s="795" t="s">
        <v>637</v>
      </c>
      <c r="E174" s="795"/>
      <c r="F174" s="796"/>
      <c r="G174" s="796"/>
      <c r="H174" s="485"/>
      <c r="I174" s="464">
        <f t="shared" si="32"/>
        <v>28341</v>
      </c>
      <c r="J174" s="326">
        <f>SUM(J172:J173)</f>
        <v>0</v>
      </c>
      <c r="K174" s="326">
        <f aca="true" t="shared" si="34" ref="K174:Q174">SUM(K172:K173)</f>
        <v>0</v>
      </c>
      <c r="L174" s="326">
        <f t="shared" si="34"/>
        <v>28341</v>
      </c>
      <c r="M174" s="326">
        <f t="shared" si="34"/>
        <v>0</v>
      </c>
      <c r="N174" s="326">
        <f t="shared" si="34"/>
        <v>0</v>
      </c>
      <c r="O174" s="326">
        <f t="shared" si="34"/>
        <v>0</v>
      </c>
      <c r="P174" s="326">
        <f t="shared" si="34"/>
        <v>0</v>
      </c>
      <c r="Q174" s="491">
        <f t="shared" si="34"/>
        <v>0</v>
      </c>
      <c r="R174" s="326"/>
      <c r="S174" s="326"/>
      <c r="T174" s="326"/>
      <c r="U174" s="326"/>
      <c r="V174" s="326"/>
      <c r="W174" s="326"/>
      <c r="X174" s="326"/>
      <c r="Y174" s="326"/>
      <c r="Z174" s="326"/>
      <c r="AA174" s="326"/>
      <c r="AB174" s="326"/>
      <c r="AC174" s="326"/>
      <c r="AD174" s="326"/>
    </row>
    <row r="175" spans="1:30" s="216" customFormat="1" ht="30">
      <c r="A175" s="210">
        <v>167</v>
      </c>
      <c r="B175" s="170"/>
      <c r="C175" s="171">
        <v>2</v>
      </c>
      <c r="D175" s="214" t="s">
        <v>417</v>
      </c>
      <c r="E175" s="215"/>
      <c r="F175" s="472"/>
      <c r="G175" s="472"/>
      <c r="H175" s="473">
        <v>1811</v>
      </c>
      <c r="I175" s="815"/>
      <c r="J175" s="225"/>
      <c r="K175" s="225"/>
      <c r="L175" s="474"/>
      <c r="M175" s="474"/>
      <c r="N175" s="474"/>
      <c r="O175" s="474"/>
      <c r="P175" s="474"/>
      <c r="Q175" s="475"/>
      <c r="R175" s="476"/>
      <c r="S175" s="476"/>
      <c r="T175" s="476"/>
      <c r="U175" s="476"/>
      <c r="V175" s="476"/>
      <c r="W175" s="476"/>
      <c r="X175" s="476"/>
      <c r="Y175" s="476"/>
      <c r="Z175" s="476"/>
      <c r="AA175" s="476"/>
      <c r="AB175" s="476"/>
      <c r="AC175" s="476"/>
      <c r="AD175" s="476"/>
    </row>
    <row r="176" spans="1:30" s="193" customFormat="1" ht="15">
      <c r="A176" s="207">
        <v>168</v>
      </c>
      <c r="B176" s="165"/>
      <c r="C176" s="156"/>
      <c r="D176" s="213" t="s">
        <v>635</v>
      </c>
      <c r="E176" s="213"/>
      <c r="F176" s="471"/>
      <c r="G176" s="471"/>
      <c r="H176" s="469"/>
      <c r="I176" s="790">
        <f t="shared" si="32"/>
        <v>0</v>
      </c>
      <c r="J176" s="197"/>
      <c r="K176" s="197"/>
      <c r="L176" s="197"/>
      <c r="M176" s="197"/>
      <c r="N176" s="197"/>
      <c r="O176" s="197"/>
      <c r="P176" s="197"/>
      <c r="Q176" s="470"/>
      <c r="R176" s="197"/>
      <c r="S176" s="197"/>
      <c r="T176" s="197"/>
      <c r="U176" s="197"/>
      <c r="V176" s="197"/>
      <c r="W176" s="197"/>
      <c r="X176" s="197"/>
      <c r="Y176" s="197"/>
      <c r="Z176" s="197"/>
      <c r="AA176" s="197"/>
      <c r="AB176" s="197"/>
      <c r="AC176" s="197"/>
      <c r="AD176" s="197"/>
    </row>
    <row r="177" spans="1:30" s="196" customFormat="1" ht="15">
      <c r="A177" s="207">
        <v>169</v>
      </c>
      <c r="B177" s="176"/>
      <c r="C177" s="748"/>
      <c r="D177" s="793" t="s">
        <v>636</v>
      </c>
      <c r="E177" s="793"/>
      <c r="F177" s="794"/>
      <c r="G177" s="794"/>
      <c r="H177" s="478"/>
      <c r="I177" s="791">
        <f t="shared" si="32"/>
        <v>0</v>
      </c>
      <c r="J177" s="480"/>
      <c r="K177" s="480"/>
      <c r="L177" s="480"/>
      <c r="M177" s="480"/>
      <c r="N177" s="480"/>
      <c r="O177" s="480"/>
      <c r="P177" s="480"/>
      <c r="Q177" s="481"/>
      <c r="R177" s="480"/>
      <c r="S177" s="480"/>
      <c r="T177" s="480"/>
      <c r="U177" s="480"/>
      <c r="V177" s="480"/>
      <c r="W177" s="480"/>
      <c r="X177" s="480"/>
      <c r="Y177" s="480"/>
      <c r="Z177" s="480"/>
      <c r="AA177" s="480"/>
      <c r="AB177" s="480"/>
      <c r="AC177" s="480"/>
      <c r="AD177" s="480"/>
    </row>
    <row r="178" spans="1:30" s="227" customFormat="1" ht="15">
      <c r="A178" s="207">
        <v>170</v>
      </c>
      <c r="B178" s="1101"/>
      <c r="C178" s="1102"/>
      <c r="D178" s="795" t="s">
        <v>637</v>
      </c>
      <c r="E178" s="795"/>
      <c r="F178" s="796"/>
      <c r="G178" s="796"/>
      <c r="H178" s="485"/>
      <c r="I178" s="464">
        <f t="shared" si="32"/>
        <v>0</v>
      </c>
      <c r="J178" s="326">
        <f>SUM(J176:J177)</f>
        <v>0</v>
      </c>
      <c r="K178" s="326">
        <f aca="true" t="shared" si="35" ref="K178:Q178">SUM(K176:K177)</f>
        <v>0</v>
      </c>
      <c r="L178" s="326">
        <f t="shared" si="35"/>
        <v>0</v>
      </c>
      <c r="M178" s="326">
        <f t="shared" si="35"/>
        <v>0</v>
      </c>
      <c r="N178" s="326">
        <f t="shared" si="35"/>
        <v>0</v>
      </c>
      <c r="O178" s="326">
        <f t="shared" si="35"/>
        <v>0</v>
      </c>
      <c r="P178" s="326">
        <f t="shared" si="35"/>
        <v>0</v>
      </c>
      <c r="Q178" s="491">
        <f t="shared" si="35"/>
        <v>0</v>
      </c>
      <c r="R178" s="326"/>
      <c r="S178" s="326"/>
      <c r="T178" s="326"/>
      <c r="U178" s="326"/>
      <c r="V178" s="326"/>
      <c r="W178" s="326"/>
      <c r="X178" s="326"/>
      <c r="Y178" s="326"/>
      <c r="Z178" s="326"/>
      <c r="AA178" s="326"/>
      <c r="AB178" s="326"/>
      <c r="AC178" s="326"/>
      <c r="AD178" s="326"/>
    </row>
    <row r="179" spans="1:30" s="216" customFormat="1" ht="15">
      <c r="A179" s="207">
        <v>171</v>
      </c>
      <c r="B179" s="170"/>
      <c r="C179" s="171">
        <v>3</v>
      </c>
      <c r="D179" s="1408" t="s">
        <v>418</v>
      </c>
      <c r="E179" s="1408"/>
      <c r="F179" s="1408"/>
      <c r="G179" s="1408"/>
      <c r="H179" s="1409"/>
      <c r="I179" s="815"/>
      <c r="J179" s="225"/>
      <c r="K179" s="225"/>
      <c r="L179" s="474"/>
      <c r="M179" s="474"/>
      <c r="N179" s="474"/>
      <c r="O179" s="474"/>
      <c r="P179" s="474"/>
      <c r="Q179" s="475"/>
      <c r="R179" s="476"/>
      <c r="S179" s="476"/>
      <c r="T179" s="476"/>
      <c r="U179" s="476"/>
      <c r="V179" s="476"/>
      <c r="W179" s="476"/>
      <c r="X179" s="476"/>
      <c r="Y179" s="476"/>
      <c r="Z179" s="476"/>
      <c r="AA179" s="476"/>
      <c r="AB179" s="476"/>
      <c r="AC179" s="476"/>
      <c r="AD179" s="476"/>
    </row>
    <row r="180" spans="1:30" s="193" customFormat="1" ht="15">
      <c r="A180" s="207">
        <v>172</v>
      </c>
      <c r="B180" s="165"/>
      <c r="C180" s="156"/>
      <c r="D180" s="213" t="s">
        <v>635</v>
      </c>
      <c r="E180" s="213"/>
      <c r="F180" s="471"/>
      <c r="G180" s="471"/>
      <c r="H180" s="469"/>
      <c r="I180" s="790">
        <f t="shared" si="32"/>
        <v>0</v>
      </c>
      <c r="J180" s="197"/>
      <c r="K180" s="197"/>
      <c r="L180" s="197"/>
      <c r="M180" s="197"/>
      <c r="N180" s="197"/>
      <c r="O180" s="197"/>
      <c r="P180" s="197"/>
      <c r="Q180" s="470"/>
      <c r="R180" s="197"/>
      <c r="S180" s="197"/>
      <c r="T180" s="197"/>
      <c r="U180" s="197"/>
      <c r="V180" s="197"/>
      <c r="W180" s="197"/>
      <c r="X180" s="197"/>
      <c r="Y180" s="197"/>
      <c r="Z180" s="197"/>
      <c r="AA180" s="197"/>
      <c r="AB180" s="197"/>
      <c r="AC180" s="197"/>
      <c r="AD180" s="197"/>
    </row>
    <row r="181" spans="1:30" s="196" customFormat="1" ht="15">
      <c r="A181" s="207">
        <v>173</v>
      </c>
      <c r="B181" s="176"/>
      <c r="C181" s="748"/>
      <c r="D181" s="793" t="s">
        <v>797</v>
      </c>
      <c r="E181" s="793"/>
      <c r="F181" s="794"/>
      <c r="G181" s="794"/>
      <c r="H181" s="478"/>
      <c r="I181" s="791">
        <f t="shared" si="32"/>
        <v>4510</v>
      </c>
      <c r="J181" s="480"/>
      <c r="K181" s="480"/>
      <c r="L181" s="480">
        <v>4510</v>
      </c>
      <c r="M181" s="480"/>
      <c r="N181" s="480"/>
      <c r="O181" s="480"/>
      <c r="P181" s="480"/>
      <c r="Q181" s="481"/>
      <c r="R181" s="480"/>
      <c r="S181" s="480"/>
      <c r="T181" s="480"/>
      <c r="U181" s="480"/>
      <c r="V181" s="480"/>
      <c r="W181" s="480"/>
      <c r="X181" s="480"/>
      <c r="Y181" s="480"/>
      <c r="Z181" s="480"/>
      <c r="AA181" s="480"/>
      <c r="AB181" s="480"/>
      <c r="AC181" s="480"/>
      <c r="AD181" s="480"/>
    </row>
    <row r="182" spans="1:30" s="227" customFormat="1" ht="15">
      <c r="A182" s="207">
        <v>174</v>
      </c>
      <c r="B182" s="1101"/>
      <c r="C182" s="1102"/>
      <c r="D182" s="795" t="s">
        <v>637</v>
      </c>
      <c r="E182" s="795"/>
      <c r="F182" s="796"/>
      <c r="G182" s="796"/>
      <c r="H182" s="485"/>
      <c r="I182" s="464">
        <f t="shared" si="32"/>
        <v>4510</v>
      </c>
      <c r="J182" s="326">
        <f>SUM(J180:J181)</f>
        <v>0</v>
      </c>
      <c r="K182" s="326">
        <f aca="true" t="shared" si="36" ref="K182:Q182">SUM(K180:K181)</f>
        <v>0</v>
      </c>
      <c r="L182" s="326">
        <f t="shared" si="36"/>
        <v>4510</v>
      </c>
      <c r="M182" s="326">
        <f t="shared" si="36"/>
        <v>0</v>
      </c>
      <c r="N182" s="326">
        <f t="shared" si="36"/>
        <v>0</v>
      </c>
      <c r="O182" s="326">
        <f t="shared" si="36"/>
        <v>0</v>
      </c>
      <c r="P182" s="326">
        <f t="shared" si="36"/>
        <v>0</v>
      </c>
      <c r="Q182" s="491">
        <f t="shared" si="36"/>
        <v>0</v>
      </c>
      <c r="R182" s="326"/>
      <c r="S182" s="326"/>
      <c r="T182" s="326"/>
      <c r="U182" s="326"/>
      <c r="V182" s="326"/>
      <c r="W182" s="326"/>
      <c r="X182" s="326"/>
      <c r="Y182" s="326"/>
      <c r="Z182" s="326"/>
      <c r="AA182" s="326"/>
      <c r="AB182" s="326"/>
      <c r="AC182" s="326"/>
      <c r="AD182" s="326"/>
    </row>
    <row r="183" spans="1:30" s="221" customFormat="1" ht="15">
      <c r="A183" s="207">
        <v>175</v>
      </c>
      <c r="B183" s="159">
        <v>11</v>
      </c>
      <c r="C183" s="160"/>
      <c r="D183" s="161" t="s">
        <v>95</v>
      </c>
      <c r="E183" s="208" t="s">
        <v>31</v>
      </c>
      <c r="F183" s="462">
        <v>98692</v>
      </c>
      <c r="G183" s="462">
        <v>75506</v>
      </c>
      <c r="H183" s="463">
        <v>83378</v>
      </c>
      <c r="I183" s="815"/>
      <c r="J183" s="225"/>
      <c r="K183" s="225"/>
      <c r="L183" s="474"/>
      <c r="M183" s="474"/>
      <c r="N183" s="474"/>
      <c r="O183" s="474"/>
      <c r="P183" s="474"/>
      <c r="Q183" s="475"/>
      <c r="R183" s="450"/>
      <c r="S183" s="450"/>
      <c r="T183" s="450"/>
      <c r="U183" s="450"/>
      <c r="V183" s="450"/>
      <c r="W183" s="450"/>
      <c r="X183" s="450"/>
      <c r="Y183" s="450"/>
      <c r="Z183" s="450"/>
      <c r="AA183" s="450"/>
      <c r="AB183" s="450"/>
      <c r="AC183" s="450"/>
      <c r="AD183" s="450"/>
    </row>
    <row r="184" spans="1:30" s="193" customFormat="1" ht="15">
      <c r="A184" s="207">
        <v>176</v>
      </c>
      <c r="B184" s="165"/>
      <c r="C184" s="156"/>
      <c r="D184" s="166" t="s">
        <v>635</v>
      </c>
      <c r="E184" s="211"/>
      <c r="F184" s="468"/>
      <c r="G184" s="468"/>
      <c r="H184" s="469"/>
      <c r="I184" s="790">
        <f t="shared" si="32"/>
        <v>82967</v>
      </c>
      <c r="J184" s="465">
        <v>47656</v>
      </c>
      <c r="K184" s="465">
        <v>12676</v>
      </c>
      <c r="L184" s="465">
        <v>22435</v>
      </c>
      <c r="M184" s="466"/>
      <c r="N184" s="466">
        <v>200</v>
      </c>
      <c r="O184" s="466"/>
      <c r="P184" s="466"/>
      <c r="Q184" s="467"/>
      <c r="R184" s="197"/>
      <c r="S184" s="197"/>
      <c r="T184" s="197"/>
      <c r="U184" s="197"/>
      <c r="V184" s="197"/>
      <c r="W184" s="197"/>
      <c r="X184" s="197"/>
      <c r="Y184" s="197"/>
      <c r="Z184" s="197"/>
      <c r="AA184" s="197"/>
      <c r="AB184" s="197"/>
      <c r="AC184" s="197"/>
      <c r="AD184" s="197"/>
    </row>
    <row r="185" spans="1:30" s="196" customFormat="1" ht="15">
      <c r="A185" s="207">
        <v>177</v>
      </c>
      <c r="B185" s="176"/>
      <c r="C185" s="748"/>
      <c r="D185" s="183" t="s">
        <v>686</v>
      </c>
      <c r="E185" s="786"/>
      <c r="F185" s="787"/>
      <c r="G185" s="787"/>
      <c r="H185" s="478"/>
      <c r="I185" s="791">
        <f t="shared" si="32"/>
        <v>327</v>
      </c>
      <c r="J185" s="480">
        <v>257</v>
      </c>
      <c r="K185" s="480">
        <v>70</v>
      </c>
      <c r="L185" s="480"/>
      <c r="M185" s="480"/>
      <c r="N185" s="480"/>
      <c r="O185" s="480"/>
      <c r="P185" s="480"/>
      <c r="Q185" s="481"/>
      <c r="R185" s="480"/>
      <c r="S185" s="480"/>
      <c r="T185" s="480"/>
      <c r="U185" s="480"/>
      <c r="V185" s="480"/>
      <c r="W185" s="480"/>
      <c r="X185" s="480"/>
      <c r="Y185" s="480"/>
      <c r="Z185" s="480"/>
      <c r="AA185" s="480"/>
      <c r="AB185" s="480"/>
      <c r="AC185" s="480"/>
      <c r="AD185" s="480"/>
    </row>
    <row r="186" spans="1:30" s="196" customFormat="1" ht="15">
      <c r="A186" s="207">
        <v>178</v>
      </c>
      <c r="B186" s="176"/>
      <c r="C186" s="748"/>
      <c r="D186" s="183" t="s">
        <v>704</v>
      </c>
      <c r="E186" s="786"/>
      <c r="F186" s="787"/>
      <c r="G186" s="787"/>
      <c r="H186" s="478"/>
      <c r="I186" s="791">
        <f t="shared" si="32"/>
        <v>3689</v>
      </c>
      <c r="J186" s="480">
        <v>116</v>
      </c>
      <c r="K186" s="480">
        <v>23</v>
      </c>
      <c r="L186" s="480">
        <v>943</v>
      </c>
      <c r="M186" s="480"/>
      <c r="N186" s="480"/>
      <c r="O186" s="480">
        <v>2607</v>
      </c>
      <c r="P186" s="480"/>
      <c r="Q186" s="481"/>
      <c r="R186" s="480"/>
      <c r="S186" s="480"/>
      <c r="T186" s="480"/>
      <c r="U186" s="480"/>
      <c r="V186" s="480"/>
      <c r="W186" s="480"/>
      <c r="X186" s="480"/>
      <c r="Y186" s="480"/>
      <c r="Z186" s="480"/>
      <c r="AA186" s="480"/>
      <c r="AB186" s="480"/>
      <c r="AC186" s="480"/>
      <c r="AD186" s="480"/>
    </row>
    <row r="187" spans="1:30" s="196" customFormat="1" ht="15">
      <c r="A187" s="207">
        <v>179</v>
      </c>
      <c r="B187" s="176"/>
      <c r="C187" s="748"/>
      <c r="D187" s="183" t="s">
        <v>734</v>
      </c>
      <c r="E187" s="786"/>
      <c r="F187" s="787"/>
      <c r="G187" s="787"/>
      <c r="H187" s="478"/>
      <c r="I187" s="791">
        <f t="shared" si="32"/>
        <v>98</v>
      </c>
      <c r="J187" s="480">
        <v>72</v>
      </c>
      <c r="K187" s="480">
        <v>26</v>
      </c>
      <c r="L187" s="480"/>
      <c r="M187" s="480"/>
      <c r="N187" s="480"/>
      <c r="O187" s="480"/>
      <c r="P187" s="480"/>
      <c r="Q187" s="481"/>
      <c r="R187" s="480"/>
      <c r="S187" s="480"/>
      <c r="T187" s="480"/>
      <c r="U187" s="480"/>
      <c r="V187" s="480"/>
      <c r="W187" s="480"/>
      <c r="X187" s="480"/>
      <c r="Y187" s="480"/>
      <c r="Z187" s="480"/>
      <c r="AA187" s="480"/>
      <c r="AB187" s="480"/>
      <c r="AC187" s="480"/>
      <c r="AD187" s="480"/>
    </row>
    <row r="188" spans="1:30" s="227" customFormat="1" ht="15">
      <c r="A188" s="207">
        <v>180</v>
      </c>
      <c r="B188" s="1101"/>
      <c r="C188" s="1102"/>
      <c r="D188" s="180" t="s">
        <v>637</v>
      </c>
      <c r="E188" s="220"/>
      <c r="F188" s="789"/>
      <c r="G188" s="789"/>
      <c r="H188" s="485"/>
      <c r="I188" s="464">
        <f t="shared" si="32"/>
        <v>87081</v>
      </c>
      <c r="J188" s="326">
        <f>SUM(J184:J187)</f>
        <v>48101</v>
      </c>
      <c r="K188" s="326">
        <f aca="true" t="shared" si="37" ref="K188:Q188">SUM(K184:K187)</f>
        <v>12795</v>
      </c>
      <c r="L188" s="326">
        <f t="shared" si="37"/>
        <v>23378</v>
      </c>
      <c r="M188" s="326">
        <f t="shared" si="37"/>
        <v>0</v>
      </c>
      <c r="N188" s="326">
        <f t="shared" si="37"/>
        <v>200</v>
      </c>
      <c r="O188" s="326">
        <f t="shared" si="37"/>
        <v>2607</v>
      </c>
      <c r="P188" s="326">
        <f t="shared" si="37"/>
        <v>0</v>
      </c>
      <c r="Q188" s="491">
        <f t="shared" si="37"/>
        <v>0</v>
      </c>
      <c r="R188" s="326"/>
      <c r="S188" s="326"/>
      <c r="T188" s="326"/>
      <c r="U188" s="326"/>
      <c r="V188" s="326"/>
      <c r="W188" s="326"/>
      <c r="X188" s="326"/>
      <c r="Y188" s="326"/>
      <c r="Z188" s="326"/>
      <c r="AA188" s="326"/>
      <c r="AB188" s="326"/>
      <c r="AC188" s="326"/>
      <c r="AD188" s="326"/>
    </row>
    <row r="189" spans="1:30" s="216" customFormat="1" ht="15">
      <c r="A189" s="207">
        <v>181</v>
      </c>
      <c r="B189" s="170"/>
      <c r="C189" s="171">
        <v>1</v>
      </c>
      <c r="D189" s="1408" t="s">
        <v>396</v>
      </c>
      <c r="E189" s="1408"/>
      <c r="F189" s="1408"/>
      <c r="G189" s="472">
        <v>9667</v>
      </c>
      <c r="H189" s="473">
        <v>11800</v>
      </c>
      <c r="I189" s="815"/>
      <c r="J189" s="465"/>
      <c r="K189" s="465"/>
      <c r="L189" s="465"/>
      <c r="M189" s="466"/>
      <c r="N189" s="466"/>
      <c r="O189" s="466"/>
      <c r="P189" s="466"/>
      <c r="Q189" s="467"/>
      <c r="R189" s="476"/>
      <c r="S189" s="476"/>
      <c r="T189" s="476"/>
      <c r="U189" s="476"/>
      <c r="V189" s="476"/>
      <c r="W189" s="476"/>
      <c r="X189" s="476"/>
      <c r="Y189" s="476"/>
      <c r="Z189" s="476"/>
      <c r="AA189" s="476"/>
      <c r="AB189" s="476"/>
      <c r="AC189" s="476"/>
      <c r="AD189" s="476"/>
    </row>
    <row r="190" spans="1:30" s="193" customFormat="1" ht="15">
      <c r="A190" s="207">
        <v>182</v>
      </c>
      <c r="B190" s="165"/>
      <c r="C190" s="156"/>
      <c r="D190" s="213" t="s">
        <v>635</v>
      </c>
      <c r="E190" s="213"/>
      <c r="F190" s="471"/>
      <c r="G190" s="471"/>
      <c r="H190" s="469"/>
      <c r="I190" s="790">
        <f t="shared" si="32"/>
        <v>8200</v>
      </c>
      <c r="J190" s="197"/>
      <c r="K190" s="197"/>
      <c r="L190" s="197">
        <v>8200</v>
      </c>
      <c r="M190" s="197"/>
      <c r="N190" s="197"/>
      <c r="O190" s="197"/>
      <c r="P190" s="197"/>
      <c r="Q190" s="470"/>
      <c r="R190" s="197"/>
      <c r="S190" s="197"/>
      <c r="T190" s="197"/>
      <c r="U190" s="197"/>
      <c r="V190" s="197"/>
      <c r="W190" s="197"/>
      <c r="X190" s="197"/>
      <c r="Y190" s="197"/>
      <c r="Z190" s="197"/>
      <c r="AA190" s="197"/>
      <c r="AB190" s="197"/>
      <c r="AC190" s="197"/>
      <c r="AD190" s="197"/>
    </row>
    <row r="191" spans="1:30" s="196" customFormat="1" ht="15">
      <c r="A191" s="207">
        <v>183</v>
      </c>
      <c r="B191" s="176"/>
      <c r="C191" s="748"/>
      <c r="D191" s="793" t="s">
        <v>707</v>
      </c>
      <c r="E191" s="793"/>
      <c r="F191" s="794"/>
      <c r="G191" s="794"/>
      <c r="H191" s="478"/>
      <c r="I191" s="791">
        <f t="shared" si="32"/>
        <v>75</v>
      </c>
      <c r="J191" s="480"/>
      <c r="K191" s="480"/>
      <c r="L191" s="480">
        <v>75</v>
      </c>
      <c r="M191" s="480"/>
      <c r="N191" s="480"/>
      <c r="O191" s="480"/>
      <c r="P191" s="480"/>
      <c r="Q191" s="481"/>
      <c r="R191" s="480"/>
      <c r="S191" s="480"/>
      <c r="T191" s="480"/>
      <c r="U191" s="480"/>
      <c r="V191" s="480"/>
      <c r="W191" s="480"/>
      <c r="X191" s="480"/>
      <c r="Y191" s="480"/>
      <c r="Z191" s="480"/>
      <c r="AA191" s="480"/>
      <c r="AB191" s="480"/>
      <c r="AC191" s="480"/>
      <c r="AD191" s="480"/>
    </row>
    <row r="192" spans="1:30" s="227" customFormat="1" ht="15">
      <c r="A192" s="207">
        <v>184</v>
      </c>
      <c r="B192" s="1101"/>
      <c r="C192" s="1102"/>
      <c r="D192" s="795" t="s">
        <v>637</v>
      </c>
      <c r="E192" s="795"/>
      <c r="F192" s="796"/>
      <c r="G192" s="796"/>
      <c r="H192" s="485"/>
      <c r="I192" s="464">
        <f t="shared" si="32"/>
        <v>8275</v>
      </c>
      <c r="J192" s="326">
        <f>SUM(J190:J191)</f>
        <v>0</v>
      </c>
      <c r="K192" s="326">
        <f aca="true" t="shared" si="38" ref="K192:Q192">SUM(K190:K191)</f>
        <v>0</v>
      </c>
      <c r="L192" s="326">
        <f t="shared" si="38"/>
        <v>8275</v>
      </c>
      <c r="M192" s="326">
        <f t="shared" si="38"/>
        <v>0</v>
      </c>
      <c r="N192" s="326">
        <f t="shared" si="38"/>
        <v>0</v>
      </c>
      <c r="O192" s="326">
        <f t="shared" si="38"/>
        <v>0</v>
      </c>
      <c r="P192" s="326">
        <f t="shared" si="38"/>
        <v>0</v>
      </c>
      <c r="Q192" s="491">
        <f t="shared" si="38"/>
        <v>0</v>
      </c>
      <c r="R192" s="326"/>
      <c r="S192" s="326"/>
      <c r="T192" s="326"/>
      <c r="U192" s="326"/>
      <c r="V192" s="326"/>
      <c r="W192" s="326"/>
      <c r="X192" s="326"/>
      <c r="Y192" s="326"/>
      <c r="Z192" s="326"/>
      <c r="AA192" s="326"/>
      <c r="AB192" s="326"/>
      <c r="AC192" s="326"/>
      <c r="AD192" s="326"/>
    </row>
    <row r="193" spans="1:30" s="216" customFormat="1" ht="30">
      <c r="A193" s="210">
        <v>185</v>
      </c>
      <c r="B193" s="170"/>
      <c r="C193" s="171">
        <v>2</v>
      </c>
      <c r="D193" s="214" t="s">
        <v>417</v>
      </c>
      <c r="E193" s="215"/>
      <c r="F193" s="472"/>
      <c r="G193" s="472"/>
      <c r="H193" s="473">
        <v>1571</v>
      </c>
      <c r="I193" s="815"/>
      <c r="J193" s="225"/>
      <c r="K193" s="225"/>
      <c r="L193" s="474"/>
      <c r="M193" s="474"/>
      <c r="N193" s="474"/>
      <c r="O193" s="474"/>
      <c r="P193" s="474"/>
      <c r="Q193" s="475"/>
      <c r="R193" s="476"/>
      <c r="S193" s="476"/>
      <c r="T193" s="476"/>
      <c r="U193" s="476"/>
      <c r="V193" s="476"/>
      <c r="W193" s="476"/>
      <c r="X193" s="476"/>
      <c r="Y193" s="476"/>
      <c r="Z193" s="476"/>
      <c r="AA193" s="476"/>
      <c r="AB193" s="476"/>
      <c r="AC193" s="476"/>
      <c r="AD193" s="476"/>
    </row>
    <row r="194" spans="1:30" s="193" customFormat="1" ht="15">
      <c r="A194" s="207">
        <v>186</v>
      </c>
      <c r="B194" s="165"/>
      <c r="C194" s="156"/>
      <c r="D194" s="213" t="s">
        <v>635</v>
      </c>
      <c r="E194" s="213"/>
      <c r="F194" s="471"/>
      <c r="G194" s="471"/>
      <c r="H194" s="469"/>
      <c r="I194" s="790">
        <f t="shared" si="32"/>
        <v>0</v>
      </c>
      <c r="J194" s="197"/>
      <c r="K194" s="197"/>
      <c r="L194" s="197"/>
      <c r="M194" s="197"/>
      <c r="N194" s="197"/>
      <c r="O194" s="197"/>
      <c r="P194" s="197"/>
      <c r="Q194" s="470"/>
      <c r="R194" s="197"/>
      <c r="S194" s="197"/>
      <c r="T194" s="197"/>
      <c r="U194" s="197"/>
      <c r="V194" s="197"/>
      <c r="W194" s="197"/>
      <c r="X194" s="197"/>
      <c r="Y194" s="197"/>
      <c r="Z194" s="197"/>
      <c r="AA194" s="197"/>
      <c r="AB194" s="197"/>
      <c r="AC194" s="197"/>
      <c r="AD194" s="197"/>
    </row>
    <row r="195" spans="1:30" s="196" customFormat="1" ht="15">
      <c r="A195" s="207">
        <v>187</v>
      </c>
      <c r="B195" s="176"/>
      <c r="C195" s="748"/>
      <c r="D195" s="793" t="s">
        <v>707</v>
      </c>
      <c r="E195" s="793"/>
      <c r="F195" s="794"/>
      <c r="G195" s="794"/>
      <c r="H195" s="478"/>
      <c r="I195" s="791">
        <f t="shared" si="32"/>
        <v>996</v>
      </c>
      <c r="J195" s="480">
        <v>784</v>
      </c>
      <c r="K195" s="480">
        <v>212</v>
      </c>
      <c r="L195" s="480"/>
      <c r="M195" s="480"/>
      <c r="N195" s="480"/>
      <c r="O195" s="480"/>
      <c r="P195" s="480"/>
      <c r="Q195" s="481"/>
      <c r="R195" s="480"/>
      <c r="S195" s="480"/>
      <c r="T195" s="480"/>
      <c r="U195" s="480"/>
      <c r="V195" s="480"/>
      <c r="W195" s="480"/>
      <c r="X195" s="480"/>
      <c r="Y195" s="480"/>
      <c r="Z195" s="480"/>
      <c r="AA195" s="480"/>
      <c r="AB195" s="480"/>
      <c r="AC195" s="480"/>
      <c r="AD195" s="480"/>
    </row>
    <row r="196" spans="1:30" s="227" customFormat="1" ht="15">
      <c r="A196" s="207">
        <v>188</v>
      </c>
      <c r="B196" s="1101"/>
      <c r="C196" s="1102"/>
      <c r="D196" s="795" t="s">
        <v>637</v>
      </c>
      <c r="E196" s="795"/>
      <c r="F196" s="796"/>
      <c r="G196" s="796"/>
      <c r="H196" s="485"/>
      <c r="I196" s="464">
        <f t="shared" si="32"/>
        <v>996</v>
      </c>
      <c r="J196" s="326">
        <f>SUM(J194:J195)</f>
        <v>784</v>
      </c>
      <c r="K196" s="326">
        <f aca="true" t="shared" si="39" ref="K196:Q196">SUM(K194:K195)</f>
        <v>212</v>
      </c>
      <c r="L196" s="326">
        <f t="shared" si="39"/>
        <v>0</v>
      </c>
      <c r="M196" s="326">
        <f t="shared" si="39"/>
        <v>0</v>
      </c>
      <c r="N196" s="326">
        <f t="shared" si="39"/>
        <v>0</v>
      </c>
      <c r="O196" s="326">
        <f t="shared" si="39"/>
        <v>0</v>
      </c>
      <c r="P196" s="326">
        <f t="shared" si="39"/>
        <v>0</v>
      </c>
      <c r="Q196" s="491">
        <f t="shared" si="39"/>
        <v>0</v>
      </c>
      <c r="R196" s="326"/>
      <c r="S196" s="326"/>
      <c r="T196" s="326"/>
      <c r="U196" s="326"/>
      <c r="V196" s="326"/>
      <c r="W196" s="326"/>
      <c r="X196" s="326"/>
      <c r="Y196" s="326"/>
      <c r="Z196" s="326"/>
      <c r="AA196" s="326"/>
      <c r="AB196" s="326"/>
      <c r="AC196" s="326"/>
      <c r="AD196" s="326"/>
    </row>
    <row r="197" spans="1:30" s="221" customFormat="1" ht="15">
      <c r="A197" s="207">
        <v>189</v>
      </c>
      <c r="B197" s="159">
        <v>12</v>
      </c>
      <c r="C197" s="160"/>
      <c r="D197" s="161" t="s">
        <v>97</v>
      </c>
      <c r="E197" s="208" t="s">
        <v>31</v>
      </c>
      <c r="F197" s="462">
        <v>357972</v>
      </c>
      <c r="G197" s="462">
        <v>356202</v>
      </c>
      <c r="H197" s="463">
        <v>396066</v>
      </c>
      <c r="I197" s="815"/>
      <c r="J197" s="225"/>
      <c r="K197" s="225"/>
      <c r="L197" s="474"/>
      <c r="M197" s="474"/>
      <c r="N197" s="474"/>
      <c r="O197" s="474"/>
      <c r="P197" s="474"/>
      <c r="Q197" s="475"/>
      <c r="R197" s="450"/>
      <c r="S197" s="450"/>
      <c r="T197" s="450"/>
      <c r="U197" s="450"/>
      <c r="V197" s="450"/>
      <c r="W197" s="450"/>
      <c r="X197" s="450"/>
      <c r="Y197" s="450"/>
      <c r="Z197" s="450"/>
      <c r="AA197" s="450"/>
      <c r="AB197" s="450"/>
      <c r="AC197" s="450"/>
      <c r="AD197" s="450"/>
    </row>
    <row r="198" spans="1:30" s="193" customFormat="1" ht="15">
      <c r="A198" s="207">
        <v>190</v>
      </c>
      <c r="B198" s="165"/>
      <c r="C198" s="156"/>
      <c r="D198" s="166" t="s">
        <v>635</v>
      </c>
      <c r="E198" s="211"/>
      <c r="F198" s="468"/>
      <c r="G198" s="468"/>
      <c r="H198" s="469"/>
      <c r="I198" s="790">
        <f t="shared" si="32"/>
        <v>364547</v>
      </c>
      <c r="J198" s="465">
        <v>130650</v>
      </c>
      <c r="K198" s="465">
        <v>36403</v>
      </c>
      <c r="L198" s="465">
        <v>183402</v>
      </c>
      <c r="M198" s="466"/>
      <c r="N198" s="466">
        <v>1392</v>
      </c>
      <c r="O198" s="466">
        <v>12700</v>
      </c>
      <c r="P198" s="466"/>
      <c r="Q198" s="467"/>
      <c r="R198" s="197"/>
      <c r="S198" s="197"/>
      <c r="T198" s="197"/>
      <c r="U198" s="197"/>
      <c r="V198" s="197"/>
      <c r="W198" s="197"/>
      <c r="X198" s="197"/>
      <c r="Y198" s="197"/>
      <c r="Z198" s="197"/>
      <c r="AA198" s="197"/>
      <c r="AB198" s="197"/>
      <c r="AC198" s="197"/>
      <c r="AD198" s="197"/>
    </row>
    <row r="199" spans="1:30" s="196" customFormat="1" ht="15">
      <c r="A199" s="207">
        <v>191</v>
      </c>
      <c r="B199" s="176"/>
      <c r="C199" s="748"/>
      <c r="D199" s="183" t="s">
        <v>686</v>
      </c>
      <c r="E199" s="786"/>
      <c r="F199" s="787"/>
      <c r="G199" s="787"/>
      <c r="H199" s="478"/>
      <c r="I199" s="791">
        <f t="shared" si="32"/>
        <v>1295</v>
      </c>
      <c r="J199" s="480">
        <v>1020</v>
      </c>
      <c r="K199" s="480">
        <v>275</v>
      </c>
      <c r="L199" s="480"/>
      <c r="M199" s="480"/>
      <c r="N199" s="480"/>
      <c r="O199" s="480"/>
      <c r="P199" s="480"/>
      <c r="Q199" s="481"/>
      <c r="R199" s="480"/>
      <c r="S199" s="480"/>
      <c r="T199" s="480"/>
      <c r="U199" s="480"/>
      <c r="V199" s="480"/>
      <c r="W199" s="480"/>
      <c r="X199" s="480"/>
      <c r="Y199" s="480"/>
      <c r="Z199" s="480"/>
      <c r="AA199" s="480"/>
      <c r="AB199" s="480"/>
      <c r="AC199" s="480"/>
      <c r="AD199" s="480"/>
    </row>
    <row r="200" spans="1:30" s="196" customFormat="1" ht="15">
      <c r="A200" s="207">
        <v>192</v>
      </c>
      <c r="B200" s="176"/>
      <c r="C200" s="748"/>
      <c r="D200" s="183" t="s">
        <v>709</v>
      </c>
      <c r="E200" s="786"/>
      <c r="F200" s="787"/>
      <c r="G200" s="787"/>
      <c r="H200" s="478"/>
      <c r="I200" s="791">
        <f t="shared" si="32"/>
        <v>491</v>
      </c>
      <c r="J200" s="480"/>
      <c r="K200" s="480"/>
      <c r="L200" s="480">
        <v>491</v>
      </c>
      <c r="M200" s="480"/>
      <c r="N200" s="480"/>
      <c r="O200" s="480"/>
      <c r="P200" s="480"/>
      <c r="Q200" s="481"/>
      <c r="R200" s="480"/>
      <c r="S200" s="480"/>
      <c r="T200" s="480"/>
      <c r="U200" s="480"/>
      <c r="V200" s="480"/>
      <c r="W200" s="480"/>
      <c r="X200" s="480"/>
      <c r="Y200" s="480"/>
      <c r="Z200" s="480"/>
      <c r="AA200" s="480"/>
      <c r="AB200" s="480"/>
      <c r="AC200" s="480"/>
      <c r="AD200" s="480"/>
    </row>
    <row r="201" spans="1:30" s="196" customFormat="1" ht="15">
      <c r="A201" s="207">
        <v>193</v>
      </c>
      <c r="B201" s="176"/>
      <c r="C201" s="748"/>
      <c r="D201" s="183" t="s">
        <v>704</v>
      </c>
      <c r="E201" s="786"/>
      <c r="F201" s="787"/>
      <c r="G201" s="787"/>
      <c r="H201" s="478"/>
      <c r="I201" s="791">
        <f t="shared" si="32"/>
        <v>7426</v>
      </c>
      <c r="J201" s="480">
        <v>3406</v>
      </c>
      <c r="K201" s="480"/>
      <c r="L201" s="480">
        <v>4020</v>
      </c>
      <c r="M201" s="480"/>
      <c r="N201" s="480"/>
      <c r="O201" s="480"/>
      <c r="P201" s="480"/>
      <c r="Q201" s="481"/>
      <c r="R201" s="480"/>
      <c r="S201" s="480"/>
      <c r="T201" s="480"/>
      <c r="U201" s="480"/>
      <c r="V201" s="480"/>
      <c r="W201" s="480"/>
      <c r="X201" s="480"/>
      <c r="Y201" s="480"/>
      <c r="Z201" s="480"/>
      <c r="AA201" s="480"/>
      <c r="AB201" s="480"/>
      <c r="AC201" s="480"/>
      <c r="AD201" s="480"/>
    </row>
    <row r="202" spans="1:30" s="196" customFormat="1" ht="15">
      <c r="A202" s="207">
        <v>194</v>
      </c>
      <c r="B202" s="176"/>
      <c r="C202" s="748"/>
      <c r="D202" s="183" t="s">
        <v>727</v>
      </c>
      <c r="E202" s="786"/>
      <c r="F202" s="787"/>
      <c r="G202" s="787"/>
      <c r="H202" s="478"/>
      <c r="I202" s="791">
        <f t="shared" si="32"/>
        <v>250</v>
      </c>
      <c r="J202" s="480"/>
      <c r="K202" s="480"/>
      <c r="L202" s="480">
        <v>250</v>
      </c>
      <c r="M202" s="480"/>
      <c r="N202" s="480"/>
      <c r="O202" s="480"/>
      <c r="P202" s="480"/>
      <c r="Q202" s="481"/>
      <c r="R202" s="480"/>
      <c r="S202" s="480"/>
      <c r="T202" s="480"/>
      <c r="U202" s="480"/>
      <c r="V202" s="480"/>
      <c r="W202" s="480"/>
      <c r="X202" s="480"/>
      <c r="Y202" s="480"/>
      <c r="Z202" s="480"/>
      <c r="AA202" s="480"/>
      <c r="AB202" s="480"/>
      <c r="AC202" s="480"/>
      <c r="AD202" s="480"/>
    </row>
    <row r="203" spans="1:30" s="196" customFormat="1" ht="15">
      <c r="A203" s="207">
        <v>195</v>
      </c>
      <c r="B203" s="176"/>
      <c r="C203" s="748"/>
      <c r="D203" s="183" t="s">
        <v>714</v>
      </c>
      <c r="E203" s="786"/>
      <c r="F203" s="787"/>
      <c r="G203" s="787"/>
      <c r="H203" s="478"/>
      <c r="I203" s="791">
        <f t="shared" si="32"/>
        <v>490</v>
      </c>
      <c r="J203" s="480"/>
      <c r="K203" s="480"/>
      <c r="L203" s="480">
        <v>490</v>
      </c>
      <c r="M203" s="480"/>
      <c r="N203" s="480"/>
      <c r="O203" s="480"/>
      <c r="P203" s="480"/>
      <c r="Q203" s="481"/>
      <c r="R203" s="480"/>
      <c r="S203" s="480"/>
      <c r="T203" s="480"/>
      <c r="U203" s="480"/>
      <c r="V203" s="480"/>
      <c r="W203" s="480"/>
      <c r="X203" s="480"/>
      <c r="Y203" s="480"/>
      <c r="Z203" s="480"/>
      <c r="AA203" s="480"/>
      <c r="AB203" s="480"/>
      <c r="AC203" s="480"/>
      <c r="AD203" s="480"/>
    </row>
    <row r="204" spans="1:30" s="196" customFormat="1" ht="15">
      <c r="A204" s="207">
        <v>196</v>
      </c>
      <c r="B204" s="176"/>
      <c r="C204" s="748"/>
      <c r="D204" s="183" t="s">
        <v>734</v>
      </c>
      <c r="E204" s="786"/>
      <c r="F204" s="787"/>
      <c r="G204" s="787"/>
      <c r="H204" s="478"/>
      <c r="I204" s="791">
        <f t="shared" si="32"/>
        <v>247</v>
      </c>
      <c r="J204" s="480">
        <v>182</v>
      </c>
      <c r="K204" s="480">
        <v>65</v>
      </c>
      <c r="L204" s="480"/>
      <c r="M204" s="480"/>
      <c r="N204" s="480"/>
      <c r="O204" s="480"/>
      <c r="P204" s="480"/>
      <c r="Q204" s="481"/>
      <c r="R204" s="480"/>
      <c r="S204" s="480"/>
      <c r="T204" s="480"/>
      <c r="U204" s="480"/>
      <c r="V204" s="480"/>
      <c r="W204" s="480"/>
      <c r="X204" s="480"/>
      <c r="Y204" s="480"/>
      <c r="Z204" s="480"/>
      <c r="AA204" s="480"/>
      <c r="AB204" s="480"/>
      <c r="AC204" s="480"/>
      <c r="AD204" s="480"/>
    </row>
    <row r="205" spans="1:30" s="196" customFormat="1" ht="15">
      <c r="A205" s="207">
        <v>197</v>
      </c>
      <c r="B205" s="176"/>
      <c r="C205" s="748"/>
      <c r="D205" s="183" t="s">
        <v>824</v>
      </c>
      <c r="E205" s="786"/>
      <c r="F205" s="787"/>
      <c r="G205" s="787"/>
      <c r="H205" s="478"/>
      <c r="I205" s="791">
        <f t="shared" si="32"/>
        <v>100</v>
      </c>
      <c r="J205" s="480"/>
      <c r="K205" s="480"/>
      <c r="L205" s="480">
        <v>100</v>
      </c>
      <c r="M205" s="480"/>
      <c r="N205" s="480"/>
      <c r="O205" s="480"/>
      <c r="P205" s="480"/>
      <c r="Q205" s="481"/>
      <c r="R205" s="480"/>
      <c r="S205" s="480"/>
      <c r="T205" s="480"/>
      <c r="U205" s="480"/>
      <c r="V205" s="480"/>
      <c r="W205" s="480"/>
      <c r="X205" s="480"/>
      <c r="Y205" s="480"/>
      <c r="Z205" s="480"/>
      <c r="AA205" s="480"/>
      <c r="AB205" s="480"/>
      <c r="AC205" s="480"/>
      <c r="AD205" s="480"/>
    </row>
    <row r="206" spans="1:30" s="227" customFormat="1" ht="15">
      <c r="A206" s="207">
        <v>198</v>
      </c>
      <c r="B206" s="1101"/>
      <c r="C206" s="1102"/>
      <c r="D206" s="180" t="s">
        <v>637</v>
      </c>
      <c r="E206" s="220"/>
      <c r="F206" s="789"/>
      <c r="G206" s="789"/>
      <c r="H206" s="485"/>
      <c r="I206" s="464">
        <f t="shared" si="32"/>
        <v>374846</v>
      </c>
      <c r="J206" s="326">
        <f>SUM(J198:J205)</f>
        <v>135258</v>
      </c>
      <c r="K206" s="326">
        <f aca="true" t="shared" si="40" ref="K206:Q206">SUM(K198:K205)</f>
        <v>36743</v>
      </c>
      <c r="L206" s="326">
        <f t="shared" si="40"/>
        <v>188753</v>
      </c>
      <c r="M206" s="326">
        <f t="shared" si="40"/>
        <v>0</v>
      </c>
      <c r="N206" s="326">
        <f t="shared" si="40"/>
        <v>1392</v>
      </c>
      <c r="O206" s="326">
        <f t="shared" si="40"/>
        <v>12700</v>
      </c>
      <c r="P206" s="326">
        <f t="shared" si="40"/>
        <v>0</v>
      </c>
      <c r="Q206" s="491">
        <f t="shared" si="40"/>
        <v>0</v>
      </c>
      <c r="R206" s="326"/>
      <c r="S206" s="326"/>
      <c r="T206" s="326"/>
      <c r="U206" s="326"/>
      <c r="V206" s="326"/>
      <c r="W206" s="326"/>
      <c r="X206" s="326"/>
      <c r="Y206" s="326"/>
      <c r="Z206" s="326"/>
      <c r="AA206" s="326"/>
      <c r="AB206" s="326"/>
      <c r="AC206" s="326"/>
      <c r="AD206" s="326"/>
    </row>
    <row r="207" spans="1:30" s="185" customFormat="1" ht="28.5">
      <c r="A207" s="210">
        <v>199</v>
      </c>
      <c r="B207" s="1193"/>
      <c r="C207" s="1149">
        <v>1</v>
      </c>
      <c r="D207" s="1148" t="s">
        <v>404</v>
      </c>
      <c r="E207" s="1175"/>
      <c r="F207" s="468">
        <v>30242</v>
      </c>
      <c r="G207" s="468"/>
      <c r="H207" s="469"/>
      <c r="I207" s="1176"/>
      <c r="J207" s="463"/>
      <c r="K207" s="463"/>
      <c r="L207" s="463"/>
      <c r="M207" s="462"/>
      <c r="N207" s="462"/>
      <c r="O207" s="462"/>
      <c r="P207" s="462"/>
      <c r="Q207" s="1177"/>
      <c r="R207" s="455"/>
      <c r="S207" s="455"/>
      <c r="T207" s="455"/>
      <c r="U207" s="455"/>
      <c r="V207" s="455"/>
      <c r="W207" s="455"/>
      <c r="X207" s="455"/>
      <c r="Y207" s="455"/>
      <c r="Z207" s="455"/>
      <c r="AA207" s="455"/>
      <c r="AB207" s="455"/>
      <c r="AC207" s="455"/>
      <c r="AD207" s="455"/>
    </row>
    <row r="208" spans="1:30" s="188" customFormat="1" ht="14.25">
      <c r="A208" s="207">
        <v>200</v>
      </c>
      <c r="B208" s="1150"/>
      <c r="C208" s="559"/>
      <c r="D208" s="1148" t="s">
        <v>635</v>
      </c>
      <c r="E208" s="1148"/>
      <c r="F208" s="1151"/>
      <c r="G208" s="1151"/>
      <c r="H208" s="469"/>
      <c r="I208" s="1155">
        <f t="shared" si="32"/>
        <v>0</v>
      </c>
      <c r="J208" s="468"/>
      <c r="K208" s="468"/>
      <c r="L208" s="468"/>
      <c r="M208" s="468"/>
      <c r="N208" s="468"/>
      <c r="O208" s="468"/>
      <c r="P208" s="468"/>
      <c r="Q208" s="1153"/>
      <c r="R208" s="468"/>
      <c r="S208" s="468"/>
      <c r="T208" s="468"/>
      <c r="U208" s="468"/>
      <c r="V208" s="468"/>
      <c r="W208" s="468"/>
      <c r="X208" s="468"/>
      <c r="Y208" s="468"/>
      <c r="Z208" s="468"/>
      <c r="AA208" s="468"/>
      <c r="AB208" s="468"/>
      <c r="AC208" s="468"/>
      <c r="AD208" s="468"/>
    </row>
    <row r="209" spans="1:30" s="194" customFormat="1" ht="14.25">
      <c r="A209" s="207">
        <v>201</v>
      </c>
      <c r="B209" s="1156"/>
      <c r="C209" s="1157"/>
      <c r="D209" s="1158" t="s">
        <v>636</v>
      </c>
      <c r="E209" s="1158"/>
      <c r="F209" s="1159"/>
      <c r="G209" s="1159"/>
      <c r="H209" s="478"/>
      <c r="I209" s="1160">
        <f t="shared" si="32"/>
        <v>0</v>
      </c>
      <c r="J209" s="787"/>
      <c r="K209" s="787"/>
      <c r="L209" s="787"/>
      <c r="M209" s="787"/>
      <c r="N209" s="787"/>
      <c r="O209" s="787"/>
      <c r="P209" s="787"/>
      <c r="Q209" s="1161"/>
      <c r="R209" s="787"/>
      <c r="S209" s="787"/>
      <c r="T209" s="787"/>
      <c r="U209" s="787"/>
      <c r="V209" s="787"/>
      <c r="W209" s="787"/>
      <c r="X209" s="787"/>
      <c r="Y209" s="787"/>
      <c r="Z209" s="787"/>
      <c r="AA209" s="787"/>
      <c r="AB209" s="787"/>
      <c r="AC209" s="787"/>
      <c r="AD209" s="787"/>
    </row>
    <row r="210" spans="1:30" s="192" customFormat="1" ht="14.25">
      <c r="A210" s="207">
        <v>202</v>
      </c>
      <c r="B210" s="1162"/>
      <c r="C210" s="1163"/>
      <c r="D210" s="1164" t="s">
        <v>637</v>
      </c>
      <c r="E210" s="1164"/>
      <c r="F210" s="1165"/>
      <c r="G210" s="1165"/>
      <c r="H210" s="485"/>
      <c r="I210" s="1152">
        <f t="shared" si="32"/>
        <v>0</v>
      </c>
      <c r="J210" s="789">
        <f>SUM(J208:J209)</f>
        <v>0</v>
      </c>
      <c r="K210" s="789">
        <f aca="true" t="shared" si="41" ref="K210:Q210">SUM(K208:K209)</f>
        <v>0</v>
      </c>
      <c r="L210" s="789">
        <f t="shared" si="41"/>
        <v>0</v>
      </c>
      <c r="M210" s="789">
        <f t="shared" si="41"/>
        <v>0</v>
      </c>
      <c r="N210" s="789">
        <f t="shared" si="41"/>
        <v>0</v>
      </c>
      <c r="O210" s="789">
        <f t="shared" si="41"/>
        <v>0</v>
      </c>
      <c r="P210" s="789">
        <f t="shared" si="41"/>
        <v>0</v>
      </c>
      <c r="Q210" s="1166">
        <f t="shared" si="41"/>
        <v>0</v>
      </c>
      <c r="R210" s="789"/>
      <c r="S210" s="789"/>
      <c r="T210" s="789"/>
      <c r="U210" s="789"/>
      <c r="V210" s="789"/>
      <c r="W210" s="789"/>
      <c r="X210" s="789"/>
      <c r="Y210" s="789"/>
      <c r="Z210" s="789"/>
      <c r="AA210" s="789"/>
      <c r="AB210" s="789"/>
      <c r="AC210" s="789"/>
      <c r="AD210" s="789"/>
    </row>
    <row r="211" spans="1:30" s="185" customFormat="1" ht="28.5">
      <c r="A211" s="210">
        <v>203</v>
      </c>
      <c r="B211" s="1193"/>
      <c r="C211" s="1149">
        <v>2</v>
      </c>
      <c r="D211" s="1148" t="s">
        <v>419</v>
      </c>
      <c r="E211" s="1175"/>
      <c r="F211" s="468">
        <v>15061</v>
      </c>
      <c r="G211" s="468"/>
      <c r="H211" s="469"/>
      <c r="I211" s="1176"/>
      <c r="J211" s="468"/>
      <c r="K211" s="468"/>
      <c r="L211" s="468"/>
      <c r="M211" s="468"/>
      <c r="N211" s="468"/>
      <c r="O211" s="468"/>
      <c r="P211" s="468"/>
      <c r="Q211" s="1153"/>
      <c r="R211" s="455"/>
      <c r="S211" s="455"/>
      <c r="T211" s="455"/>
      <c r="U211" s="455"/>
      <c r="V211" s="455"/>
      <c r="W211" s="455"/>
      <c r="X211" s="455"/>
      <c r="Y211" s="455"/>
      <c r="Z211" s="455"/>
      <c r="AA211" s="455"/>
      <c r="AB211" s="455"/>
      <c r="AC211" s="455"/>
      <c r="AD211" s="455"/>
    </row>
    <row r="212" spans="1:30" s="188" customFormat="1" ht="14.25">
      <c r="A212" s="207">
        <v>204</v>
      </c>
      <c r="B212" s="1150"/>
      <c r="C212" s="559"/>
      <c r="D212" s="1148" t="s">
        <v>635</v>
      </c>
      <c r="E212" s="1148"/>
      <c r="F212" s="1151"/>
      <c r="G212" s="1151"/>
      <c r="H212" s="469"/>
      <c r="I212" s="1155">
        <f t="shared" si="32"/>
        <v>0</v>
      </c>
      <c r="J212" s="468"/>
      <c r="K212" s="468"/>
      <c r="L212" s="468"/>
      <c r="M212" s="468"/>
      <c r="N212" s="468"/>
      <c r="O212" s="468"/>
      <c r="P212" s="468"/>
      <c r="Q212" s="1153"/>
      <c r="R212" s="468"/>
      <c r="S212" s="468"/>
      <c r="T212" s="468"/>
      <c r="U212" s="468"/>
      <c r="V212" s="468"/>
      <c r="W212" s="468"/>
      <c r="X212" s="468"/>
      <c r="Y212" s="468"/>
      <c r="Z212" s="468"/>
      <c r="AA212" s="468"/>
      <c r="AB212" s="468"/>
      <c r="AC212" s="468"/>
      <c r="AD212" s="468"/>
    </row>
    <row r="213" spans="1:30" s="194" customFormat="1" ht="14.25">
      <c r="A213" s="207">
        <v>205</v>
      </c>
      <c r="B213" s="1156"/>
      <c r="C213" s="1157"/>
      <c r="D213" s="1158" t="s">
        <v>636</v>
      </c>
      <c r="E213" s="1158"/>
      <c r="F213" s="1159"/>
      <c r="G213" s="1159"/>
      <c r="H213" s="478"/>
      <c r="I213" s="1160">
        <f t="shared" si="32"/>
        <v>0</v>
      </c>
      <c r="J213" s="787"/>
      <c r="K213" s="787"/>
      <c r="L213" s="787"/>
      <c r="M213" s="787"/>
      <c r="N213" s="787"/>
      <c r="O213" s="787"/>
      <c r="P213" s="787"/>
      <c r="Q213" s="1161"/>
      <c r="R213" s="787"/>
      <c r="S213" s="787"/>
      <c r="T213" s="787"/>
      <c r="U213" s="787"/>
      <c r="V213" s="787"/>
      <c r="W213" s="787"/>
      <c r="X213" s="787"/>
      <c r="Y213" s="787"/>
      <c r="Z213" s="787"/>
      <c r="AA213" s="787"/>
      <c r="AB213" s="787"/>
      <c r="AC213" s="787"/>
      <c r="AD213" s="787"/>
    </row>
    <row r="214" spans="1:30" s="192" customFormat="1" ht="14.25">
      <c r="A214" s="207">
        <v>206</v>
      </c>
      <c r="B214" s="1162"/>
      <c r="C214" s="1163"/>
      <c r="D214" s="1164" t="s">
        <v>637</v>
      </c>
      <c r="E214" s="1164"/>
      <c r="F214" s="1165"/>
      <c r="G214" s="1165"/>
      <c r="H214" s="485"/>
      <c r="I214" s="1152">
        <f t="shared" si="32"/>
        <v>0</v>
      </c>
      <c r="J214" s="789">
        <f>SUM(J212:J213)</f>
        <v>0</v>
      </c>
      <c r="K214" s="789">
        <f aca="true" t="shared" si="42" ref="K214:Q214">SUM(K212:K213)</f>
        <v>0</v>
      </c>
      <c r="L214" s="789">
        <f t="shared" si="42"/>
        <v>0</v>
      </c>
      <c r="M214" s="789">
        <f t="shared" si="42"/>
        <v>0</v>
      </c>
      <c r="N214" s="789">
        <f t="shared" si="42"/>
        <v>0</v>
      </c>
      <c r="O214" s="789">
        <f t="shared" si="42"/>
        <v>0</v>
      </c>
      <c r="P214" s="789">
        <f t="shared" si="42"/>
        <v>0</v>
      </c>
      <c r="Q214" s="1166">
        <f t="shared" si="42"/>
        <v>0</v>
      </c>
      <c r="R214" s="789"/>
      <c r="S214" s="789"/>
      <c r="T214" s="789"/>
      <c r="U214" s="789"/>
      <c r="V214" s="789"/>
      <c r="W214" s="789"/>
      <c r="X214" s="789"/>
      <c r="Y214" s="789"/>
      <c r="Z214" s="789"/>
      <c r="AA214" s="789"/>
      <c r="AB214" s="789"/>
      <c r="AC214" s="789"/>
      <c r="AD214" s="789"/>
    </row>
    <row r="215" spans="1:30" s="185" customFormat="1" ht="28.5">
      <c r="A215" s="210">
        <v>207</v>
      </c>
      <c r="B215" s="1193"/>
      <c r="C215" s="1149">
        <v>3</v>
      </c>
      <c r="D215" s="1148" t="s">
        <v>397</v>
      </c>
      <c r="E215" s="1175"/>
      <c r="F215" s="468">
        <v>4958</v>
      </c>
      <c r="G215" s="468">
        <v>2683</v>
      </c>
      <c r="H215" s="469">
        <v>5135</v>
      </c>
      <c r="I215" s="1176"/>
      <c r="J215" s="468"/>
      <c r="K215" s="468"/>
      <c r="L215" s="468"/>
      <c r="M215" s="468"/>
      <c r="N215" s="468"/>
      <c r="O215" s="468"/>
      <c r="P215" s="468"/>
      <c r="Q215" s="1153"/>
      <c r="R215" s="455"/>
      <c r="S215" s="455"/>
      <c r="T215" s="455"/>
      <c r="U215" s="455"/>
      <c r="V215" s="455"/>
      <c r="W215" s="455"/>
      <c r="X215" s="455"/>
      <c r="Y215" s="455"/>
      <c r="Z215" s="455"/>
      <c r="AA215" s="455"/>
      <c r="AB215" s="455"/>
      <c r="AC215" s="455"/>
      <c r="AD215" s="455"/>
    </row>
    <row r="216" spans="1:30" s="188" customFormat="1" ht="14.25">
      <c r="A216" s="207">
        <v>208</v>
      </c>
      <c r="B216" s="1150"/>
      <c r="C216" s="559"/>
      <c r="D216" s="1148" t="s">
        <v>635</v>
      </c>
      <c r="E216" s="1148"/>
      <c r="F216" s="1151"/>
      <c r="G216" s="1151"/>
      <c r="H216" s="469"/>
      <c r="I216" s="1155">
        <f t="shared" si="32"/>
        <v>0</v>
      </c>
      <c r="J216" s="468"/>
      <c r="K216" s="468"/>
      <c r="L216" s="468"/>
      <c r="M216" s="468"/>
      <c r="N216" s="468"/>
      <c r="O216" s="468"/>
      <c r="P216" s="468"/>
      <c r="Q216" s="1153"/>
      <c r="R216" s="468"/>
      <c r="S216" s="468"/>
      <c r="T216" s="468"/>
      <c r="U216" s="468"/>
      <c r="V216" s="468"/>
      <c r="W216" s="468"/>
      <c r="X216" s="468"/>
      <c r="Y216" s="468"/>
      <c r="Z216" s="468"/>
      <c r="AA216" s="468"/>
      <c r="AB216" s="468"/>
      <c r="AC216" s="468"/>
      <c r="AD216" s="468"/>
    </row>
    <row r="217" spans="1:30" s="194" customFormat="1" ht="14.25">
      <c r="A217" s="207">
        <v>209</v>
      </c>
      <c r="B217" s="1156"/>
      <c r="C217" s="1157"/>
      <c r="D217" s="1158" t="s">
        <v>636</v>
      </c>
      <c r="E217" s="1158"/>
      <c r="F217" s="1159"/>
      <c r="G217" s="1159"/>
      <c r="H217" s="478"/>
      <c r="I217" s="1160">
        <f t="shared" si="32"/>
        <v>0</v>
      </c>
      <c r="J217" s="787"/>
      <c r="K217" s="787"/>
      <c r="L217" s="787"/>
      <c r="M217" s="787"/>
      <c r="N217" s="787"/>
      <c r="O217" s="787"/>
      <c r="P217" s="787"/>
      <c r="Q217" s="1161"/>
      <c r="R217" s="787"/>
      <c r="S217" s="787"/>
      <c r="T217" s="787"/>
      <c r="U217" s="787"/>
      <c r="V217" s="787"/>
      <c r="W217" s="787"/>
      <c r="X217" s="787"/>
      <c r="Y217" s="787"/>
      <c r="Z217" s="787"/>
      <c r="AA217" s="787"/>
      <c r="AB217" s="787"/>
      <c r="AC217" s="787"/>
      <c r="AD217" s="787"/>
    </row>
    <row r="218" spans="1:30" s="192" customFormat="1" ht="14.25">
      <c r="A218" s="207">
        <v>210</v>
      </c>
      <c r="B218" s="1162"/>
      <c r="C218" s="1163"/>
      <c r="D218" s="1164" t="s">
        <v>637</v>
      </c>
      <c r="E218" s="1164"/>
      <c r="F218" s="1165"/>
      <c r="G218" s="1165"/>
      <c r="H218" s="485"/>
      <c r="I218" s="1152">
        <f t="shared" si="32"/>
        <v>0</v>
      </c>
      <c r="J218" s="789">
        <f>SUM(J216:J217)</f>
        <v>0</v>
      </c>
      <c r="K218" s="789">
        <f aca="true" t="shared" si="43" ref="K218:Q218">SUM(K216:K217)</f>
        <v>0</v>
      </c>
      <c r="L218" s="789">
        <f t="shared" si="43"/>
        <v>0</v>
      </c>
      <c r="M218" s="789">
        <f t="shared" si="43"/>
        <v>0</v>
      </c>
      <c r="N218" s="789">
        <f t="shared" si="43"/>
        <v>0</v>
      </c>
      <c r="O218" s="789">
        <f t="shared" si="43"/>
        <v>0</v>
      </c>
      <c r="P218" s="789">
        <f t="shared" si="43"/>
        <v>0</v>
      </c>
      <c r="Q218" s="1166">
        <f t="shared" si="43"/>
        <v>0</v>
      </c>
      <c r="R218" s="789"/>
      <c r="S218" s="789"/>
      <c r="T218" s="789"/>
      <c r="U218" s="789"/>
      <c r="V218" s="789"/>
      <c r="W218" s="789"/>
      <c r="X218" s="789"/>
      <c r="Y218" s="789"/>
      <c r="Z218" s="789"/>
      <c r="AA218" s="789"/>
      <c r="AB218" s="789"/>
      <c r="AC218" s="789"/>
      <c r="AD218" s="789"/>
    </row>
    <row r="219" spans="1:30" s="216" customFormat="1" ht="15">
      <c r="A219" s="207">
        <v>211</v>
      </c>
      <c r="B219" s="170"/>
      <c r="C219" s="171">
        <v>4</v>
      </c>
      <c r="D219" s="214" t="s">
        <v>388</v>
      </c>
      <c r="E219" s="215"/>
      <c r="F219" s="472"/>
      <c r="G219" s="472">
        <v>4054</v>
      </c>
      <c r="H219" s="473">
        <v>8869</v>
      </c>
      <c r="I219" s="815"/>
      <c r="J219" s="197"/>
      <c r="K219" s="197"/>
      <c r="L219" s="197"/>
      <c r="M219" s="197"/>
      <c r="N219" s="197"/>
      <c r="O219" s="197"/>
      <c r="P219" s="197"/>
      <c r="Q219" s="470"/>
      <c r="R219" s="476"/>
      <c r="S219" s="476"/>
      <c r="T219" s="476"/>
      <c r="U219" s="476"/>
      <c r="V219" s="476"/>
      <c r="W219" s="476"/>
      <c r="X219" s="476"/>
      <c r="Y219" s="476"/>
      <c r="Z219" s="476"/>
      <c r="AA219" s="476"/>
      <c r="AB219" s="476"/>
      <c r="AC219" s="476"/>
      <c r="AD219" s="476"/>
    </row>
    <row r="220" spans="1:30" s="193" customFormat="1" ht="15">
      <c r="A220" s="207">
        <v>212</v>
      </c>
      <c r="B220" s="165"/>
      <c r="C220" s="156"/>
      <c r="D220" s="213" t="s">
        <v>635</v>
      </c>
      <c r="E220" s="213"/>
      <c r="F220" s="471"/>
      <c r="G220" s="471"/>
      <c r="H220" s="469"/>
      <c r="I220" s="790">
        <f t="shared" si="32"/>
        <v>1258</v>
      </c>
      <c r="J220" s="197">
        <v>1108</v>
      </c>
      <c r="K220" s="197">
        <v>150</v>
      </c>
      <c r="L220" s="197"/>
      <c r="M220" s="197"/>
      <c r="N220" s="197"/>
      <c r="O220" s="197"/>
      <c r="P220" s="197"/>
      <c r="Q220" s="470"/>
      <c r="R220" s="197"/>
      <c r="S220" s="197"/>
      <c r="T220" s="197"/>
      <c r="U220" s="197"/>
      <c r="V220" s="197"/>
      <c r="W220" s="197"/>
      <c r="X220" s="197"/>
      <c r="Y220" s="197"/>
      <c r="Z220" s="197"/>
      <c r="AA220" s="197"/>
      <c r="AB220" s="197"/>
      <c r="AC220" s="197"/>
      <c r="AD220" s="197"/>
    </row>
    <row r="221" spans="1:30" s="196" customFormat="1" ht="15">
      <c r="A221" s="207">
        <v>213</v>
      </c>
      <c r="B221" s="176"/>
      <c r="C221" s="748"/>
      <c r="D221" s="793" t="s">
        <v>707</v>
      </c>
      <c r="E221" s="793"/>
      <c r="F221" s="794"/>
      <c r="G221" s="794"/>
      <c r="H221" s="478"/>
      <c r="I221" s="791">
        <f t="shared" si="32"/>
        <v>88</v>
      </c>
      <c r="J221" s="480">
        <v>77</v>
      </c>
      <c r="K221" s="480">
        <v>11</v>
      </c>
      <c r="L221" s="480"/>
      <c r="M221" s="480"/>
      <c r="N221" s="480"/>
      <c r="O221" s="480"/>
      <c r="P221" s="480"/>
      <c r="Q221" s="481"/>
      <c r="R221" s="480"/>
      <c r="S221" s="480"/>
      <c r="T221" s="480"/>
      <c r="U221" s="480"/>
      <c r="V221" s="480"/>
      <c r="W221" s="480"/>
      <c r="X221" s="480"/>
      <c r="Y221" s="480"/>
      <c r="Z221" s="480"/>
      <c r="AA221" s="480"/>
      <c r="AB221" s="480"/>
      <c r="AC221" s="480"/>
      <c r="AD221" s="480"/>
    </row>
    <row r="222" spans="1:30" s="227" customFormat="1" ht="15">
      <c r="A222" s="207">
        <v>214</v>
      </c>
      <c r="B222" s="1101"/>
      <c r="C222" s="1102"/>
      <c r="D222" s="795" t="s">
        <v>637</v>
      </c>
      <c r="E222" s="795"/>
      <c r="F222" s="796"/>
      <c r="G222" s="796"/>
      <c r="H222" s="485"/>
      <c r="I222" s="464">
        <f t="shared" si="32"/>
        <v>1346</v>
      </c>
      <c r="J222" s="326">
        <f>SUM(J220:J221)</f>
        <v>1185</v>
      </c>
      <c r="K222" s="326">
        <f aca="true" t="shared" si="44" ref="K222:Q222">SUM(K220:K221)</f>
        <v>161</v>
      </c>
      <c r="L222" s="326">
        <f t="shared" si="44"/>
        <v>0</v>
      </c>
      <c r="M222" s="326">
        <f t="shared" si="44"/>
        <v>0</v>
      </c>
      <c r="N222" s="326">
        <f t="shared" si="44"/>
        <v>0</v>
      </c>
      <c r="O222" s="326">
        <f t="shared" si="44"/>
        <v>0</v>
      </c>
      <c r="P222" s="326">
        <f t="shared" si="44"/>
        <v>0</v>
      </c>
      <c r="Q222" s="491">
        <f t="shared" si="44"/>
        <v>0</v>
      </c>
      <c r="R222" s="326"/>
      <c r="S222" s="326"/>
      <c r="T222" s="326"/>
      <c r="U222" s="326"/>
      <c r="V222" s="326"/>
      <c r="W222" s="326"/>
      <c r="X222" s="326"/>
      <c r="Y222" s="326"/>
      <c r="Z222" s="326"/>
      <c r="AA222" s="326"/>
      <c r="AB222" s="326"/>
      <c r="AC222" s="326"/>
      <c r="AD222" s="326"/>
    </row>
    <row r="223" spans="1:30" s="221" customFormat="1" ht="15">
      <c r="A223" s="207">
        <v>215</v>
      </c>
      <c r="B223" s="159">
        <v>13</v>
      </c>
      <c r="C223" s="160"/>
      <c r="D223" s="161" t="s">
        <v>192</v>
      </c>
      <c r="E223" s="208" t="s">
        <v>31</v>
      </c>
      <c r="F223" s="462">
        <v>249867</v>
      </c>
      <c r="G223" s="462">
        <v>237697</v>
      </c>
      <c r="H223" s="463">
        <v>359380</v>
      </c>
      <c r="I223" s="815"/>
      <c r="J223" s="225"/>
      <c r="K223" s="225"/>
      <c r="L223" s="474"/>
      <c r="M223" s="474"/>
      <c r="N223" s="474"/>
      <c r="O223" s="474"/>
      <c r="P223" s="474"/>
      <c r="Q223" s="475"/>
      <c r="R223" s="450"/>
      <c r="S223" s="450"/>
      <c r="T223" s="450"/>
      <c r="U223" s="450"/>
      <c r="V223" s="450"/>
      <c r="W223" s="450"/>
      <c r="X223" s="450"/>
      <c r="Y223" s="450"/>
      <c r="Z223" s="450"/>
      <c r="AA223" s="450"/>
      <c r="AB223" s="450"/>
      <c r="AC223" s="450"/>
      <c r="AD223" s="450"/>
    </row>
    <row r="224" spans="1:30" s="193" customFormat="1" ht="15">
      <c r="A224" s="207">
        <v>216</v>
      </c>
      <c r="B224" s="165"/>
      <c r="C224" s="156"/>
      <c r="D224" s="166" t="s">
        <v>635</v>
      </c>
      <c r="E224" s="211"/>
      <c r="F224" s="468"/>
      <c r="G224" s="468"/>
      <c r="H224" s="469"/>
      <c r="I224" s="790">
        <f t="shared" si="32"/>
        <v>314329</v>
      </c>
      <c r="J224" s="465">
        <v>120119</v>
      </c>
      <c r="K224" s="465">
        <v>29978</v>
      </c>
      <c r="L224" s="465">
        <v>161772</v>
      </c>
      <c r="M224" s="466"/>
      <c r="N224" s="466">
        <v>2100</v>
      </c>
      <c r="O224" s="466">
        <v>360</v>
      </c>
      <c r="P224" s="466"/>
      <c r="Q224" s="467"/>
      <c r="R224" s="197"/>
      <c r="S224" s="197"/>
      <c r="T224" s="197"/>
      <c r="U224" s="197"/>
      <c r="V224" s="197"/>
      <c r="W224" s="197"/>
      <c r="X224" s="197"/>
      <c r="Y224" s="197"/>
      <c r="Z224" s="197"/>
      <c r="AA224" s="197"/>
      <c r="AB224" s="197"/>
      <c r="AC224" s="197"/>
      <c r="AD224" s="197"/>
    </row>
    <row r="225" spans="1:30" s="196" customFormat="1" ht="15">
      <c r="A225" s="207">
        <v>217</v>
      </c>
      <c r="B225" s="176"/>
      <c r="C225" s="748"/>
      <c r="D225" s="183" t="s">
        <v>686</v>
      </c>
      <c r="E225" s="786"/>
      <c r="F225" s="787"/>
      <c r="G225" s="787"/>
      <c r="H225" s="478"/>
      <c r="I225" s="791">
        <f t="shared" si="32"/>
        <v>895</v>
      </c>
      <c r="J225" s="480">
        <v>705</v>
      </c>
      <c r="K225" s="480">
        <v>190</v>
      </c>
      <c r="L225" s="480"/>
      <c r="M225" s="480"/>
      <c r="N225" s="480"/>
      <c r="O225" s="480"/>
      <c r="P225" s="480"/>
      <c r="Q225" s="481"/>
      <c r="R225" s="480"/>
      <c r="S225" s="480"/>
      <c r="T225" s="480"/>
      <c r="U225" s="480"/>
      <c r="V225" s="480"/>
      <c r="W225" s="480"/>
      <c r="X225" s="480"/>
      <c r="Y225" s="480"/>
      <c r="Z225" s="480"/>
      <c r="AA225" s="480"/>
      <c r="AB225" s="480"/>
      <c r="AC225" s="480"/>
      <c r="AD225" s="480"/>
    </row>
    <row r="226" spans="1:30" s="196" customFormat="1" ht="15">
      <c r="A226" s="207">
        <v>218</v>
      </c>
      <c r="B226" s="176"/>
      <c r="C226" s="748"/>
      <c r="D226" s="183" t="s">
        <v>704</v>
      </c>
      <c r="E226" s="786"/>
      <c r="F226" s="787"/>
      <c r="G226" s="787"/>
      <c r="H226" s="478"/>
      <c r="I226" s="791">
        <f t="shared" si="32"/>
        <v>29894</v>
      </c>
      <c r="J226" s="480"/>
      <c r="K226" s="480"/>
      <c r="L226" s="480">
        <v>25420</v>
      </c>
      <c r="M226" s="480"/>
      <c r="N226" s="480"/>
      <c r="O226" s="480">
        <v>3474</v>
      </c>
      <c r="P226" s="480">
        <v>1000</v>
      </c>
      <c r="Q226" s="481"/>
      <c r="R226" s="480"/>
      <c r="S226" s="480"/>
      <c r="T226" s="480"/>
      <c r="U226" s="480"/>
      <c r="V226" s="480"/>
      <c r="W226" s="480"/>
      <c r="X226" s="480"/>
      <c r="Y226" s="480"/>
      <c r="Z226" s="480"/>
      <c r="AA226" s="480"/>
      <c r="AB226" s="480"/>
      <c r="AC226" s="480"/>
      <c r="AD226" s="480"/>
    </row>
    <row r="227" spans="1:30" s="196" customFormat="1" ht="15">
      <c r="A227" s="207">
        <v>219</v>
      </c>
      <c r="B227" s="176"/>
      <c r="C227" s="748"/>
      <c r="D227" s="183" t="s">
        <v>725</v>
      </c>
      <c r="E227" s="786"/>
      <c r="F227" s="787"/>
      <c r="G227" s="787"/>
      <c r="H227" s="478"/>
      <c r="I227" s="791">
        <f t="shared" si="32"/>
        <v>400</v>
      </c>
      <c r="J227" s="480"/>
      <c r="K227" s="480"/>
      <c r="L227" s="167">
        <v>400</v>
      </c>
      <c r="M227" s="480"/>
      <c r="N227" s="480"/>
      <c r="O227" s="480"/>
      <c r="P227" s="480"/>
      <c r="Q227" s="481"/>
      <c r="R227" s="480"/>
      <c r="S227" s="480"/>
      <c r="T227" s="480"/>
      <c r="U227" s="480"/>
      <c r="V227" s="480"/>
      <c r="W227" s="480"/>
      <c r="X227" s="480"/>
      <c r="Y227" s="480"/>
      <c r="Z227" s="480"/>
      <c r="AA227" s="480"/>
      <c r="AB227" s="480"/>
      <c r="AC227" s="480"/>
      <c r="AD227" s="480"/>
    </row>
    <row r="228" spans="1:30" s="196" customFormat="1" ht="15">
      <c r="A228" s="207">
        <v>220</v>
      </c>
      <c r="B228" s="176"/>
      <c r="C228" s="748"/>
      <c r="D228" s="183" t="s">
        <v>1183</v>
      </c>
      <c r="E228" s="786"/>
      <c r="F228" s="787"/>
      <c r="G228" s="787"/>
      <c r="H228" s="478"/>
      <c r="I228" s="791">
        <f t="shared" si="32"/>
        <v>80</v>
      </c>
      <c r="J228" s="480"/>
      <c r="K228" s="480"/>
      <c r="L228" s="167">
        <v>80</v>
      </c>
      <c r="M228" s="480"/>
      <c r="N228" s="480"/>
      <c r="O228" s="480"/>
      <c r="P228" s="480"/>
      <c r="Q228" s="481"/>
      <c r="R228" s="480"/>
      <c r="S228" s="480"/>
      <c r="T228" s="480"/>
      <c r="U228" s="480"/>
      <c r="V228" s="480"/>
      <c r="W228" s="480"/>
      <c r="X228" s="480"/>
      <c r="Y228" s="480"/>
      <c r="Z228" s="480"/>
      <c r="AA228" s="480"/>
      <c r="AB228" s="480"/>
      <c r="AC228" s="480"/>
      <c r="AD228" s="480"/>
    </row>
    <row r="229" spans="1:30" s="196" customFormat="1" ht="15">
      <c r="A229" s="207">
        <v>221</v>
      </c>
      <c r="B229" s="176"/>
      <c r="C229" s="748"/>
      <c r="D229" s="183" t="s">
        <v>726</v>
      </c>
      <c r="E229" s="786"/>
      <c r="F229" s="787"/>
      <c r="G229" s="787"/>
      <c r="H229" s="478"/>
      <c r="I229" s="791">
        <f t="shared" si="32"/>
        <v>500</v>
      </c>
      <c r="J229" s="480"/>
      <c r="K229" s="480"/>
      <c r="L229" s="167">
        <v>500</v>
      </c>
      <c r="M229" s="480"/>
      <c r="N229" s="480"/>
      <c r="O229" s="480"/>
      <c r="P229" s="480"/>
      <c r="Q229" s="481"/>
      <c r="R229" s="480"/>
      <c r="S229" s="480"/>
      <c r="T229" s="480"/>
      <c r="U229" s="480"/>
      <c r="V229" s="480"/>
      <c r="W229" s="480"/>
      <c r="X229" s="480"/>
      <c r="Y229" s="480"/>
      <c r="Z229" s="480"/>
      <c r="AA229" s="480"/>
      <c r="AB229" s="480"/>
      <c r="AC229" s="480"/>
      <c r="AD229" s="480"/>
    </row>
    <row r="230" spans="1:30" s="196" customFormat="1" ht="15">
      <c r="A230" s="207">
        <v>222</v>
      </c>
      <c r="B230" s="176"/>
      <c r="C230" s="748"/>
      <c r="D230" s="183" t="s">
        <v>734</v>
      </c>
      <c r="E230" s="786"/>
      <c r="F230" s="787"/>
      <c r="G230" s="787"/>
      <c r="H230" s="478"/>
      <c r="I230" s="791">
        <f t="shared" si="32"/>
        <v>253</v>
      </c>
      <c r="J230" s="480">
        <v>187</v>
      </c>
      <c r="K230" s="480">
        <v>66</v>
      </c>
      <c r="L230" s="480"/>
      <c r="M230" s="480"/>
      <c r="N230" s="480"/>
      <c r="O230" s="480"/>
      <c r="P230" s="480"/>
      <c r="Q230" s="481"/>
      <c r="R230" s="480"/>
      <c r="S230" s="480"/>
      <c r="T230" s="480"/>
      <c r="U230" s="480"/>
      <c r="V230" s="480"/>
      <c r="W230" s="480"/>
      <c r="X230" s="480"/>
      <c r="Y230" s="480"/>
      <c r="Z230" s="480"/>
      <c r="AA230" s="480"/>
      <c r="AB230" s="480"/>
      <c r="AC230" s="480"/>
      <c r="AD230" s="480"/>
    </row>
    <row r="231" spans="1:30" s="227" customFormat="1" ht="15">
      <c r="A231" s="207">
        <v>223</v>
      </c>
      <c r="B231" s="1101"/>
      <c r="C231" s="1102"/>
      <c r="D231" s="180" t="s">
        <v>637</v>
      </c>
      <c r="E231" s="220"/>
      <c r="F231" s="789"/>
      <c r="G231" s="789"/>
      <c r="H231" s="485"/>
      <c r="I231" s="464">
        <f t="shared" si="32"/>
        <v>346351</v>
      </c>
      <c r="J231" s="326">
        <f>SUM(J224:J230)</f>
        <v>121011</v>
      </c>
      <c r="K231" s="326">
        <f aca="true" t="shared" si="45" ref="K231:Q231">SUM(K224:K230)</f>
        <v>30234</v>
      </c>
      <c r="L231" s="326">
        <f t="shared" si="45"/>
        <v>188172</v>
      </c>
      <c r="M231" s="326">
        <f t="shared" si="45"/>
        <v>0</v>
      </c>
      <c r="N231" s="326">
        <f t="shared" si="45"/>
        <v>2100</v>
      </c>
      <c r="O231" s="326">
        <f t="shared" si="45"/>
        <v>3834</v>
      </c>
      <c r="P231" s="326">
        <f t="shared" si="45"/>
        <v>1000</v>
      </c>
      <c r="Q231" s="491">
        <f t="shared" si="45"/>
        <v>0</v>
      </c>
      <c r="R231" s="326"/>
      <c r="S231" s="326"/>
      <c r="T231" s="326"/>
      <c r="U231" s="326"/>
      <c r="V231" s="326"/>
      <c r="W231" s="326"/>
      <c r="X231" s="326"/>
      <c r="Y231" s="326"/>
      <c r="Z231" s="326"/>
      <c r="AA231" s="326"/>
      <c r="AB231" s="326"/>
      <c r="AC231" s="326"/>
      <c r="AD231" s="326"/>
    </row>
    <row r="232" spans="1:30" s="185" customFormat="1" ht="28.5">
      <c r="A232" s="210">
        <v>224</v>
      </c>
      <c r="B232" s="1193"/>
      <c r="C232" s="1149">
        <v>1</v>
      </c>
      <c r="D232" s="1148" t="s">
        <v>398</v>
      </c>
      <c r="E232" s="1175"/>
      <c r="F232" s="468">
        <v>11614</v>
      </c>
      <c r="G232" s="468">
        <v>10500</v>
      </c>
      <c r="H232" s="469">
        <v>15737</v>
      </c>
      <c r="I232" s="1176"/>
      <c r="J232" s="463"/>
      <c r="K232" s="463"/>
      <c r="L232" s="463"/>
      <c r="M232" s="462"/>
      <c r="N232" s="462"/>
      <c r="O232" s="462"/>
      <c r="P232" s="462"/>
      <c r="Q232" s="1177"/>
      <c r="R232" s="455"/>
      <c r="S232" s="455"/>
      <c r="T232" s="455"/>
      <c r="U232" s="455"/>
      <c r="V232" s="455"/>
      <c r="W232" s="455"/>
      <c r="X232" s="455"/>
      <c r="Y232" s="455"/>
      <c r="Z232" s="455"/>
      <c r="AA232" s="455"/>
      <c r="AB232" s="455"/>
      <c r="AC232" s="455"/>
      <c r="AD232" s="455"/>
    </row>
    <row r="233" spans="1:30" s="188" customFormat="1" ht="14.25">
      <c r="A233" s="207">
        <v>225</v>
      </c>
      <c r="B233" s="1150"/>
      <c r="C233" s="559"/>
      <c r="D233" s="1148" t="s">
        <v>635</v>
      </c>
      <c r="E233" s="1148"/>
      <c r="F233" s="1151"/>
      <c r="G233" s="1151"/>
      <c r="H233" s="469"/>
      <c r="I233" s="1155">
        <f t="shared" si="32"/>
        <v>0</v>
      </c>
      <c r="J233" s="468"/>
      <c r="K233" s="468"/>
      <c r="L233" s="468"/>
      <c r="M233" s="468"/>
      <c r="N233" s="468"/>
      <c r="O233" s="468"/>
      <c r="P233" s="468"/>
      <c r="Q233" s="1153"/>
      <c r="R233" s="468"/>
      <c r="S233" s="468"/>
      <c r="T233" s="468"/>
      <c r="U233" s="468"/>
      <c r="V233" s="468"/>
      <c r="W233" s="468"/>
      <c r="X233" s="468"/>
      <c r="Y233" s="468"/>
      <c r="Z233" s="468"/>
      <c r="AA233" s="468"/>
      <c r="AB233" s="468"/>
      <c r="AC233" s="468"/>
      <c r="AD233" s="468"/>
    </row>
    <row r="234" spans="1:30" s="194" customFormat="1" ht="14.25">
      <c r="A234" s="207">
        <v>226</v>
      </c>
      <c r="B234" s="1156"/>
      <c r="C234" s="1157"/>
      <c r="D234" s="1158" t="s">
        <v>636</v>
      </c>
      <c r="E234" s="1158"/>
      <c r="F234" s="1159"/>
      <c r="G234" s="1159"/>
      <c r="H234" s="478"/>
      <c r="I234" s="1160">
        <f t="shared" si="32"/>
        <v>0</v>
      </c>
      <c r="J234" s="787"/>
      <c r="K234" s="787"/>
      <c r="L234" s="787"/>
      <c r="M234" s="787"/>
      <c r="N234" s="787"/>
      <c r="O234" s="787"/>
      <c r="P234" s="787"/>
      <c r="Q234" s="1161"/>
      <c r="R234" s="787"/>
      <c r="S234" s="787"/>
      <c r="T234" s="787"/>
      <c r="U234" s="787"/>
      <c r="V234" s="787"/>
      <c r="W234" s="787"/>
      <c r="X234" s="787"/>
      <c r="Y234" s="787"/>
      <c r="Z234" s="787"/>
      <c r="AA234" s="787"/>
      <c r="AB234" s="787"/>
      <c r="AC234" s="787"/>
      <c r="AD234" s="787"/>
    </row>
    <row r="235" spans="1:30" s="192" customFormat="1" ht="14.25">
      <c r="A235" s="207">
        <v>227</v>
      </c>
      <c r="B235" s="1162"/>
      <c r="C235" s="1163"/>
      <c r="D235" s="1164" t="s">
        <v>637</v>
      </c>
      <c r="E235" s="1164"/>
      <c r="F235" s="1165"/>
      <c r="G235" s="1165"/>
      <c r="H235" s="485"/>
      <c r="I235" s="1152">
        <f t="shared" si="32"/>
        <v>0</v>
      </c>
      <c r="J235" s="789">
        <f>SUM(J233:J234)</f>
        <v>0</v>
      </c>
      <c r="K235" s="789">
        <f aca="true" t="shared" si="46" ref="K235:Q235">SUM(K233:K234)</f>
        <v>0</v>
      </c>
      <c r="L235" s="789">
        <f t="shared" si="46"/>
        <v>0</v>
      </c>
      <c r="M235" s="789">
        <f t="shared" si="46"/>
        <v>0</v>
      </c>
      <c r="N235" s="789">
        <f t="shared" si="46"/>
        <v>0</v>
      </c>
      <c r="O235" s="789">
        <f t="shared" si="46"/>
        <v>0</v>
      </c>
      <c r="P235" s="789">
        <f t="shared" si="46"/>
        <v>0</v>
      </c>
      <c r="Q235" s="1166">
        <f t="shared" si="46"/>
        <v>0</v>
      </c>
      <c r="R235" s="789"/>
      <c r="S235" s="789"/>
      <c r="T235" s="789"/>
      <c r="U235" s="789"/>
      <c r="V235" s="789"/>
      <c r="W235" s="789"/>
      <c r="X235" s="789"/>
      <c r="Y235" s="789"/>
      <c r="Z235" s="789"/>
      <c r="AA235" s="789"/>
      <c r="AB235" s="789"/>
      <c r="AC235" s="789"/>
      <c r="AD235" s="789"/>
    </row>
    <row r="236" spans="1:30" s="185" customFormat="1" ht="28.5">
      <c r="A236" s="210">
        <v>228</v>
      </c>
      <c r="B236" s="1193"/>
      <c r="C236" s="1149">
        <v>2</v>
      </c>
      <c r="D236" s="1148" t="s">
        <v>420</v>
      </c>
      <c r="E236" s="1175"/>
      <c r="F236" s="468">
        <v>14212</v>
      </c>
      <c r="G236" s="468"/>
      <c r="H236" s="469"/>
      <c r="I236" s="1176"/>
      <c r="J236" s="468"/>
      <c r="K236" s="468"/>
      <c r="L236" s="468"/>
      <c r="M236" s="468"/>
      <c r="N236" s="468"/>
      <c r="O236" s="468"/>
      <c r="P236" s="468"/>
      <c r="Q236" s="1153"/>
      <c r="R236" s="455"/>
      <c r="S236" s="455"/>
      <c r="T236" s="455"/>
      <c r="U236" s="455"/>
      <c r="V236" s="455"/>
      <c r="W236" s="455"/>
      <c r="X236" s="455"/>
      <c r="Y236" s="455"/>
      <c r="Z236" s="455"/>
      <c r="AA236" s="455"/>
      <c r="AB236" s="455"/>
      <c r="AC236" s="455"/>
      <c r="AD236" s="455"/>
    </row>
    <row r="237" spans="1:30" s="188" customFormat="1" ht="14.25">
      <c r="A237" s="207">
        <v>229</v>
      </c>
      <c r="B237" s="1150"/>
      <c r="C237" s="559"/>
      <c r="D237" s="1148" t="s">
        <v>635</v>
      </c>
      <c r="E237" s="1148"/>
      <c r="F237" s="1151"/>
      <c r="G237" s="1151"/>
      <c r="H237" s="469"/>
      <c r="I237" s="1155">
        <f aca="true" t="shared" si="47" ref="I237:I286">SUM(J237:Q237)</f>
        <v>0</v>
      </c>
      <c r="J237" s="468"/>
      <c r="K237" s="468"/>
      <c r="L237" s="468"/>
      <c r="M237" s="468"/>
      <c r="N237" s="468"/>
      <c r="O237" s="468"/>
      <c r="P237" s="468"/>
      <c r="Q237" s="1153"/>
      <c r="R237" s="468"/>
      <c r="S237" s="468"/>
      <c r="T237" s="468"/>
      <c r="U237" s="468"/>
      <c r="V237" s="468"/>
      <c r="W237" s="468"/>
      <c r="X237" s="468"/>
      <c r="Y237" s="468"/>
      <c r="Z237" s="468"/>
      <c r="AA237" s="468"/>
      <c r="AB237" s="468"/>
      <c r="AC237" s="468"/>
      <c r="AD237" s="468"/>
    </row>
    <row r="238" spans="1:30" s="194" customFormat="1" ht="14.25">
      <c r="A238" s="207">
        <v>230</v>
      </c>
      <c r="B238" s="1156"/>
      <c r="C238" s="1157"/>
      <c r="D238" s="1158" t="s">
        <v>636</v>
      </c>
      <c r="E238" s="1158"/>
      <c r="F238" s="1159"/>
      <c r="G238" s="1159"/>
      <c r="H238" s="478"/>
      <c r="I238" s="1160">
        <f t="shared" si="47"/>
        <v>0</v>
      </c>
      <c r="J238" s="787"/>
      <c r="K238" s="787"/>
      <c r="L238" s="787"/>
      <c r="M238" s="787"/>
      <c r="N238" s="787"/>
      <c r="O238" s="787"/>
      <c r="P238" s="787"/>
      <c r="Q238" s="1161"/>
      <c r="R238" s="787"/>
      <c r="S238" s="787"/>
      <c r="T238" s="787"/>
      <c r="U238" s="787"/>
      <c r="V238" s="787"/>
      <c r="W238" s="787"/>
      <c r="X238" s="787"/>
      <c r="Y238" s="787"/>
      <c r="Z238" s="787"/>
      <c r="AA238" s="787"/>
      <c r="AB238" s="787"/>
      <c r="AC238" s="787"/>
      <c r="AD238" s="787"/>
    </row>
    <row r="239" spans="1:30" s="192" customFormat="1" ht="14.25">
      <c r="A239" s="207">
        <v>231</v>
      </c>
      <c r="B239" s="1162"/>
      <c r="C239" s="1163"/>
      <c r="D239" s="1164" t="s">
        <v>637</v>
      </c>
      <c r="E239" s="1164"/>
      <c r="F239" s="1165"/>
      <c r="G239" s="1165"/>
      <c r="H239" s="485"/>
      <c r="I239" s="1152">
        <f t="shared" si="47"/>
        <v>0</v>
      </c>
      <c r="J239" s="789">
        <f>SUM(J237:J238)</f>
        <v>0</v>
      </c>
      <c r="K239" s="789">
        <f aca="true" t="shared" si="48" ref="K239:Q239">SUM(K237:K238)</f>
        <v>0</v>
      </c>
      <c r="L239" s="789">
        <f t="shared" si="48"/>
        <v>0</v>
      </c>
      <c r="M239" s="789">
        <f t="shared" si="48"/>
        <v>0</v>
      </c>
      <c r="N239" s="789">
        <f t="shared" si="48"/>
        <v>0</v>
      </c>
      <c r="O239" s="789">
        <f t="shared" si="48"/>
        <v>0</v>
      </c>
      <c r="P239" s="789">
        <f t="shared" si="48"/>
        <v>0</v>
      </c>
      <c r="Q239" s="1166">
        <f t="shared" si="48"/>
        <v>0</v>
      </c>
      <c r="R239" s="789"/>
      <c r="S239" s="789"/>
      <c r="T239" s="789"/>
      <c r="U239" s="789"/>
      <c r="V239" s="789"/>
      <c r="W239" s="789"/>
      <c r="X239" s="789"/>
      <c r="Y239" s="789"/>
      <c r="Z239" s="789"/>
      <c r="AA239" s="789"/>
      <c r="AB239" s="789"/>
      <c r="AC239" s="789"/>
      <c r="AD239" s="789"/>
    </row>
    <row r="240" spans="1:30" s="216" customFormat="1" ht="15">
      <c r="A240" s="207">
        <v>232</v>
      </c>
      <c r="B240" s="170"/>
      <c r="C240" s="171">
        <v>3</v>
      </c>
      <c r="D240" s="214" t="s">
        <v>388</v>
      </c>
      <c r="E240" s="215"/>
      <c r="F240" s="472">
        <v>11120</v>
      </c>
      <c r="G240" s="472">
        <v>23403</v>
      </c>
      <c r="H240" s="473">
        <v>25709</v>
      </c>
      <c r="I240" s="815"/>
      <c r="J240" s="197"/>
      <c r="K240" s="197"/>
      <c r="L240" s="197"/>
      <c r="M240" s="197"/>
      <c r="N240" s="197"/>
      <c r="O240" s="197"/>
      <c r="P240" s="197"/>
      <c r="Q240" s="470"/>
      <c r="R240" s="476"/>
      <c r="S240" s="476"/>
      <c r="T240" s="476"/>
      <c r="U240" s="476"/>
      <c r="V240" s="476"/>
      <c r="W240" s="476"/>
      <c r="X240" s="476"/>
      <c r="Y240" s="476"/>
      <c r="Z240" s="476"/>
      <c r="AA240" s="476"/>
      <c r="AB240" s="476"/>
      <c r="AC240" s="476"/>
      <c r="AD240" s="476"/>
    </row>
    <row r="241" spans="1:30" s="193" customFormat="1" ht="15">
      <c r="A241" s="207">
        <v>233</v>
      </c>
      <c r="B241" s="165"/>
      <c r="C241" s="156"/>
      <c r="D241" s="213" t="s">
        <v>635</v>
      </c>
      <c r="E241" s="213"/>
      <c r="F241" s="471"/>
      <c r="G241" s="471"/>
      <c r="H241" s="469"/>
      <c r="I241" s="790">
        <f t="shared" si="47"/>
        <v>36011</v>
      </c>
      <c r="J241" s="197">
        <v>31728</v>
      </c>
      <c r="K241" s="197">
        <v>4283</v>
      </c>
      <c r="L241" s="197"/>
      <c r="M241" s="197"/>
      <c r="N241" s="197"/>
      <c r="O241" s="197"/>
      <c r="P241" s="197"/>
      <c r="Q241" s="470"/>
      <c r="R241" s="197"/>
      <c r="S241" s="197"/>
      <c r="T241" s="197"/>
      <c r="U241" s="197"/>
      <c r="V241" s="197"/>
      <c r="W241" s="197"/>
      <c r="X241" s="197"/>
      <c r="Y241" s="197"/>
      <c r="Z241" s="197"/>
      <c r="AA241" s="197"/>
      <c r="AB241" s="197"/>
      <c r="AC241" s="197"/>
      <c r="AD241" s="197"/>
    </row>
    <row r="242" spans="1:30" s="196" customFormat="1" ht="15">
      <c r="A242" s="207">
        <v>234</v>
      </c>
      <c r="B242" s="176"/>
      <c r="C242" s="748"/>
      <c r="D242" s="793" t="s">
        <v>636</v>
      </c>
      <c r="E242" s="793"/>
      <c r="F242" s="794"/>
      <c r="G242" s="794"/>
      <c r="H242" s="478"/>
      <c r="I242" s="791">
        <f t="shared" si="47"/>
        <v>0</v>
      </c>
      <c r="J242" s="480"/>
      <c r="K242" s="480"/>
      <c r="L242" s="480"/>
      <c r="M242" s="480"/>
      <c r="N242" s="480"/>
      <c r="O242" s="480"/>
      <c r="P242" s="480"/>
      <c r="Q242" s="481"/>
      <c r="R242" s="480"/>
      <c r="S242" s="480"/>
      <c r="T242" s="480"/>
      <c r="U242" s="480"/>
      <c r="V242" s="480"/>
      <c r="W242" s="480"/>
      <c r="X242" s="480"/>
      <c r="Y242" s="480"/>
      <c r="Z242" s="480"/>
      <c r="AA242" s="480"/>
      <c r="AB242" s="480"/>
      <c r="AC242" s="480"/>
      <c r="AD242" s="480"/>
    </row>
    <row r="243" spans="1:30" s="227" customFormat="1" ht="15">
      <c r="A243" s="207">
        <v>235</v>
      </c>
      <c r="B243" s="1101"/>
      <c r="C243" s="1102"/>
      <c r="D243" s="795" t="s">
        <v>637</v>
      </c>
      <c r="E243" s="795"/>
      <c r="F243" s="796"/>
      <c r="G243" s="796"/>
      <c r="H243" s="485"/>
      <c r="I243" s="464">
        <f t="shared" si="47"/>
        <v>36011</v>
      </c>
      <c r="J243" s="326">
        <f>SUM(J241:J242)</f>
        <v>31728</v>
      </c>
      <c r="K243" s="326">
        <f aca="true" t="shared" si="49" ref="K243:Q243">SUM(K241:K242)</f>
        <v>4283</v>
      </c>
      <c r="L243" s="326">
        <f t="shared" si="49"/>
        <v>0</v>
      </c>
      <c r="M243" s="326">
        <f t="shared" si="49"/>
        <v>0</v>
      </c>
      <c r="N243" s="326">
        <f t="shared" si="49"/>
        <v>0</v>
      </c>
      <c r="O243" s="326">
        <f t="shared" si="49"/>
        <v>0</v>
      </c>
      <c r="P243" s="326">
        <f t="shared" si="49"/>
        <v>0</v>
      </c>
      <c r="Q243" s="491">
        <f t="shared" si="49"/>
        <v>0</v>
      </c>
      <c r="R243" s="326"/>
      <c r="S243" s="326"/>
      <c r="T243" s="326"/>
      <c r="U243" s="326"/>
      <c r="V243" s="326"/>
      <c r="W243" s="326"/>
      <c r="X243" s="326"/>
      <c r="Y243" s="326"/>
      <c r="Z243" s="326"/>
      <c r="AA243" s="326"/>
      <c r="AB243" s="326"/>
      <c r="AC243" s="326"/>
      <c r="AD243" s="326"/>
    </row>
    <row r="244" spans="1:30" s="221" customFormat="1" ht="15.75" customHeight="1">
      <c r="A244" s="207">
        <v>236</v>
      </c>
      <c r="B244" s="159">
        <v>14</v>
      </c>
      <c r="C244" s="160"/>
      <c r="D244" s="178" t="s">
        <v>359</v>
      </c>
      <c r="E244" s="224" t="s">
        <v>33</v>
      </c>
      <c r="F244" s="462">
        <v>98683</v>
      </c>
      <c r="G244" s="462">
        <v>80499</v>
      </c>
      <c r="H244" s="463">
        <v>97804</v>
      </c>
      <c r="I244" s="815"/>
      <c r="J244" s="225"/>
      <c r="K244" s="225"/>
      <c r="L244" s="474"/>
      <c r="M244" s="474"/>
      <c r="N244" s="474"/>
      <c r="O244" s="474"/>
      <c r="P244" s="474"/>
      <c r="Q244" s="475"/>
      <c r="R244" s="450"/>
      <c r="S244" s="450"/>
      <c r="T244" s="450"/>
      <c r="U244" s="450"/>
      <c r="V244" s="450"/>
      <c r="W244" s="450"/>
      <c r="X244" s="450"/>
      <c r="Y244" s="450"/>
      <c r="Z244" s="450"/>
      <c r="AA244" s="450"/>
      <c r="AB244" s="450"/>
      <c r="AC244" s="450"/>
      <c r="AD244" s="450"/>
    </row>
    <row r="245" spans="1:30" s="193" customFormat="1" ht="15">
      <c r="A245" s="207">
        <v>237</v>
      </c>
      <c r="B245" s="165"/>
      <c r="C245" s="156"/>
      <c r="D245" s="166" t="s">
        <v>635</v>
      </c>
      <c r="E245" s="211"/>
      <c r="F245" s="468"/>
      <c r="G245" s="468"/>
      <c r="H245" s="469"/>
      <c r="I245" s="790">
        <f t="shared" si="47"/>
        <v>90645</v>
      </c>
      <c r="J245" s="465">
        <v>42877</v>
      </c>
      <c r="K245" s="465">
        <v>11253</v>
      </c>
      <c r="L245" s="465">
        <v>36085</v>
      </c>
      <c r="M245" s="466"/>
      <c r="N245" s="466">
        <v>180</v>
      </c>
      <c r="O245" s="466">
        <v>250</v>
      </c>
      <c r="P245" s="466"/>
      <c r="Q245" s="467"/>
      <c r="R245" s="197"/>
      <c r="S245" s="197"/>
      <c r="T245" s="197"/>
      <c r="U245" s="197"/>
      <c r="V245" s="197"/>
      <c r="W245" s="197"/>
      <c r="X245" s="197"/>
      <c r="Y245" s="197"/>
      <c r="Z245" s="197"/>
      <c r="AA245" s="197"/>
      <c r="AB245" s="197"/>
      <c r="AC245" s="197"/>
      <c r="AD245" s="197"/>
    </row>
    <row r="246" spans="1:30" s="196" customFormat="1" ht="15">
      <c r="A246" s="207">
        <v>238</v>
      </c>
      <c r="B246" s="176"/>
      <c r="C246" s="748"/>
      <c r="D246" s="183" t="s">
        <v>686</v>
      </c>
      <c r="E246" s="786"/>
      <c r="F246" s="787"/>
      <c r="G246" s="787"/>
      <c r="H246" s="478"/>
      <c r="I246" s="791">
        <f t="shared" si="47"/>
        <v>196</v>
      </c>
      <c r="J246" s="480">
        <v>154</v>
      </c>
      <c r="K246" s="480">
        <v>42</v>
      </c>
      <c r="L246" s="480"/>
      <c r="M246" s="480"/>
      <c r="N246" s="480"/>
      <c r="O246" s="480"/>
      <c r="P246" s="480"/>
      <c r="Q246" s="481"/>
      <c r="R246" s="480"/>
      <c r="S246" s="480"/>
      <c r="T246" s="480"/>
      <c r="U246" s="480"/>
      <c r="V246" s="480"/>
      <c r="W246" s="480"/>
      <c r="X246" s="480"/>
      <c r="Y246" s="480"/>
      <c r="Z246" s="480"/>
      <c r="AA246" s="480"/>
      <c r="AB246" s="480"/>
      <c r="AC246" s="480"/>
      <c r="AD246" s="480"/>
    </row>
    <row r="247" spans="1:30" s="196" customFormat="1" ht="15">
      <c r="A247" s="207">
        <v>239</v>
      </c>
      <c r="B247" s="176"/>
      <c r="C247" s="748"/>
      <c r="D247" s="183" t="s">
        <v>704</v>
      </c>
      <c r="E247" s="786"/>
      <c r="F247" s="787"/>
      <c r="G247" s="787"/>
      <c r="H247" s="478"/>
      <c r="I247" s="791">
        <f t="shared" si="47"/>
        <v>8992</v>
      </c>
      <c r="J247" s="480"/>
      <c r="K247" s="480"/>
      <c r="L247" s="480">
        <v>7910</v>
      </c>
      <c r="M247" s="480"/>
      <c r="N247" s="480"/>
      <c r="O247" s="480">
        <v>1082</v>
      </c>
      <c r="P247" s="480"/>
      <c r="Q247" s="481"/>
      <c r="R247" s="480"/>
      <c r="S247" s="480"/>
      <c r="T247" s="480"/>
      <c r="U247" s="480"/>
      <c r="V247" s="480"/>
      <c r="W247" s="480"/>
      <c r="X247" s="480"/>
      <c r="Y247" s="480"/>
      <c r="Z247" s="480"/>
      <c r="AA247" s="480"/>
      <c r="AB247" s="480"/>
      <c r="AC247" s="480"/>
      <c r="AD247" s="480"/>
    </row>
    <row r="248" spans="1:30" s="196" customFormat="1" ht="15">
      <c r="A248" s="207">
        <v>240</v>
      </c>
      <c r="B248" s="176"/>
      <c r="C248" s="748"/>
      <c r="D248" s="183" t="s">
        <v>734</v>
      </c>
      <c r="E248" s="786"/>
      <c r="F248" s="787"/>
      <c r="G248" s="787"/>
      <c r="H248" s="478"/>
      <c r="I248" s="791">
        <f t="shared" si="47"/>
        <v>98</v>
      </c>
      <c r="J248" s="480">
        <v>72</v>
      </c>
      <c r="K248" s="480">
        <v>26</v>
      </c>
      <c r="L248" s="480"/>
      <c r="M248" s="480"/>
      <c r="N248" s="480"/>
      <c r="O248" s="480"/>
      <c r="P248" s="480"/>
      <c r="Q248" s="481"/>
      <c r="R248" s="480"/>
      <c r="S248" s="480"/>
      <c r="T248" s="480"/>
      <c r="U248" s="480"/>
      <c r="V248" s="480"/>
      <c r="W248" s="480"/>
      <c r="X248" s="480"/>
      <c r="Y248" s="480"/>
      <c r="Z248" s="480"/>
      <c r="AA248" s="480"/>
      <c r="AB248" s="480"/>
      <c r="AC248" s="480"/>
      <c r="AD248" s="480"/>
    </row>
    <row r="249" spans="1:30" s="227" customFormat="1" ht="15">
      <c r="A249" s="207">
        <v>241</v>
      </c>
      <c r="B249" s="1101"/>
      <c r="C249" s="1102"/>
      <c r="D249" s="180" t="s">
        <v>637</v>
      </c>
      <c r="E249" s="220"/>
      <c r="F249" s="789"/>
      <c r="G249" s="789"/>
      <c r="H249" s="485"/>
      <c r="I249" s="464">
        <f t="shared" si="47"/>
        <v>99931</v>
      </c>
      <c r="J249" s="326">
        <f>SUM(J245:J248)</f>
        <v>43103</v>
      </c>
      <c r="K249" s="326">
        <f aca="true" t="shared" si="50" ref="K249:Q249">SUM(K245:K248)</f>
        <v>11321</v>
      </c>
      <c r="L249" s="326">
        <f t="shared" si="50"/>
        <v>43995</v>
      </c>
      <c r="M249" s="326">
        <f t="shared" si="50"/>
        <v>0</v>
      </c>
      <c r="N249" s="326">
        <f t="shared" si="50"/>
        <v>180</v>
      </c>
      <c r="O249" s="326">
        <f t="shared" si="50"/>
        <v>1332</v>
      </c>
      <c r="P249" s="326">
        <f t="shared" si="50"/>
        <v>0</v>
      </c>
      <c r="Q249" s="491">
        <f t="shared" si="50"/>
        <v>0</v>
      </c>
      <c r="R249" s="326"/>
      <c r="S249" s="326"/>
      <c r="T249" s="326"/>
      <c r="U249" s="326"/>
      <c r="V249" s="326"/>
      <c r="W249" s="326"/>
      <c r="X249" s="326"/>
      <c r="Y249" s="326"/>
      <c r="Z249" s="326"/>
      <c r="AA249" s="326"/>
      <c r="AB249" s="326"/>
      <c r="AC249" s="326"/>
      <c r="AD249" s="326"/>
    </row>
    <row r="250" spans="1:30" s="186" customFormat="1" ht="30">
      <c r="A250" s="210">
        <v>242</v>
      </c>
      <c r="B250" s="170"/>
      <c r="C250" s="171">
        <v>1</v>
      </c>
      <c r="D250" s="213" t="s">
        <v>417</v>
      </c>
      <c r="E250" s="218"/>
      <c r="F250" s="468"/>
      <c r="G250" s="468"/>
      <c r="H250" s="469">
        <v>1235</v>
      </c>
      <c r="I250" s="815"/>
      <c r="J250" s="465"/>
      <c r="K250" s="465"/>
      <c r="L250" s="465"/>
      <c r="M250" s="466"/>
      <c r="N250" s="466"/>
      <c r="O250" s="466"/>
      <c r="P250" s="466"/>
      <c r="Q250" s="467"/>
      <c r="R250" s="458"/>
      <c r="S250" s="458"/>
      <c r="T250" s="458"/>
      <c r="U250" s="458"/>
      <c r="V250" s="458"/>
      <c r="W250" s="458"/>
      <c r="X250" s="458"/>
      <c r="Y250" s="458"/>
      <c r="Z250" s="458"/>
      <c r="AA250" s="458"/>
      <c r="AB250" s="458"/>
      <c r="AC250" s="458"/>
      <c r="AD250" s="458"/>
    </row>
    <row r="251" spans="1:30" s="193" customFormat="1" ht="15">
      <c r="A251" s="207">
        <v>243</v>
      </c>
      <c r="B251" s="165"/>
      <c r="C251" s="156"/>
      <c r="D251" s="213" t="s">
        <v>635</v>
      </c>
      <c r="E251" s="213"/>
      <c r="F251" s="471"/>
      <c r="G251" s="471"/>
      <c r="H251" s="469"/>
      <c r="I251" s="790">
        <f t="shared" si="47"/>
        <v>0</v>
      </c>
      <c r="J251" s="197"/>
      <c r="K251" s="197"/>
      <c r="L251" s="197"/>
      <c r="M251" s="197"/>
      <c r="N251" s="197"/>
      <c r="O251" s="197"/>
      <c r="P251" s="197"/>
      <c r="Q251" s="470"/>
      <c r="R251" s="197"/>
      <c r="S251" s="197"/>
      <c r="T251" s="197"/>
      <c r="U251" s="197"/>
      <c r="V251" s="197"/>
      <c r="W251" s="197"/>
      <c r="X251" s="197"/>
      <c r="Y251" s="197"/>
      <c r="Z251" s="197"/>
      <c r="AA251" s="197"/>
      <c r="AB251" s="197"/>
      <c r="AC251" s="197"/>
      <c r="AD251" s="197"/>
    </row>
    <row r="252" spans="1:30" s="196" customFormat="1" ht="15">
      <c r="A252" s="207">
        <v>244</v>
      </c>
      <c r="B252" s="176"/>
      <c r="C252" s="748"/>
      <c r="D252" s="793" t="s">
        <v>636</v>
      </c>
      <c r="E252" s="793"/>
      <c r="F252" s="794"/>
      <c r="G252" s="794"/>
      <c r="H252" s="478"/>
      <c r="I252" s="791">
        <f t="shared" si="47"/>
        <v>0</v>
      </c>
      <c r="J252" s="480"/>
      <c r="K252" s="480"/>
      <c r="L252" s="480"/>
      <c r="M252" s="480"/>
      <c r="N252" s="480"/>
      <c r="O252" s="480"/>
      <c r="P252" s="480"/>
      <c r="Q252" s="481"/>
      <c r="R252" s="480"/>
      <c r="S252" s="480"/>
      <c r="T252" s="480"/>
      <c r="U252" s="480"/>
      <c r="V252" s="480"/>
      <c r="W252" s="480"/>
      <c r="X252" s="480"/>
      <c r="Y252" s="480"/>
      <c r="Z252" s="480"/>
      <c r="AA252" s="480"/>
      <c r="AB252" s="480"/>
      <c r="AC252" s="480"/>
      <c r="AD252" s="480"/>
    </row>
    <row r="253" spans="1:30" s="227" customFormat="1" ht="15">
      <c r="A253" s="207">
        <v>245</v>
      </c>
      <c r="B253" s="1101"/>
      <c r="C253" s="1102"/>
      <c r="D253" s="795" t="s">
        <v>637</v>
      </c>
      <c r="E253" s="795"/>
      <c r="F253" s="796"/>
      <c r="G253" s="796"/>
      <c r="H253" s="485"/>
      <c r="I253" s="464">
        <f t="shared" si="47"/>
        <v>0</v>
      </c>
      <c r="J253" s="326">
        <f>SUM(J251:J252)</f>
        <v>0</v>
      </c>
      <c r="K253" s="326">
        <f aca="true" t="shared" si="51" ref="K253:Q253">SUM(K251:K252)</f>
        <v>0</v>
      </c>
      <c r="L253" s="326">
        <f t="shared" si="51"/>
        <v>0</v>
      </c>
      <c r="M253" s="326">
        <f t="shared" si="51"/>
        <v>0</v>
      </c>
      <c r="N253" s="326">
        <f t="shared" si="51"/>
        <v>0</v>
      </c>
      <c r="O253" s="326">
        <f t="shared" si="51"/>
        <v>0</v>
      </c>
      <c r="P253" s="326">
        <f t="shared" si="51"/>
        <v>0</v>
      </c>
      <c r="Q253" s="491">
        <f t="shared" si="51"/>
        <v>0</v>
      </c>
      <c r="R253" s="326"/>
      <c r="S253" s="326"/>
      <c r="T253" s="326"/>
      <c r="U253" s="326"/>
      <c r="V253" s="326"/>
      <c r="W253" s="326"/>
      <c r="X253" s="326"/>
      <c r="Y253" s="326"/>
      <c r="Z253" s="326"/>
      <c r="AA253" s="326"/>
      <c r="AB253" s="326"/>
      <c r="AC253" s="326"/>
      <c r="AD253" s="326"/>
    </row>
    <row r="254" spans="1:30" s="186" customFormat="1" ht="30">
      <c r="A254" s="210">
        <v>246</v>
      </c>
      <c r="B254" s="170"/>
      <c r="C254" s="171">
        <v>2</v>
      </c>
      <c r="D254" s="213" t="s">
        <v>418</v>
      </c>
      <c r="E254" s="218"/>
      <c r="F254" s="468"/>
      <c r="G254" s="468"/>
      <c r="H254" s="469">
        <v>2636</v>
      </c>
      <c r="I254" s="815"/>
      <c r="J254" s="184"/>
      <c r="K254" s="184"/>
      <c r="L254" s="184"/>
      <c r="M254" s="197"/>
      <c r="N254" s="197"/>
      <c r="O254" s="197"/>
      <c r="P254" s="197"/>
      <c r="Q254" s="470"/>
      <c r="R254" s="458"/>
      <c r="S254" s="458"/>
      <c r="T254" s="458"/>
      <c r="U254" s="458"/>
      <c r="V254" s="458"/>
      <c r="W254" s="458"/>
      <c r="X254" s="458"/>
      <c r="Y254" s="458"/>
      <c r="Z254" s="458"/>
      <c r="AA254" s="458"/>
      <c r="AB254" s="458"/>
      <c r="AC254" s="458"/>
      <c r="AD254" s="458"/>
    </row>
    <row r="255" spans="1:30" s="193" customFormat="1" ht="15">
      <c r="A255" s="207">
        <v>247</v>
      </c>
      <c r="B255" s="165"/>
      <c r="C255" s="156"/>
      <c r="D255" s="213" t="s">
        <v>635</v>
      </c>
      <c r="E255" s="213"/>
      <c r="F255" s="471"/>
      <c r="G255" s="471"/>
      <c r="H255" s="469"/>
      <c r="I255" s="790">
        <f t="shared" si="47"/>
        <v>0</v>
      </c>
      <c r="J255" s="197"/>
      <c r="K255" s="197"/>
      <c r="L255" s="197"/>
      <c r="M255" s="197"/>
      <c r="N255" s="197"/>
      <c r="O255" s="197"/>
      <c r="P255" s="197"/>
      <c r="Q255" s="470"/>
      <c r="R255" s="197"/>
      <c r="S255" s="197"/>
      <c r="T255" s="197"/>
      <c r="U255" s="197"/>
      <c r="V255" s="197"/>
      <c r="W255" s="197"/>
      <c r="X255" s="197"/>
      <c r="Y255" s="197"/>
      <c r="Z255" s="197"/>
      <c r="AA255" s="197"/>
      <c r="AB255" s="197"/>
      <c r="AC255" s="197"/>
      <c r="AD255" s="197"/>
    </row>
    <row r="256" spans="1:30" s="196" customFormat="1" ht="15">
      <c r="A256" s="207">
        <v>248</v>
      </c>
      <c r="B256" s="176"/>
      <c r="C256" s="748"/>
      <c r="D256" s="793" t="s">
        <v>636</v>
      </c>
      <c r="E256" s="793"/>
      <c r="F256" s="794"/>
      <c r="G256" s="794"/>
      <c r="H256" s="478"/>
      <c r="I256" s="791">
        <f t="shared" si="47"/>
        <v>0</v>
      </c>
      <c r="J256" s="480"/>
      <c r="K256" s="480"/>
      <c r="L256" s="480"/>
      <c r="M256" s="480"/>
      <c r="N256" s="480"/>
      <c r="O256" s="480"/>
      <c r="P256" s="480"/>
      <c r="Q256" s="481"/>
      <c r="R256" s="480"/>
      <c r="S256" s="480"/>
      <c r="T256" s="480"/>
      <c r="U256" s="480"/>
      <c r="V256" s="480"/>
      <c r="W256" s="480"/>
      <c r="X256" s="480"/>
      <c r="Y256" s="480"/>
      <c r="Z256" s="480"/>
      <c r="AA256" s="480"/>
      <c r="AB256" s="480"/>
      <c r="AC256" s="480"/>
      <c r="AD256" s="480"/>
    </row>
    <row r="257" spans="1:30" s="227" customFormat="1" ht="15">
      <c r="A257" s="207">
        <v>249</v>
      </c>
      <c r="B257" s="1101"/>
      <c r="C257" s="1102"/>
      <c r="D257" s="795" t="s">
        <v>637</v>
      </c>
      <c r="E257" s="795"/>
      <c r="F257" s="796"/>
      <c r="G257" s="796"/>
      <c r="H257" s="485"/>
      <c r="I257" s="464">
        <f t="shared" si="47"/>
        <v>0</v>
      </c>
      <c r="J257" s="326">
        <f>SUM(J255:J256)</f>
        <v>0</v>
      </c>
      <c r="K257" s="326">
        <f aca="true" t="shared" si="52" ref="K257:Q257">SUM(K255:K256)</f>
        <v>0</v>
      </c>
      <c r="L257" s="326">
        <f t="shared" si="52"/>
        <v>0</v>
      </c>
      <c r="M257" s="326">
        <f t="shared" si="52"/>
        <v>0</v>
      </c>
      <c r="N257" s="326">
        <f t="shared" si="52"/>
        <v>0</v>
      </c>
      <c r="O257" s="326">
        <f t="shared" si="52"/>
        <v>0</v>
      </c>
      <c r="P257" s="326">
        <f t="shared" si="52"/>
        <v>0</v>
      </c>
      <c r="Q257" s="491">
        <f t="shared" si="52"/>
        <v>0</v>
      </c>
      <c r="R257" s="326"/>
      <c r="S257" s="326"/>
      <c r="T257" s="326"/>
      <c r="U257" s="326"/>
      <c r="V257" s="326"/>
      <c r="W257" s="326"/>
      <c r="X257" s="326"/>
      <c r="Y257" s="326"/>
      <c r="Z257" s="326"/>
      <c r="AA257" s="326"/>
      <c r="AB257" s="326"/>
      <c r="AC257" s="326"/>
      <c r="AD257" s="326"/>
    </row>
    <row r="258" spans="1:30" s="216" customFormat="1" ht="15">
      <c r="A258" s="207">
        <v>250</v>
      </c>
      <c r="B258" s="170"/>
      <c r="C258" s="171">
        <v>3</v>
      </c>
      <c r="D258" s="214" t="s">
        <v>388</v>
      </c>
      <c r="E258" s="215"/>
      <c r="F258" s="472"/>
      <c r="G258" s="472">
        <v>1350</v>
      </c>
      <c r="H258" s="473">
        <v>2575</v>
      </c>
      <c r="I258" s="815"/>
      <c r="J258" s="184"/>
      <c r="K258" s="184"/>
      <c r="L258" s="184"/>
      <c r="M258" s="197"/>
      <c r="N258" s="197"/>
      <c r="O258" s="197"/>
      <c r="P258" s="197"/>
      <c r="Q258" s="470"/>
      <c r="R258" s="476"/>
      <c r="S258" s="476"/>
      <c r="T258" s="476"/>
      <c r="U258" s="476"/>
      <c r="V258" s="476"/>
      <c r="W258" s="476"/>
      <c r="X258" s="476"/>
      <c r="Y258" s="476"/>
      <c r="Z258" s="476"/>
      <c r="AA258" s="476"/>
      <c r="AB258" s="476"/>
      <c r="AC258" s="476"/>
      <c r="AD258" s="476"/>
    </row>
    <row r="259" spans="1:30" s="193" customFormat="1" ht="15">
      <c r="A259" s="207">
        <v>251</v>
      </c>
      <c r="B259" s="165"/>
      <c r="C259" s="156"/>
      <c r="D259" s="213" t="s">
        <v>635</v>
      </c>
      <c r="E259" s="213"/>
      <c r="F259" s="471"/>
      <c r="G259" s="471"/>
      <c r="H259" s="469"/>
      <c r="I259" s="790">
        <f t="shared" si="47"/>
        <v>535</v>
      </c>
      <c r="J259" s="197">
        <v>471</v>
      </c>
      <c r="K259" s="197">
        <v>64</v>
      </c>
      <c r="L259" s="197"/>
      <c r="M259" s="197"/>
      <c r="N259" s="197"/>
      <c r="O259" s="197"/>
      <c r="P259" s="197"/>
      <c r="Q259" s="470"/>
      <c r="R259" s="197"/>
      <c r="S259" s="197"/>
      <c r="T259" s="197"/>
      <c r="U259" s="197"/>
      <c r="V259" s="197"/>
      <c r="W259" s="197"/>
      <c r="X259" s="197"/>
      <c r="Y259" s="197"/>
      <c r="Z259" s="197"/>
      <c r="AA259" s="197"/>
      <c r="AB259" s="197"/>
      <c r="AC259" s="197"/>
      <c r="AD259" s="197"/>
    </row>
    <row r="260" spans="1:30" s="196" customFormat="1" ht="15">
      <c r="A260" s="207">
        <v>252</v>
      </c>
      <c r="B260" s="176"/>
      <c r="C260" s="748"/>
      <c r="D260" s="793" t="s">
        <v>636</v>
      </c>
      <c r="E260" s="793"/>
      <c r="F260" s="794"/>
      <c r="G260" s="794"/>
      <c r="H260" s="478"/>
      <c r="I260" s="791">
        <f t="shared" si="47"/>
        <v>801</v>
      </c>
      <c r="J260" s="480">
        <v>706</v>
      </c>
      <c r="K260" s="480">
        <v>95</v>
      </c>
      <c r="L260" s="480"/>
      <c r="M260" s="480"/>
      <c r="N260" s="480"/>
      <c r="O260" s="480"/>
      <c r="P260" s="480"/>
      <c r="Q260" s="481"/>
      <c r="R260" s="480"/>
      <c r="S260" s="480"/>
      <c r="T260" s="480"/>
      <c r="U260" s="480"/>
      <c r="V260" s="480"/>
      <c r="W260" s="480"/>
      <c r="X260" s="480"/>
      <c r="Y260" s="480"/>
      <c r="Z260" s="480"/>
      <c r="AA260" s="480"/>
      <c r="AB260" s="480"/>
      <c r="AC260" s="480"/>
      <c r="AD260" s="480"/>
    </row>
    <row r="261" spans="1:30" s="227" customFormat="1" ht="15">
      <c r="A261" s="207">
        <v>253</v>
      </c>
      <c r="B261" s="1101"/>
      <c r="C261" s="1102"/>
      <c r="D261" s="795" t="s">
        <v>637</v>
      </c>
      <c r="E261" s="795"/>
      <c r="F261" s="796"/>
      <c r="G261" s="796"/>
      <c r="H261" s="485"/>
      <c r="I261" s="464">
        <f t="shared" si="47"/>
        <v>1336</v>
      </c>
      <c r="J261" s="326">
        <f>SUM(J259:J260)</f>
        <v>1177</v>
      </c>
      <c r="K261" s="326">
        <f aca="true" t="shared" si="53" ref="K261:Q261">SUM(K259:K260)</f>
        <v>159</v>
      </c>
      <c r="L261" s="326">
        <f t="shared" si="53"/>
        <v>0</v>
      </c>
      <c r="M261" s="326">
        <f t="shared" si="53"/>
        <v>0</v>
      </c>
      <c r="N261" s="326">
        <f t="shared" si="53"/>
        <v>0</v>
      </c>
      <c r="O261" s="326">
        <f t="shared" si="53"/>
        <v>0</v>
      </c>
      <c r="P261" s="326">
        <f t="shared" si="53"/>
        <v>0</v>
      </c>
      <c r="Q261" s="491">
        <f t="shared" si="53"/>
        <v>0</v>
      </c>
      <c r="R261" s="326"/>
      <c r="S261" s="326"/>
      <c r="T261" s="326"/>
      <c r="U261" s="326"/>
      <c r="V261" s="326"/>
      <c r="W261" s="326"/>
      <c r="X261" s="326"/>
      <c r="Y261" s="326"/>
      <c r="Z261" s="326"/>
      <c r="AA261" s="326"/>
      <c r="AB261" s="326"/>
      <c r="AC261" s="326"/>
      <c r="AD261" s="326"/>
    </row>
    <row r="262" spans="1:30" s="221" customFormat="1" ht="30" customHeight="1">
      <c r="A262" s="207">
        <v>254</v>
      </c>
      <c r="B262" s="159">
        <v>15</v>
      </c>
      <c r="C262" s="160"/>
      <c r="D262" s="161" t="s">
        <v>399</v>
      </c>
      <c r="E262" s="208" t="s">
        <v>33</v>
      </c>
      <c r="F262" s="462">
        <v>764223</v>
      </c>
      <c r="G262" s="462">
        <v>697889</v>
      </c>
      <c r="H262" s="463">
        <v>785679</v>
      </c>
      <c r="I262" s="815"/>
      <c r="J262" s="225"/>
      <c r="K262" s="225"/>
      <c r="L262" s="474"/>
      <c r="M262" s="474"/>
      <c r="N262" s="474"/>
      <c r="O262" s="474"/>
      <c r="P262" s="474"/>
      <c r="Q262" s="475"/>
      <c r="R262" s="450"/>
      <c r="S262" s="450"/>
      <c r="T262" s="450"/>
      <c r="U262" s="450"/>
      <c r="V262" s="450"/>
      <c r="W262" s="450"/>
      <c r="X262" s="450"/>
      <c r="Y262" s="450"/>
      <c r="Z262" s="450"/>
      <c r="AA262" s="450"/>
      <c r="AB262" s="450"/>
      <c r="AC262" s="450"/>
      <c r="AD262" s="450"/>
    </row>
    <row r="263" spans="1:30" s="193" customFormat="1" ht="15">
      <c r="A263" s="207">
        <v>255</v>
      </c>
      <c r="B263" s="165"/>
      <c r="C263" s="156"/>
      <c r="D263" s="166" t="s">
        <v>635</v>
      </c>
      <c r="E263" s="211"/>
      <c r="F263" s="468"/>
      <c r="G263" s="468"/>
      <c r="H263" s="469"/>
      <c r="I263" s="790">
        <f t="shared" si="47"/>
        <v>723529</v>
      </c>
      <c r="J263" s="465">
        <v>288592</v>
      </c>
      <c r="K263" s="465">
        <v>72005</v>
      </c>
      <c r="L263" s="465">
        <v>355000</v>
      </c>
      <c r="M263" s="466"/>
      <c r="N263" s="466">
        <v>1800</v>
      </c>
      <c r="O263" s="466"/>
      <c r="P263" s="466">
        <v>6132</v>
      </c>
      <c r="Q263" s="467"/>
      <c r="R263" s="197"/>
      <c r="S263" s="197"/>
      <c r="T263" s="197"/>
      <c r="U263" s="197"/>
      <c r="V263" s="197"/>
      <c r="W263" s="197"/>
      <c r="X263" s="197"/>
      <c r="Y263" s="197"/>
      <c r="Z263" s="197"/>
      <c r="AA263" s="197"/>
      <c r="AB263" s="197"/>
      <c r="AC263" s="197"/>
      <c r="AD263" s="197"/>
    </row>
    <row r="264" spans="1:30" s="196" customFormat="1" ht="15">
      <c r="A264" s="207">
        <v>256</v>
      </c>
      <c r="B264" s="176"/>
      <c r="C264" s="748"/>
      <c r="D264" s="183" t="s">
        <v>686</v>
      </c>
      <c r="E264" s="786"/>
      <c r="F264" s="787"/>
      <c r="G264" s="787"/>
      <c r="H264" s="478"/>
      <c r="I264" s="791">
        <f t="shared" si="47"/>
        <v>1131</v>
      </c>
      <c r="J264" s="480">
        <v>891</v>
      </c>
      <c r="K264" s="480">
        <v>240</v>
      </c>
      <c r="L264" s="480"/>
      <c r="M264" s="480"/>
      <c r="N264" s="480"/>
      <c r="O264" s="480"/>
      <c r="P264" s="480"/>
      <c r="Q264" s="481"/>
      <c r="R264" s="480"/>
      <c r="S264" s="480"/>
      <c r="T264" s="480"/>
      <c r="U264" s="480"/>
      <c r="V264" s="480"/>
      <c r="W264" s="480"/>
      <c r="X264" s="480"/>
      <c r="Y264" s="480"/>
      <c r="Z264" s="480"/>
      <c r="AA264" s="480"/>
      <c r="AB264" s="480"/>
      <c r="AC264" s="480"/>
      <c r="AD264" s="480"/>
    </row>
    <row r="265" spans="1:30" s="196" customFormat="1" ht="15">
      <c r="A265" s="207">
        <v>257</v>
      </c>
      <c r="B265" s="176"/>
      <c r="C265" s="748"/>
      <c r="D265" s="183" t="s">
        <v>704</v>
      </c>
      <c r="E265" s="786"/>
      <c r="F265" s="787"/>
      <c r="G265" s="787"/>
      <c r="H265" s="478"/>
      <c r="I265" s="791">
        <f t="shared" si="47"/>
        <v>16400</v>
      </c>
      <c r="J265" s="480">
        <v>1082</v>
      </c>
      <c r="K265" s="480">
        <v>354</v>
      </c>
      <c r="L265" s="480">
        <v>2550</v>
      </c>
      <c r="M265" s="480"/>
      <c r="N265" s="480"/>
      <c r="O265" s="480">
        <v>12197</v>
      </c>
      <c r="P265" s="480">
        <v>217</v>
      </c>
      <c r="Q265" s="481"/>
      <c r="R265" s="480"/>
      <c r="S265" s="480"/>
      <c r="T265" s="480"/>
      <c r="U265" s="480"/>
      <c r="V265" s="480"/>
      <c r="W265" s="480"/>
      <c r="X265" s="480"/>
      <c r="Y265" s="480"/>
      <c r="Z265" s="480"/>
      <c r="AA265" s="480"/>
      <c r="AB265" s="480"/>
      <c r="AC265" s="480"/>
      <c r="AD265" s="480"/>
    </row>
    <row r="266" spans="1:30" s="196" customFormat="1" ht="15">
      <c r="A266" s="207">
        <v>258</v>
      </c>
      <c r="B266" s="176"/>
      <c r="C266" s="748"/>
      <c r="D266" s="183" t="s">
        <v>730</v>
      </c>
      <c r="E266" s="786"/>
      <c r="F266" s="787"/>
      <c r="G266" s="787"/>
      <c r="H266" s="478"/>
      <c r="I266" s="791">
        <f t="shared" si="47"/>
        <v>200</v>
      </c>
      <c r="J266" s="480"/>
      <c r="K266" s="480"/>
      <c r="L266" s="480">
        <v>200</v>
      </c>
      <c r="M266" s="480"/>
      <c r="N266" s="480"/>
      <c r="O266" s="480"/>
      <c r="P266" s="480"/>
      <c r="Q266" s="481"/>
      <c r="R266" s="480"/>
      <c r="S266" s="480"/>
      <c r="T266" s="480"/>
      <c r="U266" s="480"/>
      <c r="V266" s="480"/>
      <c r="W266" s="480"/>
      <c r="X266" s="480"/>
      <c r="Y266" s="480"/>
      <c r="Z266" s="480"/>
      <c r="AA266" s="480"/>
      <c r="AB266" s="480"/>
      <c r="AC266" s="480"/>
      <c r="AD266" s="480"/>
    </row>
    <row r="267" spans="1:30" s="196" customFormat="1" ht="15">
      <c r="A267" s="207">
        <v>259</v>
      </c>
      <c r="B267" s="176"/>
      <c r="C267" s="748"/>
      <c r="D267" s="183" t="s">
        <v>734</v>
      </c>
      <c r="E267" s="786"/>
      <c r="F267" s="787"/>
      <c r="G267" s="787"/>
      <c r="H267" s="478"/>
      <c r="I267" s="791">
        <f t="shared" si="47"/>
        <v>498</v>
      </c>
      <c r="J267" s="480">
        <v>367</v>
      </c>
      <c r="K267" s="480">
        <v>131</v>
      </c>
      <c r="L267" s="480"/>
      <c r="M267" s="480"/>
      <c r="N267" s="480"/>
      <c r="O267" s="480"/>
      <c r="P267" s="480"/>
      <c r="Q267" s="481"/>
      <c r="R267" s="480"/>
      <c r="S267" s="480"/>
      <c r="T267" s="480"/>
      <c r="U267" s="480"/>
      <c r="V267" s="480"/>
      <c r="W267" s="480"/>
      <c r="X267" s="480"/>
      <c r="Y267" s="480"/>
      <c r="Z267" s="480"/>
      <c r="AA267" s="480"/>
      <c r="AB267" s="480"/>
      <c r="AC267" s="480"/>
      <c r="AD267" s="480"/>
    </row>
    <row r="268" spans="1:30" s="227" customFormat="1" ht="15">
      <c r="A268" s="207">
        <v>260</v>
      </c>
      <c r="B268" s="1101"/>
      <c r="C268" s="1102"/>
      <c r="D268" s="180" t="s">
        <v>637</v>
      </c>
      <c r="E268" s="220"/>
      <c r="F268" s="789"/>
      <c r="G268" s="789"/>
      <c r="H268" s="485"/>
      <c r="I268" s="464">
        <f t="shared" si="47"/>
        <v>741758</v>
      </c>
      <c r="J268" s="326">
        <f>SUM(J263:J267)</f>
        <v>290932</v>
      </c>
      <c r="K268" s="326">
        <f aca="true" t="shared" si="54" ref="K268:Q268">SUM(K263:K267)</f>
        <v>72730</v>
      </c>
      <c r="L268" s="326">
        <f t="shared" si="54"/>
        <v>357750</v>
      </c>
      <c r="M268" s="326">
        <f t="shared" si="54"/>
        <v>0</v>
      </c>
      <c r="N268" s="326">
        <f t="shared" si="54"/>
        <v>1800</v>
      </c>
      <c r="O268" s="326">
        <f t="shared" si="54"/>
        <v>12197</v>
      </c>
      <c r="P268" s="326">
        <f t="shared" si="54"/>
        <v>6349</v>
      </c>
      <c r="Q268" s="491">
        <f t="shared" si="54"/>
        <v>0</v>
      </c>
      <c r="R268" s="326"/>
      <c r="S268" s="326"/>
      <c r="T268" s="326"/>
      <c r="U268" s="326"/>
      <c r="V268" s="326"/>
      <c r="W268" s="326"/>
      <c r="X268" s="326"/>
      <c r="Y268" s="326"/>
      <c r="Z268" s="326"/>
      <c r="AA268" s="326"/>
      <c r="AB268" s="326"/>
      <c r="AC268" s="326"/>
      <c r="AD268" s="326"/>
    </row>
    <row r="269" spans="1:30" s="216" customFormat="1" ht="15">
      <c r="A269" s="207">
        <v>261</v>
      </c>
      <c r="B269" s="817"/>
      <c r="C269" s="171">
        <v>1</v>
      </c>
      <c r="D269" s="214" t="s">
        <v>388</v>
      </c>
      <c r="E269" s="215"/>
      <c r="F269" s="472"/>
      <c r="G269" s="472">
        <v>1251</v>
      </c>
      <c r="H269" s="473">
        <v>2237</v>
      </c>
      <c r="I269" s="815"/>
      <c r="J269" s="465"/>
      <c r="K269" s="465"/>
      <c r="L269" s="465"/>
      <c r="M269" s="466"/>
      <c r="N269" s="466"/>
      <c r="O269" s="466"/>
      <c r="P269" s="466"/>
      <c r="Q269" s="467"/>
      <c r="R269" s="476"/>
      <c r="S269" s="476"/>
      <c r="T269" s="476"/>
      <c r="U269" s="476"/>
      <c r="V269" s="476"/>
      <c r="W269" s="476"/>
      <c r="X269" s="476"/>
      <c r="Y269" s="476"/>
      <c r="Z269" s="476"/>
      <c r="AA269" s="476"/>
      <c r="AB269" s="476"/>
      <c r="AC269" s="476"/>
      <c r="AD269" s="476"/>
    </row>
    <row r="270" spans="1:30" s="193" customFormat="1" ht="15">
      <c r="A270" s="207">
        <v>262</v>
      </c>
      <c r="B270" s="165"/>
      <c r="C270" s="156"/>
      <c r="D270" s="213" t="s">
        <v>635</v>
      </c>
      <c r="E270" s="213"/>
      <c r="F270" s="471"/>
      <c r="G270" s="471"/>
      <c r="H270" s="469"/>
      <c r="I270" s="790">
        <f t="shared" si="47"/>
        <v>0</v>
      </c>
      <c r="J270" s="197"/>
      <c r="K270" s="197"/>
      <c r="L270" s="197"/>
      <c r="M270" s="197"/>
      <c r="N270" s="197"/>
      <c r="O270" s="197"/>
      <c r="P270" s="197"/>
      <c r="Q270" s="470"/>
      <c r="R270" s="197"/>
      <c r="S270" s="197"/>
      <c r="T270" s="197"/>
      <c r="U270" s="197"/>
      <c r="V270" s="197"/>
      <c r="W270" s="197"/>
      <c r="X270" s="197"/>
      <c r="Y270" s="197"/>
      <c r="Z270" s="197"/>
      <c r="AA270" s="197"/>
      <c r="AB270" s="197"/>
      <c r="AC270" s="197"/>
      <c r="AD270" s="197"/>
    </row>
    <row r="271" spans="1:30" s="196" customFormat="1" ht="15">
      <c r="A271" s="207">
        <v>263</v>
      </c>
      <c r="B271" s="176"/>
      <c r="C271" s="748"/>
      <c r="D271" s="793" t="s">
        <v>707</v>
      </c>
      <c r="E271" s="793"/>
      <c r="F271" s="794"/>
      <c r="G271" s="794"/>
      <c r="H271" s="478"/>
      <c r="I271" s="791">
        <f t="shared" si="47"/>
        <v>213</v>
      </c>
      <c r="J271" s="480">
        <v>188</v>
      </c>
      <c r="K271" s="480">
        <v>25</v>
      </c>
      <c r="L271" s="480"/>
      <c r="M271" s="480"/>
      <c r="N271" s="480"/>
      <c r="O271" s="480"/>
      <c r="P271" s="480"/>
      <c r="Q271" s="481"/>
      <c r="R271" s="480"/>
      <c r="S271" s="480"/>
      <c r="T271" s="480"/>
      <c r="U271" s="480"/>
      <c r="V271" s="480"/>
      <c r="W271" s="480"/>
      <c r="X271" s="480"/>
      <c r="Y271" s="480"/>
      <c r="Z271" s="480"/>
      <c r="AA271" s="480"/>
      <c r="AB271" s="480"/>
      <c r="AC271" s="480"/>
      <c r="AD271" s="480"/>
    </row>
    <row r="272" spans="1:30" s="227" customFormat="1" ht="15">
      <c r="A272" s="207">
        <v>264</v>
      </c>
      <c r="B272" s="1101"/>
      <c r="C272" s="1102"/>
      <c r="D272" s="795" t="s">
        <v>637</v>
      </c>
      <c r="E272" s="795"/>
      <c r="F272" s="796"/>
      <c r="G272" s="796"/>
      <c r="H272" s="485"/>
      <c r="I272" s="464">
        <f t="shared" si="47"/>
        <v>213</v>
      </c>
      <c r="J272" s="326">
        <f>SUM(J270:J271)</f>
        <v>188</v>
      </c>
      <c r="K272" s="326">
        <f aca="true" t="shared" si="55" ref="K272:Q272">SUM(K270:K271)</f>
        <v>25</v>
      </c>
      <c r="L272" s="326">
        <f t="shared" si="55"/>
        <v>0</v>
      </c>
      <c r="M272" s="326">
        <f t="shared" si="55"/>
        <v>0</v>
      </c>
      <c r="N272" s="326">
        <f t="shared" si="55"/>
        <v>0</v>
      </c>
      <c r="O272" s="326">
        <f t="shared" si="55"/>
        <v>0</v>
      </c>
      <c r="P272" s="326">
        <f t="shared" si="55"/>
        <v>0</v>
      </c>
      <c r="Q272" s="491">
        <f t="shared" si="55"/>
        <v>0</v>
      </c>
      <c r="R272" s="326"/>
      <c r="S272" s="326"/>
      <c r="T272" s="326"/>
      <c r="U272" s="326"/>
      <c r="V272" s="326"/>
      <c r="W272" s="326"/>
      <c r="X272" s="326"/>
      <c r="Y272" s="326"/>
      <c r="Z272" s="326"/>
      <c r="AA272" s="326"/>
      <c r="AB272" s="326"/>
      <c r="AC272" s="326"/>
      <c r="AD272" s="326"/>
    </row>
    <row r="273" spans="1:30" s="190" customFormat="1" ht="19.5" customHeight="1">
      <c r="A273" s="212">
        <v>265</v>
      </c>
      <c r="B273" s="832"/>
      <c r="C273" s="833"/>
      <c r="D273" s="834" t="s">
        <v>421</v>
      </c>
      <c r="E273" s="835"/>
      <c r="F273" s="836">
        <f>SUM(F144:F262)</f>
        <v>1829058</v>
      </c>
      <c r="G273" s="836">
        <f>SUM(G144:G269)</f>
        <v>1680884</v>
      </c>
      <c r="H273" s="816">
        <f>SUM(H144:H269)</f>
        <v>1981443</v>
      </c>
      <c r="I273" s="479"/>
      <c r="J273" s="1170"/>
      <c r="K273" s="1170"/>
      <c r="L273" s="844"/>
      <c r="M273" s="844"/>
      <c r="N273" s="844"/>
      <c r="O273" s="844"/>
      <c r="P273" s="844"/>
      <c r="Q273" s="845"/>
      <c r="R273" s="477"/>
      <c r="S273" s="477"/>
      <c r="T273" s="477"/>
      <c r="U273" s="477"/>
      <c r="V273" s="477"/>
      <c r="W273" s="477"/>
      <c r="X273" s="477"/>
      <c r="Y273" s="477"/>
      <c r="Z273" s="477"/>
      <c r="AA273" s="477"/>
      <c r="AB273" s="477"/>
      <c r="AC273" s="477"/>
      <c r="AD273" s="477"/>
    </row>
    <row r="274" spans="1:30" s="193" customFormat="1" ht="19.5" customHeight="1">
      <c r="A274" s="212">
        <v>266</v>
      </c>
      <c r="B274" s="165"/>
      <c r="C274" s="156"/>
      <c r="D274" s="213" t="s">
        <v>635</v>
      </c>
      <c r="E274" s="1100"/>
      <c r="F274" s="1171"/>
      <c r="G274" s="1171"/>
      <c r="H274" s="469"/>
      <c r="I274" s="790">
        <f t="shared" si="47"/>
        <v>1797299</v>
      </c>
      <c r="J274" s="197">
        <f aca="true" t="shared" si="56" ref="J274:Q274">SUM(J270,J263,J259,J255,J251,J245,J241,J237,J233,J224,J220,J216,J212,J208,J198,J194,J190,J184,J180,J176,J172,J145)</f>
        <v>725031</v>
      </c>
      <c r="K274" s="197">
        <f t="shared" si="56"/>
        <v>182825</v>
      </c>
      <c r="L274" s="197">
        <f t="shared" si="56"/>
        <v>846088</v>
      </c>
      <c r="M274" s="197">
        <f t="shared" si="56"/>
        <v>0</v>
      </c>
      <c r="N274" s="197">
        <f t="shared" si="56"/>
        <v>6172</v>
      </c>
      <c r="O274" s="197">
        <f t="shared" si="56"/>
        <v>31051</v>
      </c>
      <c r="P274" s="197">
        <f t="shared" si="56"/>
        <v>6132</v>
      </c>
      <c r="Q274" s="470">
        <f t="shared" si="56"/>
        <v>0</v>
      </c>
      <c r="R274" s="197"/>
      <c r="S274" s="197"/>
      <c r="T274" s="197"/>
      <c r="U274" s="197"/>
      <c r="V274" s="197"/>
      <c r="W274" s="197"/>
      <c r="X274" s="197"/>
      <c r="Y274" s="197"/>
      <c r="Z274" s="197"/>
      <c r="AA274" s="197"/>
      <c r="AB274" s="197"/>
      <c r="AC274" s="197"/>
      <c r="AD274" s="197"/>
    </row>
    <row r="275" spans="1:30" s="196" customFormat="1" ht="36" customHeight="1">
      <c r="A275" s="210">
        <v>267</v>
      </c>
      <c r="B275" s="176"/>
      <c r="C275" s="748"/>
      <c r="D275" s="793" t="s">
        <v>1149</v>
      </c>
      <c r="E275" s="838"/>
      <c r="F275" s="1172"/>
      <c r="G275" s="1172"/>
      <c r="H275" s="478"/>
      <c r="I275" s="791">
        <f t="shared" si="47"/>
        <v>172932</v>
      </c>
      <c r="J275" s="480">
        <f>SUM(J271,J264:J266,J260,J256,J252,J246:J248,J242,J238,J234,J225:J227,J221,J217,J213,J209,J199:J201,J195,J191,J185:J187,J181,J177,J173,J146:J148)+J230+J229+J228+J204+J203+J202+J152+J151+J150+J149+J267+J153+J205+J169+J168+J167+J166+J165+J164+J163+J162+J161+J160+J159+J158+J157+J156+J155+J154</f>
        <v>24704</v>
      </c>
      <c r="K275" s="480">
        <f aca="true" t="shared" si="57" ref="K275:Q275">SUM(K271,K264:K266,K260,K256,K252,K246:K248,K242,K238,K234,K225:K227,K221,K217,K213,K209,K199:K201,K195,K191,K185:K187,K181,K177,K173,K146:K148)+K230+K229+K228+K204+K203+K202+K152+K151+K150+K149+K267+K153+K205+K169+K168+K167+K166+K165+K164+K163+K162+K161+K160+K159+K158+K157+K156+K155+K154</f>
        <v>4465</v>
      </c>
      <c r="L275" s="480">
        <f t="shared" si="57"/>
        <v>76686</v>
      </c>
      <c r="M275" s="480">
        <f t="shared" si="57"/>
        <v>0</v>
      </c>
      <c r="N275" s="480">
        <f t="shared" si="57"/>
        <v>0</v>
      </c>
      <c r="O275" s="480">
        <f t="shared" si="57"/>
        <v>28360</v>
      </c>
      <c r="P275" s="480">
        <f t="shared" si="57"/>
        <v>38717</v>
      </c>
      <c r="Q275" s="481">
        <f t="shared" si="57"/>
        <v>0</v>
      </c>
      <c r="R275" s="480"/>
      <c r="S275" s="480"/>
      <c r="T275" s="480"/>
      <c r="U275" s="480"/>
      <c r="V275" s="480"/>
      <c r="W275" s="480"/>
      <c r="X275" s="480"/>
      <c r="Y275" s="480"/>
      <c r="Z275" s="480"/>
      <c r="AA275" s="480"/>
      <c r="AB275" s="480"/>
      <c r="AC275" s="480"/>
      <c r="AD275" s="480"/>
    </row>
    <row r="276" spans="1:30" s="227" customFormat="1" ht="19.5" customHeight="1" thickBot="1">
      <c r="A276" s="207">
        <v>268</v>
      </c>
      <c r="B276" s="803"/>
      <c r="C276" s="804"/>
      <c r="D276" s="802" t="s">
        <v>637</v>
      </c>
      <c r="E276" s="846"/>
      <c r="F276" s="1173"/>
      <c r="G276" s="1173"/>
      <c r="H276" s="806"/>
      <c r="I276" s="807">
        <f t="shared" si="47"/>
        <v>1970231</v>
      </c>
      <c r="J276" s="808">
        <f>SUM(J274:J275)</f>
        <v>749735</v>
      </c>
      <c r="K276" s="808">
        <f aca="true" t="shared" si="58" ref="K276:Q276">SUM(K274:K275)</f>
        <v>187290</v>
      </c>
      <c r="L276" s="808">
        <f t="shared" si="58"/>
        <v>922774</v>
      </c>
      <c r="M276" s="808">
        <f t="shared" si="58"/>
        <v>0</v>
      </c>
      <c r="N276" s="808">
        <f t="shared" si="58"/>
        <v>6172</v>
      </c>
      <c r="O276" s="808">
        <f t="shared" si="58"/>
        <v>59411</v>
      </c>
      <c r="P276" s="808">
        <f t="shared" si="58"/>
        <v>44849</v>
      </c>
      <c r="Q276" s="1049">
        <f t="shared" si="58"/>
        <v>0</v>
      </c>
      <c r="R276" s="326"/>
      <c r="S276" s="326"/>
      <c r="T276" s="326"/>
      <c r="U276" s="326"/>
      <c r="V276" s="326"/>
      <c r="W276" s="326"/>
      <c r="X276" s="326"/>
      <c r="Y276" s="326"/>
      <c r="Z276" s="326"/>
      <c r="AA276" s="326"/>
      <c r="AB276" s="326"/>
      <c r="AC276" s="326"/>
      <c r="AD276" s="326"/>
    </row>
    <row r="277" spans="1:30" s="221" customFormat="1" ht="30" customHeight="1" thickTop="1">
      <c r="A277" s="207">
        <v>269</v>
      </c>
      <c r="B277" s="159">
        <v>16</v>
      </c>
      <c r="C277" s="1178" t="s">
        <v>194</v>
      </c>
      <c r="D277" s="773"/>
      <c r="E277" s="1179" t="s">
        <v>31</v>
      </c>
      <c r="F277" s="462">
        <v>1093476</v>
      </c>
      <c r="G277" s="462">
        <v>1021405</v>
      </c>
      <c r="H277" s="463">
        <v>1164814</v>
      </c>
      <c r="I277" s="815"/>
      <c r="J277" s="482"/>
      <c r="K277" s="482"/>
      <c r="L277" s="482"/>
      <c r="M277" s="482"/>
      <c r="N277" s="482"/>
      <c r="O277" s="482"/>
      <c r="P277" s="482"/>
      <c r="Q277" s="483"/>
      <c r="R277" s="1106"/>
      <c r="S277" s="1106"/>
      <c r="T277" s="1106"/>
      <c r="U277" s="1106"/>
      <c r="V277" s="1106"/>
      <c r="W277" s="1106"/>
      <c r="X277" s="1106"/>
      <c r="Y277" s="1106"/>
      <c r="Z277" s="1106"/>
      <c r="AA277" s="1106"/>
      <c r="AB277" s="1106"/>
      <c r="AC277" s="1106"/>
      <c r="AD277" s="1106"/>
    </row>
    <row r="278" spans="1:30" s="193" customFormat="1" ht="15">
      <c r="A278" s="207">
        <v>270</v>
      </c>
      <c r="B278" s="165"/>
      <c r="C278" s="156"/>
      <c r="D278" s="166" t="s">
        <v>635</v>
      </c>
      <c r="E278" s="211"/>
      <c r="F278" s="468"/>
      <c r="G278" s="468"/>
      <c r="H278" s="469"/>
      <c r="I278" s="790">
        <f t="shared" si="47"/>
        <v>1123075</v>
      </c>
      <c r="J278" s="465">
        <v>260544</v>
      </c>
      <c r="K278" s="465">
        <v>70565</v>
      </c>
      <c r="L278" s="465">
        <v>779346</v>
      </c>
      <c r="M278" s="466"/>
      <c r="N278" s="466">
        <v>5000</v>
      </c>
      <c r="O278" s="466">
        <v>7620</v>
      </c>
      <c r="P278" s="466"/>
      <c r="Q278" s="467"/>
      <c r="R278" s="197"/>
      <c r="S278" s="197"/>
      <c r="T278" s="197"/>
      <c r="U278" s="197"/>
      <c r="V278" s="197"/>
      <c r="W278" s="197"/>
      <c r="X278" s="197"/>
      <c r="Y278" s="197"/>
      <c r="Z278" s="197"/>
      <c r="AA278" s="197"/>
      <c r="AB278" s="197"/>
      <c r="AC278" s="197"/>
      <c r="AD278" s="197"/>
    </row>
    <row r="279" spans="1:30" s="196" customFormat="1" ht="15">
      <c r="A279" s="207">
        <v>271</v>
      </c>
      <c r="B279" s="176"/>
      <c r="C279" s="748"/>
      <c r="D279" s="183" t="s">
        <v>686</v>
      </c>
      <c r="E279" s="786"/>
      <c r="F279" s="787"/>
      <c r="G279" s="787"/>
      <c r="H279" s="478"/>
      <c r="I279" s="791">
        <f t="shared" si="47"/>
        <v>2069</v>
      </c>
      <c r="J279" s="480">
        <v>1629</v>
      </c>
      <c r="K279" s="480">
        <v>440</v>
      </c>
      <c r="L279" s="480"/>
      <c r="M279" s="480"/>
      <c r="N279" s="480"/>
      <c r="O279" s="480"/>
      <c r="P279" s="480"/>
      <c r="Q279" s="481"/>
      <c r="R279" s="480"/>
      <c r="S279" s="480"/>
      <c r="T279" s="480"/>
      <c r="U279" s="480"/>
      <c r="V279" s="480"/>
      <c r="W279" s="480"/>
      <c r="X279" s="480"/>
      <c r="Y279" s="480"/>
      <c r="Z279" s="480"/>
      <c r="AA279" s="480"/>
      <c r="AB279" s="480"/>
      <c r="AC279" s="480"/>
      <c r="AD279" s="480"/>
    </row>
    <row r="280" spans="1:30" s="196" customFormat="1" ht="15">
      <c r="A280" s="207">
        <v>272</v>
      </c>
      <c r="B280" s="176"/>
      <c r="C280" s="748"/>
      <c r="D280" s="183" t="s">
        <v>704</v>
      </c>
      <c r="E280" s="786"/>
      <c r="F280" s="787"/>
      <c r="G280" s="787"/>
      <c r="H280" s="478"/>
      <c r="I280" s="791">
        <f t="shared" si="47"/>
        <v>5221</v>
      </c>
      <c r="J280" s="480">
        <v>2360</v>
      </c>
      <c r="K280" s="480">
        <v>1428</v>
      </c>
      <c r="L280" s="480">
        <v>1206</v>
      </c>
      <c r="M280" s="480"/>
      <c r="N280" s="480"/>
      <c r="O280" s="480">
        <v>227</v>
      </c>
      <c r="P280" s="480"/>
      <c r="Q280" s="481"/>
      <c r="R280" s="480"/>
      <c r="S280" s="480"/>
      <c r="T280" s="480"/>
      <c r="U280" s="480"/>
      <c r="V280" s="480"/>
      <c r="W280" s="480"/>
      <c r="X280" s="480"/>
      <c r="Y280" s="480"/>
      <c r="Z280" s="480"/>
      <c r="AA280" s="480"/>
      <c r="AB280" s="480"/>
      <c r="AC280" s="480"/>
      <c r="AD280" s="480"/>
    </row>
    <row r="281" spans="1:30" s="196" customFormat="1" ht="15">
      <c r="A281" s="207">
        <v>273</v>
      </c>
      <c r="B281" s="176"/>
      <c r="C281" s="748"/>
      <c r="D281" s="183" t="s">
        <v>734</v>
      </c>
      <c r="E281" s="786"/>
      <c r="F281" s="787"/>
      <c r="G281" s="787"/>
      <c r="H281" s="478"/>
      <c r="I281" s="791">
        <f t="shared" si="47"/>
        <v>654</v>
      </c>
      <c r="J281" s="480">
        <v>482</v>
      </c>
      <c r="K281" s="480">
        <v>172</v>
      </c>
      <c r="L281" s="480"/>
      <c r="M281" s="480"/>
      <c r="N281" s="480"/>
      <c r="O281" s="480"/>
      <c r="P281" s="480"/>
      <c r="Q281" s="481"/>
      <c r="R281" s="480"/>
      <c r="S281" s="480"/>
      <c r="T281" s="480"/>
      <c r="U281" s="480"/>
      <c r="V281" s="480"/>
      <c r="W281" s="480"/>
      <c r="X281" s="480"/>
      <c r="Y281" s="480"/>
      <c r="Z281" s="480"/>
      <c r="AA281" s="480"/>
      <c r="AB281" s="480"/>
      <c r="AC281" s="480"/>
      <c r="AD281" s="480"/>
    </row>
    <row r="282" spans="1:30" s="227" customFormat="1" ht="15.75" thickBot="1">
      <c r="A282" s="207">
        <v>274</v>
      </c>
      <c r="B282" s="1101"/>
      <c r="C282" s="1102"/>
      <c r="D282" s="180" t="s">
        <v>637</v>
      </c>
      <c r="E282" s="220"/>
      <c r="F282" s="789"/>
      <c r="G282" s="789"/>
      <c r="H282" s="485"/>
      <c r="I282" s="464">
        <f t="shared" si="47"/>
        <v>1131019</v>
      </c>
      <c r="J282" s="326">
        <f>SUM(J278:J281)</f>
        <v>265015</v>
      </c>
      <c r="K282" s="326">
        <f aca="true" t="shared" si="59" ref="K282:Q282">SUM(K278:K281)</f>
        <v>72605</v>
      </c>
      <c r="L282" s="326">
        <f t="shared" si="59"/>
        <v>780552</v>
      </c>
      <c r="M282" s="326">
        <f t="shared" si="59"/>
        <v>0</v>
      </c>
      <c r="N282" s="326">
        <f t="shared" si="59"/>
        <v>5000</v>
      </c>
      <c r="O282" s="326">
        <f t="shared" si="59"/>
        <v>7847</v>
      </c>
      <c r="P282" s="326">
        <f t="shared" si="59"/>
        <v>0</v>
      </c>
      <c r="Q282" s="491">
        <f t="shared" si="59"/>
        <v>0</v>
      </c>
      <c r="R282" s="326"/>
      <c r="S282" s="326"/>
      <c r="T282" s="326"/>
      <c r="U282" s="326"/>
      <c r="V282" s="326"/>
      <c r="W282" s="326"/>
      <c r="X282" s="326"/>
      <c r="Y282" s="326"/>
      <c r="Z282" s="326"/>
      <c r="AA282" s="326"/>
      <c r="AB282" s="326"/>
      <c r="AC282" s="326"/>
      <c r="AD282" s="326"/>
    </row>
    <row r="283" spans="1:30" s="186" customFormat="1" ht="36" customHeight="1">
      <c r="A283" s="212">
        <v>275</v>
      </c>
      <c r="B283" s="1107"/>
      <c r="C283" s="818"/>
      <c r="D283" s="819" t="s">
        <v>422</v>
      </c>
      <c r="E283" s="820"/>
      <c r="F283" s="488">
        <f>SUM(F104,F140,F273,F277)</f>
        <v>4785013</v>
      </c>
      <c r="G283" s="488">
        <f>SUM(G104,G140,G273,G277)</f>
        <v>4798951</v>
      </c>
      <c r="H283" s="489">
        <f>SUM(H104,H140,H273,H277)</f>
        <v>5332819</v>
      </c>
      <c r="I283" s="821"/>
      <c r="J283" s="822"/>
      <c r="K283" s="822"/>
      <c r="L283" s="822"/>
      <c r="M283" s="823"/>
      <c r="N283" s="823"/>
      <c r="O283" s="823"/>
      <c r="P283" s="823"/>
      <c r="Q283" s="824"/>
      <c r="R283" s="458"/>
      <c r="S283" s="458"/>
      <c r="T283" s="458"/>
      <c r="U283" s="458"/>
      <c r="V283" s="458"/>
      <c r="W283" s="458"/>
      <c r="X283" s="458"/>
      <c r="Y283" s="458"/>
      <c r="Z283" s="458"/>
      <c r="AA283" s="458"/>
      <c r="AB283" s="458"/>
      <c r="AC283" s="458"/>
      <c r="AD283" s="458"/>
    </row>
    <row r="284" spans="1:30" s="193" customFormat="1" ht="15">
      <c r="A284" s="207">
        <v>276</v>
      </c>
      <c r="B284" s="165"/>
      <c r="C284" s="156"/>
      <c r="D284" s="213" t="s">
        <v>635</v>
      </c>
      <c r="E284" s="1100"/>
      <c r="F284" s="1171"/>
      <c r="G284" s="1171"/>
      <c r="H284" s="469"/>
      <c r="I284" s="790">
        <f t="shared" si="47"/>
        <v>5031537</v>
      </c>
      <c r="J284" s="197">
        <f aca="true" t="shared" si="60" ref="J284:Q284">SUM(J105,J141,J274,J278)</f>
        <v>2303744</v>
      </c>
      <c r="K284" s="197">
        <f t="shared" si="60"/>
        <v>619855</v>
      </c>
      <c r="L284" s="197">
        <f t="shared" si="60"/>
        <v>2031452</v>
      </c>
      <c r="M284" s="197">
        <f t="shared" si="60"/>
        <v>0</v>
      </c>
      <c r="N284" s="197">
        <f t="shared" si="60"/>
        <v>23755</v>
      </c>
      <c r="O284" s="197">
        <f t="shared" si="60"/>
        <v>46599</v>
      </c>
      <c r="P284" s="197">
        <f t="shared" si="60"/>
        <v>6132</v>
      </c>
      <c r="Q284" s="470">
        <f t="shared" si="60"/>
        <v>0</v>
      </c>
      <c r="R284" s="197"/>
      <c r="S284" s="197"/>
      <c r="T284" s="197"/>
      <c r="U284" s="197"/>
      <c r="V284" s="197"/>
      <c r="W284" s="197"/>
      <c r="X284" s="197"/>
      <c r="Y284" s="197"/>
      <c r="Z284" s="197"/>
      <c r="AA284" s="197"/>
      <c r="AB284" s="197"/>
      <c r="AC284" s="197"/>
      <c r="AD284" s="197"/>
    </row>
    <row r="285" spans="1:30" s="196" customFormat="1" ht="36" customHeight="1">
      <c r="A285" s="210">
        <v>277</v>
      </c>
      <c r="B285" s="176"/>
      <c r="C285" s="748"/>
      <c r="D285" s="793" t="s">
        <v>1149</v>
      </c>
      <c r="E285" s="838"/>
      <c r="F285" s="1172"/>
      <c r="G285" s="1172"/>
      <c r="H285" s="478"/>
      <c r="I285" s="791">
        <f t="shared" si="47"/>
        <v>330358</v>
      </c>
      <c r="J285" s="480">
        <f aca="true" t="shared" si="61" ref="J285:Q285">SUM(J279:J281,J275,J142,J106)</f>
        <v>93697</v>
      </c>
      <c r="K285" s="480">
        <f t="shared" si="61"/>
        <v>28500</v>
      </c>
      <c r="L285" s="480">
        <f t="shared" si="61"/>
        <v>100615</v>
      </c>
      <c r="M285" s="480">
        <f t="shared" si="61"/>
        <v>0</v>
      </c>
      <c r="N285" s="480">
        <f t="shared" si="61"/>
        <v>500</v>
      </c>
      <c r="O285" s="480">
        <f t="shared" si="61"/>
        <v>68329</v>
      </c>
      <c r="P285" s="480">
        <f t="shared" si="61"/>
        <v>38717</v>
      </c>
      <c r="Q285" s="481">
        <f t="shared" si="61"/>
        <v>0</v>
      </c>
      <c r="R285" s="480"/>
      <c r="S285" s="480"/>
      <c r="T285" s="480"/>
      <c r="U285" s="480"/>
      <c r="V285" s="480"/>
      <c r="W285" s="480"/>
      <c r="X285" s="480"/>
      <c r="Y285" s="480"/>
      <c r="Z285" s="480"/>
      <c r="AA285" s="480"/>
      <c r="AB285" s="480"/>
      <c r="AC285" s="480"/>
      <c r="AD285" s="480"/>
    </row>
    <row r="286" spans="1:30" s="227" customFormat="1" ht="15.75" thickBot="1">
      <c r="A286" s="207">
        <v>278</v>
      </c>
      <c r="B286" s="825"/>
      <c r="C286" s="826"/>
      <c r="D286" s="827" t="s">
        <v>637</v>
      </c>
      <c r="E286" s="840"/>
      <c r="F286" s="1180"/>
      <c r="G286" s="1180"/>
      <c r="H286" s="828"/>
      <c r="I286" s="829">
        <f t="shared" si="47"/>
        <v>5361895</v>
      </c>
      <c r="J286" s="830">
        <f>SUM(J284:J285)</f>
        <v>2397441</v>
      </c>
      <c r="K286" s="830">
        <f aca="true" t="shared" si="62" ref="K286:Q286">SUM(K284:K285)</f>
        <v>648355</v>
      </c>
      <c r="L286" s="830">
        <f t="shared" si="62"/>
        <v>2132067</v>
      </c>
      <c r="M286" s="830">
        <f t="shared" si="62"/>
        <v>0</v>
      </c>
      <c r="N286" s="830">
        <f t="shared" si="62"/>
        <v>24255</v>
      </c>
      <c r="O286" s="830">
        <f t="shared" si="62"/>
        <v>114928</v>
      </c>
      <c r="P286" s="830">
        <f t="shared" si="62"/>
        <v>44849</v>
      </c>
      <c r="Q286" s="831">
        <f t="shared" si="62"/>
        <v>0</v>
      </c>
      <c r="R286" s="326"/>
      <c r="S286" s="326"/>
      <c r="T286" s="326"/>
      <c r="U286" s="326"/>
      <c r="V286" s="326"/>
      <c r="W286" s="326"/>
      <c r="X286" s="326"/>
      <c r="Y286" s="326"/>
      <c r="Z286" s="326"/>
      <c r="AA286" s="326"/>
      <c r="AB286" s="326"/>
      <c r="AC286" s="326"/>
      <c r="AD286" s="326"/>
    </row>
    <row r="287" spans="1:30" s="774" customFormat="1" ht="25.5" customHeight="1">
      <c r="A287" s="207">
        <v>279</v>
      </c>
      <c r="B287" s="159">
        <v>17</v>
      </c>
      <c r="C287" s="1407" t="s">
        <v>120</v>
      </c>
      <c r="D287" s="1407"/>
      <c r="E287" s="1134" t="s">
        <v>31</v>
      </c>
      <c r="F287" s="1181"/>
      <c r="G287" s="1181"/>
      <c r="H287" s="1181"/>
      <c r="I287" s="1182"/>
      <c r="J287" s="1183"/>
      <c r="K287" s="1183"/>
      <c r="L287" s="1183"/>
      <c r="M287" s="1183"/>
      <c r="N287" s="1183"/>
      <c r="O287" s="1183"/>
      <c r="P287" s="1183"/>
      <c r="Q287" s="1184"/>
      <c r="R287" s="1106"/>
      <c r="S287" s="1185"/>
      <c r="T287" s="1185"/>
      <c r="U287" s="1185"/>
      <c r="V287" s="1185"/>
      <c r="W287" s="1185"/>
      <c r="X287" s="1185"/>
      <c r="Y287" s="1185"/>
      <c r="Z287" s="1185"/>
      <c r="AA287" s="1185"/>
      <c r="AB287" s="1185"/>
      <c r="AC287" s="1185"/>
      <c r="AD287" s="1185"/>
    </row>
    <row r="288" spans="1:30" s="221" customFormat="1" ht="19.5" customHeight="1">
      <c r="A288" s="207">
        <v>280</v>
      </c>
      <c r="B288" s="159"/>
      <c r="C288" s="160">
        <v>1</v>
      </c>
      <c r="D288" s="1098" t="s">
        <v>423</v>
      </c>
      <c r="E288" s="224"/>
      <c r="F288" s="462">
        <v>1061858</v>
      </c>
      <c r="G288" s="462">
        <v>1093581</v>
      </c>
      <c r="H288" s="463">
        <v>1075957</v>
      </c>
      <c r="I288" s="815"/>
      <c r="J288" s="209"/>
      <c r="K288" s="209"/>
      <c r="L288" s="209"/>
      <c r="M288" s="209"/>
      <c r="N288" s="209"/>
      <c r="O288" s="209"/>
      <c r="P288" s="209"/>
      <c r="Q288" s="1048"/>
      <c r="R288" s="1106"/>
      <c r="S288" s="1106"/>
      <c r="T288" s="1106"/>
      <c r="U288" s="1106"/>
      <c r="V288" s="1106"/>
      <c r="W288" s="1106"/>
      <c r="X288" s="1106"/>
      <c r="Y288" s="1106"/>
      <c r="Z288" s="1106"/>
      <c r="AA288" s="1106"/>
      <c r="AB288" s="1106"/>
      <c r="AC288" s="1106"/>
      <c r="AD288" s="1106"/>
    </row>
    <row r="289" spans="1:30" s="193" customFormat="1" ht="15">
      <c r="A289" s="207">
        <v>281</v>
      </c>
      <c r="B289" s="165"/>
      <c r="C289" s="156"/>
      <c r="D289" s="1100" t="s">
        <v>635</v>
      </c>
      <c r="E289" s="213"/>
      <c r="F289" s="471"/>
      <c r="G289" s="471"/>
      <c r="H289" s="469"/>
      <c r="I289" s="790">
        <f>SUM(J289:Q289)</f>
        <v>1145082</v>
      </c>
      <c r="J289" s="197">
        <v>857468</v>
      </c>
      <c r="K289" s="197">
        <v>241100</v>
      </c>
      <c r="L289" s="197">
        <v>46514</v>
      </c>
      <c r="M289" s="197"/>
      <c r="N289" s="197"/>
      <c r="O289" s="197"/>
      <c r="P289" s="197"/>
      <c r="Q289" s="470"/>
      <c r="R289" s="197"/>
      <c r="S289" s="197"/>
      <c r="T289" s="197"/>
      <c r="U289" s="197"/>
      <c r="V289" s="197"/>
      <c r="W289" s="197"/>
      <c r="X289" s="197"/>
      <c r="Y289" s="197"/>
      <c r="Z289" s="197"/>
      <c r="AA289" s="197"/>
      <c r="AB289" s="197"/>
      <c r="AC289" s="197"/>
      <c r="AD289" s="197"/>
    </row>
    <row r="290" spans="1:30" s="196" customFormat="1" ht="15">
      <c r="A290" s="207">
        <v>282</v>
      </c>
      <c r="B290" s="176"/>
      <c r="C290" s="748"/>
      <c r="D290" s="838" t="s">
        <v>686</v>
      </c>
      <c r="E290" s="793"/>
      <c r="F290" s="794"/>
      <c r="G290" s="794"/>
      <c r="H290" s="478"/>
      <c r="I290" s="791">
        <f aca="true" t="shared" si="63" ref="I290:I355">SUM(J290:Q290)</f>
        <v>2143</v>
      </c>
      <c r="J290" s="480">
        <v>1687</v>
      </c>
      <c r="K290" s="480">
        <v>456</v>
      </c>
      <c r="L290" s="480"/>
      <c r="M290" s="480"/>
      <c r="N290" s="480"/>
      <c r="O290" s="480"/>
      <c r="P290" s="480"/>
      <c r="Q290" s="481"/>
      <c r="R290" s="480"/>
      <c r="S290" s="480"/>
      <c r="T290" s="480"/>
      <c r="U290" s="480"/>
      <c r="V290" s="480"/>
      <c r="W290" s="480"/>
      <c r="X290" s="480"/>
      <c r="Y290" s="480"/>
      <c r="Z290" s="480"/>
      <c r="AA290" s="480"/>
      <c r="AB290" s="480"/>
      <c r="AC290" s="480"/>
      <c r="AD290" s="480"/>
    </row>
    <row r="291" spans="1:30" s="196" customFormat="1" ht="15">
      <c r="A291" s="207">
        <v>283</v>
      </c>
      <c r="B291" s="176"/>
      <c r="C291" s="748"/>
      <c r="D291" s="838" t="s">
        <v>704</v>
      </c>
      <c r="E291" s="793"/>
      <c r="F291" s="794"/>
      <c r="G291" s="794"/>
      <c r="H291" s="478"/>
      <c r="I291" s="791">
        <f t="shared" si="63"/>
        <v>57383</v>
      </c>
      <c r="J291" s="480">
        <v>45183</v>
      </c>
      <c r="K291" s="480">
        <v>12200</v>
      </c>
      <c r="L291" s="480"/>
      <c r="M291" s="480"/>
      <c r="N291" s="480"/>
      <c r="O291" s="480"/>
      <c r="P291" s="480"/>
      <c r="Q291" s="481"/>
      <c r="R291" s="480"/>
      <c r="S291" s="480"/>
      <c r="T291" s="480"/>
      <c r="U291" s="480"/>
      <c r="V291" s="480"/>
      <c r="W291" s="480"/>
      <c r="X291" s="480"/>
      <c r="Y291" s="480"/>
      <c r="Z291" s="480"/>
      <c r="AA291" s="480"/>
      <c r="AB291" s="480"/>
      <c r="AC291" s="480"/>
      <c r="AD291" s="480"/>
    </row>
    <row r="292" spans="1:30" s="227" customFormat="1" ht="15">
      <c r="A292" s="207">
        <v>284</v>
      </c>
      <c r="B292" s="1101"/>
      <c r="C292" s="1102"/>
      <c r="D292" s="839" t="s">
        <v>637</v>
      </c>
      <c r="E292" s="795"/>
      <c r="F292" s="796"/>
      <c r="G292" s="796"/>
      <c r="H292" s="485"/>
      <c r="I292" s="464">
        <f t="shared" si="63"/>
        <v>1204608</v>
      </c>
      <c r="J292" s="326">
        <f>SUM(J289:J291)</f>
        <v>904338</v>
      </c>
      <c r="K292" s="326">
        <f aca="true" t="shared" si="64" ref="K292:Q292">SUM(K289:K291)</f>
        <v>253756</v>
      </c>
      <c r="L292" s="326">
        <f t="shared" si="64"/>
        <v>46514</v>
      </c>
      <c r="M292" s="326">
        <f t="shared" si="64"/>
        <v>0</v>
      </c>
      <c r="N292" s="326">
        <f t="shared" si="64"/>
        <v>0</v>
      </c>
      <c r="O292" s="326">
        <f t="shared" si="64"/>
        <v>0</v>
      </c>
      <c r="P292" s="326">
        <f t="shared" si="64"/>
        <v>0</v>
      </c>
      <c r="Q292" s="491">
        <f t="shared" si="64"/>
        <v>0</v>
      </c>
      <c r="R292" s="326"/>
      <c r="S292" s="326"/>
      <c r="T292" s="326"/>
      <c r="U292" s="326"/>
      <c r="V292" s="326"/>
      <c r="W292" s="326"/>
      <c r="X292" s="326"/>
      <c r="Y292" s="326"/>
      <c r="Z292" s="326"/>
      <c r="AA292" s="326"/>
      <c r="AB292" s="326"/>
      <c r="AC292" s="326"/>
      <c r="AD292" s="326"/>
    </row>
    <row r="293" spans="1:30" s="221" customFormat="1" ht="19.5" customHeight="1">
      <c r="A293" s="207">
        <v>285</v>
      </c>
      <c r="B293" s="159"/>
      <c r="C293" s="160">
        <v>2</v>
      </c>
      <c r="D293" s="1098" t="s">
        <v>424</v>
      </c>
      <c r="E293" s="224"/>
      <c r="F293" s="462"/>
      <c r="G293" s="462">
        <v>9173</v>
      </c>
      <c r="H293" s="463">
        <v>11753</v>
      </c>
      <c r="I293" s="815"/>
      <c r="J293" s="466"/>
      <c r="K293" s="466"/>
      <c r="L293" s="466"/>
      <c r="M293" s="466"/>
      <c r="N293" s="466"/>
      <c r="O293" s="466"/>
      <c r="P293" s="466"/>
      <c r="Q293" s="467"/>
      <c r="R293" s="1106"/>
      <c r="S293" s="1106"/>
      <c r="T293" s="1106"/>
      <c r="U293" s="1106"/>
      <c r="V293" s="1106"/>
      <c r="W293" s="1106"/>
      <c r="X293" s="1106"/>
      <c r="Y293" s="1106"/>
      <c r="Z293" s="1106"/>
      <c r="AA293" s="1106"/>
      <c r="AB293" s="1106"/>
      <c r="AC293" s="1106"/>
      <c r="AD293" s="1106"/>
    </row>
    <row r="294" spans="1:30" s="193" customFormat="1" ht="15">
      <c r="A294" s="207">
        <v>286</v>
      </c>
      <c r="B294" s="165"/>
      <c r="C294" s="156"/>
      <c r="D294" s="1100" t="s">
        <v>635</v>
      </c>
      <c r="E294" s="213"/>
      <c r="F294" s="471"/>
      <c r="G294" s="471"/>
      <c r="H294" s="469"/>
      <c r="I294" s="790">
        <f t="shared" si="63"/>
        <v>0</v>
      </c>
      <c r="J294" s="197"/>
      <c r="K294" s="197"/>
      <c r="L294" s="197"/>
      <c r="M294" s="197"/>
      <c r="N294" s="197"/>
      <c r="O294" s="197"/>
      <c r="P294" s="197"/>
      <c r="Q294" s="470"/>
      <c r="R294" s="197"/>
      <c r="S294" s="197"/>
      <c r="T294" s="197"/>
      <c r="U294" s="197"/>
      <c r="V294" s="197"/>
      <c r="W294" s="197"/>
      <c r="X294" s="197"/>
      <c r="Y294" s="197"/>
      <c r="Z294" s="197"/>
      <c r="AA294" s="197"/>
      <c r="AB294" s="197"/>
      <c r="AC294" s="197"/>
      <c r="AD294" s="197"/>
    </row>
    <row r="295" spans="1:30" s="196" customFormat="1" ht="15">
      <c r="A295" s="207">
        <v>287</v>
      </c>
      <c r="B295" s="176"/>
      <c r="C295" s="748"/>
      <c r="D295" s="838" t="s">
        <v>636</v>
      </c>
      <c r="E295" s="793"/>
      <c r="F295" s="794"/>
      <c r="G295" s="794"/>
      <c r="H295" s="478"/>
      <c r="I295" s="791">
        <f t="shared" si="63"/>
        <v>0</v>
      </c>
      <c r="J295" s="480"/>
      <c r="K295" s="480"/>
      <c r="L295" s="480"/>
      <c r="M295" s="480"/>
      <c r="N295" s="480"/>
      <c r="O295" s="480"/>
      <c r="P295" s="480"/>
      <c r="Q295" s="481"/>
      <c r="R295" s="480"/>
      <c r="S295" s="480"/>
      <c r="T295" s="480"/>
      <c r="U295" s="480"/>
      <c r="V295" s="480"/>
      <c r="W295" s="480"/>
      <c r="X295" s="480"/>
      <c r="Y295" s="480"/>
      <c r="Z295" s="480"/>
      <c r="AA295" s="480"/>
      <c r="AB295" s="480"/>
      <c r="AC295" s="480"/>
      <c r="AD295" s="480"/>
    </row>
    <row r="296" spans="1:30" s="227" customFormat="1" ht="15">
      <c r="A296" s="207">
        <v>288</v>
      </c>
      <c r="B296" s="1101"/>
      <c r="C296" s="1102"/>
      <c r="D296" s="839" t="s">
        <v>637</v>
      </c>
      <c r="E296" s="795"/>
      <c r="F296" s="796"/>
      <c r="G296" s="796"/>
      <c r="H296" s="485"/>
      <c r="I296" s="464">
        <f t="shared" si="63"/>
        <v>0</v>
      </c>
      <c r="J296" s="326">
        <f>SUM(J294:J295)</f>
        <v>0</v>
      </c>
      <c r="K296" s="326">
        <f aca="true" t="shared" si="65" ref="K296:Q296">SUM(K294:K295)</f>
        <v>0</v>
      </c>
      <c r="L296" s="326">
        <f t="shared" si="65"/>
        <v>0</v>
      </c>
      <c r="M296" s="326">
        <f t="shared" si="65"/>
        <v>0</v>
      </c>
      <c r="N296" s="326">
        <f t="shared" si="65"/>
        <v>0</v>
      </c>
      <c r="O296" s="326">
        <f t="shared" si="65"/>
        <v>0</v>
      </c>
      <c r="P296" s="326">
        <f t="shared" si="65"/>
        <v>0</v>
      </c>
      <c r="Q296" s="491">
        <f t="shared" si="65"/>
        <v>0</v>
      </c>
      <c r="R296" s="326"/>
      <c r="S296" s="326"/>
      <c r="T296" s="326"/>
      <c r="U296" s="326"/>
      <c r="V296" s="326"/>
      <c r="W296" s="326"/>
      <c r="X296" s="326"/>
      <c r="Y296" s="326"/>
      <c r="Z296" s="326"/>
      <c r="AA296" s="326"/>
      <c r="AB296" s="326"/>
      <c r="AC296" s="326"/>
      <c r="AD296" s="326"/>
    </row>
    <row r="297" spans="1:30" s="221" customFormat="1" ht="19.5" customHeight="1">
      <c r="A297" s="207">
        <v>289</v>
      </c>
      <c r="B297" s="159"/>
      <c r="C297" s="160">
        <v>3</v>
      </c>
      <c r="D297" s="1404" t="s">
        <v>425</v>
      </c>
      <c r="E297" s="1404"/>
      <c r="F297" s="1404"/>
      <c r="G297" s="462"/>
      <c r="H297" s="463">
        <v>10933</v>
      </c>
      <c r="I297" s="815"/>
      <c r="J297" s="466"/>
      <c r="K297" s="466"/>
      <c r="L297" s="466"/>
      <c r="M297" s="466"/>
      <c r="N297" s="466"/>
      <c r="O297" s="466"/>
      <c r="P297" s="466"/>
      <c r="Q297" s="467"/>
      <c r="R297" s="1106"/>
      <c r="S297" s="1106"/>
      <c r="T297" s="1106"/>
      <c r="U297" s="1106"/>
      <c r="V297" s="1106"/>
      <c r="W297" s="1106"/>
      <c r="X297" s="1106"/>
      <c r="Y297" s="1106"/>
      <c r="Z297" s="1106"/>
      <c r="AA297" s="1106"/>
      <c r="AB297" s="1106"/>
      <c r="AC297" s="1106"/>
      <c r="AD297" s="1106"/>
    </row>
    <row r="298" spans="1:30" s="193" customFormat="1" ht="15">
      <c r="A298" s="207">
        <v>290</v>
      </c>
      <c r="B298" s="165"/>
      <c r="C298" s="156"/>
      <c r="D298" s="1100" t="s">
        <v>635</v>
      </c>
      <c r="E298" s="213"/>
      <c r="F298" s="471"/>
      <c r="G298" s="471"/>
      <c r="H298" s="469"/>
      <c r="I298" s="790">
        <f t="shared" si="63"/>
        <v>0</v>
      </c>
      <c r="J298" s="197"/>
      <c r="K298" s="197"/>
      <c r="L298" s="197"/>
      <c r="M298" s="197"/>
      <c r="N298" s="197"/>
      <c r="O298" s="197"/>
      <c r="P298" s="197"/>
      <c r="Q298" s="470"/>
      <c r="R298" s="197"/>
      <c r="S298" s="197"/>
      <c r="T298" s="197"/>
      <c r="U298" s="197"/>
      <c r="V298" s="197"/>
      <c r="W298" s="197"/>
      <c r="X298" s="197"/>
      <c r="Y298" s="197"/>
      <c r="Z298" s="197"/>
      <c r="AA298" s="197"/>
      <c r="AB298" s="197"/>
      <c r="AC298" s="197"/>
      <c r="AD298" s="197"/>
    </row>
    <row r="299" spans="1:30" s="196" customFormat="1" ht="15">
      <c r="A299" s="207">
        <v>291</v>
      </c>
      <c r="B299" s="176"/>
      <c r="C299" s="748"/>
      <c r="D299" s="838" t="s">
        <v>636</v>
      </c>
      <c r="E299" s="793"/>
      <c r="F299" s="794"/>
      <c r="G299" s="794"/>
      <c r="H299" s="478"/>
      <c r="I299" s="791">
        <f t="shared" si="63"/>
        <v>0</v>
      </c>
      <c r="J299" s="480"/>
      <c r="K299" s="480"/>
      <c r="L299" s="480"/>
      <c r="M299" s="480"/>
      <c r="N299" s="480"/>
      <c r="O299" s="480"/>
      <c r="P299" s="480"/>
      <c r="Q299" s="481"/>
      <c r="R299" s="480"/>
      <c r="S299" s="480"/>
      <c r="T299" s="480"/>
      <c r="U299" s="480"/>
      <c r="V299" s="480"/>
      <c r="W299" s="480"/>
      <c r="X299" s="480"/>
      <c r="Y299" s="480"/>
      <c r="Z299" s="480"/>
      <c r="AA299" s="480"/>
      <c r="AB299" s="480"/>
      <c r="AC299" s="480"/>
      <c r="AD299" s="480"/>
    </row>
    <row r="300" spans="1:30" s="227" customFormat="1" ht="15">
      <c r="A300" s="207">
        <v>292</v>
      </c>
      <c r="B300" s="1101"/>
      <c r="C300" s="1102"/>
      <c r="D300" s="839" t="s">
        <v>637</v>
      </c>
      <c r="E300" s="795"/>
      <c r="F300" s="796"/>
      <c r="G300" s="796"/>
      <c r="H300" s="485"/>
      <c r="I300" s="464">
        <f t="shared" si="63"/>
        <v>0</v>
      </c>
      <c r="J300" s="326">
        <f>SUM(J298:J299)</f>
        <v>0</v>
      </c>
      <c r="K300" s="326">
        <f aca="true" t="shared" si="66" ref="K300:Q300">SUM(K298:K299)</f>
        <v>0</v>
      </c>
      <c r="L300" s="326">
        <f t="shared" si="66"/>
        <v>0</v>
      </c>
      <c r="M300" s="326">
        <f t="shared" si="66"/>
        <v>0</v>
      </c>
      <c r="N300" s="326">
        <f t="shared" si="66"/>
        <v>0</v>
      </c>
      <c r="O300" s="326">
        <f t="shared" si="66"/>
        <v>0</v>
      </c>
      <c r="P300" s="326">
        <f t="shared" si="66"/>
        <v>0</v>
      </c>
      <c r="Q300" s="491">
        <f t="shared" si="66"/>
        <v>0</v>
      </c>
      <c r="R300" s="326"/>
      <c r="S300" s="326"/>
      <c r="T300" s="326"/>
      <c r="U300" s="326"/>
      <c r="V300" s="326"/>
      <c r="W300" s="326"/>
      <c r="X300" s="326"/>
      <c r="Y300" s="326"/>
      <c r="Z300" s="326"/>
      <c r="AA300" s="326"/>
      <c r="AB300" s="326"/>
      <c r="AC300" s="326"/>
      <c r="AD300" s="326"/>
    </row>
    <row r="301" spans="1:30" s="221" customFormat="1" ht="19.5" customHeight="1">
      <c r="A301" s="207">
        <v>293</v>
      </c>
      <c r="B301" s="159"/>
      <c r="C301" s="160">
        <v>4</v>
      </c>
      <c r="D301" s="1098" t="s">
        <v>426</v>
      </c>
      <c r="E301" s="224"/>
      <c r="F301" s="462"/>
      <c r="G301" s="462"/>
      <c r="H301" s="463">
        <v>10350</v>
      </c>
      <c r="I301" s="815"/>
      <c r="J301" s="466"/>
      <c r="K301" s="466"/>
      <c r="L301" s="466"/>
      <c r="M301" s="466"/>
      <c r="N301" s="466"/>
      <c r="O301" s="466"/>
      <c r="P301" s="466"/>
      <c r="Q301" s="467"/>
      <c r="R301" s="1106"/>
      <c r="S301" s="1106"/>
      <c r="T301" s="1106"/>
      <c r="U301" s="1106"/>
      <c r="V301" s="1106"/>
      <c r="W301" s="1106"/>
      <c r="X301" s="1106"/>
      <c r="Y301" s="1106"/>
      <c r="Z301" s="1106"/>
      <c r="AA301" s="1106"/>
      <c r="AB301" s="1106"/>
      <c r="AC301" s="1106"/>
      <c r="AD301" s="1106"/>
    </row>
    <row r="302" spans="1:30" s="193" customFormat="1" ht="15">
      <c r="A302" s="207">
        <v>294</v>
      </c>
      <c r="B302" s="165"/>
      <c r="C302" s="156"/>
      <c r="D302" s="1100" t="s">
        <v>635</v>
      </c>
      <c r="E302" s="213"/>
      <c r="F302" s="471"/>
      <c r="G302" s="471"/>
      <c r="H302" s="469"/>
      <c r="I302" s="790">
        <f t="shared" si="63"/>
        <v>0</v>
      </c>
      <c r="J302" s="197"/>
      <c r="K302" s="197"/>
      <c r="L302" s="197"/>
      <c r="M302" s="197"/>
      <c r="N302" s="197"/>
      <c r="O302" s="197"/>
      <c r="P302" s="197"/>
      <c r="Q302" s="470"/>
      <c r="R302" s="197"/>
      <c r="S302" s="197"/>
      <c r="T302" s="197"/>
      <c r="U302" s="197"/>
      <c r="V302" s="197"/>
      <c r="W302" s="197"/>
      <c r="X302" s="197"/>
      <c r="Y302" s="197"/>
      <c r="Z302" s="197"/>
      <c r="AA302" s="197"/>
      <c r="AB302" s="197"/>
      <c r="AC302" s="197"/>
      <c r="AD302" s="197"/>
    </row>
    <row r="303" spans="1:30" s="196" customFormat="1" ht="15">
      <c r="A303" s="207">
        <v>295</v>
      </c>
      <c r="B303" s="176"/>
      <c r="C303" s="748"/>
      <c r="D303" s="838" t="s">
        <v>636</v>
      </c>
      <c r="E303" s="793"/>
      <c r="F303" s="794"/>
      <c r="G303" s="794"/>
      <c r="H303" s="478"/>
      <c r="I303" s="791">
        <f t="shared" si="63"/>
        <v>0</v>
      </c>
      <c r="J303" s="480"/>
      <c r="K303" s="480"/>
      <c r="L303" s="480"/>
      <c r="M303" s="480"/>
      <c r="N303" s="480"/>
      <c r="O303" s="480"/>
      <c r="P303" s="480"/>
      <c r="Q303" s="481"/>
      <c r="R303" s="480"/>
      <c r="S303" s="480"/>
      <c r="T303" s="480"/>
      <c r="U303" s="480"/>
      <c r="V303" s="480"/>
      <c r="W303" s="480"/>
      <c r="X303" s="480"/>
      <c r="Y303" s="480"/>
      <c r="Z303" s="480"/>
      <c r="AA303" s="480"/>
      <c r="AB303" s="480"/>
      <c r="AC303" s="480"/>
      <c r="AD303" s="480"/>
    </row>
    <row r="304" spans="1:30" s="227" customFormat="1" ht="15">
      <c r="A304" s="207">
        <v>296</v>
      </c>
      <c r="B304" s="1101"/>
      <c r="C304" s="1102"/>
      <c r="D304" s="839" t="s">
        <v>637</v>
      </c>
      <c r="E304" s="795"/>
      <c r="F304" s="796"/>
      <c r="G304" s="796"/>
      <c r="H304" s="485"/>
      <c r="I304" s="464">
        <f t="shared" si="63"/>
        <v>0</v>
      </c>
      <c r="J304" s="326">
        <f>SUM(J302:J303)</f>
        <v>0</v>
      </c>
      <c r="K304" s="326">
        <f aca="true" t="shared" si="67" ref="K304:Q304">SUM(K302:K303)</f>
        <v>0</v>
      </c>
      <c r="L304" s="326">
        <f t="shared" si="67"/>
        <v>0</v>
      </c>
      <c r="M304" s="326">
        <f t="shared" si="67"/>
        <v>0</v>
      </c>
      <c r="N304" s="326">
        <f t="shared" si="67"/>
        <v>0</v>
      </c>
      <c r="O304" s="326">
        <f t="shared" si="67"/>
        <v>0</v>
      </c>
      <c r="P304" s="326">
        <f t="shared" si="67"/>
        <v>0</v>
      </c>
      <c r="Q304" s="491">
        <f t="shared" si="67"/>
        <v>0</v>
      </c>
      <c r="R304" s="326"/>
      <c r="S304" s="326"/>
      <c r="T304" s="326"/>
      <c r="U304" s="326"/>
      <c r="V304" s="326"/>
      <c r="W304" s="326"/>
      <c r="X304" s="326"/>
      <c r="Y304" s="326"/>
      <c r="Z304" s="326"/>
      <c r="AA304" s="326"/>
      <c r="AB304" s="326"/>
      <c r="AC304" s="326"/>
      <c r="AD304" s="326"/>
    </row>
    <row r="305" spans="1:30" s="221" customFormat="1" ht="19.5" customHeight="1">
      <c r="A305" s="207">
        <v>297</v>
      </c>
      <c r="B305" s="159"/>
      <c r="C305" s="160">
        <v>5</v>
      </c>
      <c r="D305" s="1098" t="s">
        <v>1167</v>
      </c>
      <c r="E305" s="224"/>
      <c r="F305" s="462"/>
      <c r="G305" s="462"/>
      <c r="H305" s="463"/>
      <c r="I305" s="815"/>
      <c r="J305" s="466"/>
      <c r="K305" s="466"/>
      <c r="L305" s="466"/>
      <c r="M305" s="466"/>
      <c r="N305" s="466"/>
      <c r="O305" s="466"/>
      <c r="P305" s="466"/>
      <c r="Q305" s="467"/>
      <c r="R305" s="1106"/>
      <c r="S305" s="1106"/>
      <c r="T305" s="1106"/>
      <c r="U305" s="1106"/>
      <c r="V305" s="1106"/>
      <c r="W305" s="1106"/>
      <c r="X305" s="1106"/>
      <c r="Y305" s="1106"/>
      <c r="Z305" s="1106"/>
      <c r="AA305" s="1106"/>
      <c r="AB305" s="1106"/>
      <c r="AC305" s="1106"/>
      <c r="AD305" s="1106"/>
    </row>
    <row r="306" spans="1:30" s="193" customFormat="1" ht="15">
      <c r="A306" s="207">
        <v>298</v>
      </c>
      <c r="B306" s="165"/>
      <c r="C306" s="156"/>
      <c r="D306" s="1100" t="s">
        <v>635</v>
      </c>
      <c r="E306" s="213"/>
      <c r="F306" s="471"/>
      <c r="G306" s="471"/>
      <c r="H306" s="469"/>
      <c r="I306" s="790">
        <f t="shared" si="63"/>
        <v>9170</v>
      </c>
      <c r="J306" s="197">
        <v>6379</v>
      </c>
      <c r="K306" s="197">
        <v>1855</v>
      </c>
      <c r="L306" s="197">
        <v>936</v>
      </c>
      <c r="M306" s="197"/>
      <c r="N306" s="197"/>
      <c r="O306" s="197"/>
      <c r="P306" s="197"/>
      <c r="Q306" s="470"/>
      <c r="R306" s="197"/>
      <c r="S306" s="197"/>
      <c r="T306" s="197"/>
      <c r="U306" s="197"/>
      <c r="V306" s="197"/>
      <c r="W306" s="197"/>
      <c r="X306" s="197"/>
      <c r="Y306" s="197"/>
      <c r="Z306" s="197"/>
      <c r="AA306" s="197"/>
      <c r="AB306" s="197"/>
      <c r="AC306" s="197"/>
      <c r="AD306" s="197"/>
    </row>
    <row r="307" spans="1:30" s="196" customFormat="1" ht="15">
      <c r="A307" s="207">
        <v>299</v>
      </c>
      <c r="B307" s="176"/>
      <c r="C307" s="748"/>
      <c r="D307" s="838" t="s">
        <v>636</v>
      </c>
      <c r="E307" s="793"/>
      <c r="F307" s="794"/>
      <c r="G307" s="794"/>
      <c r="H307" s="478"/>
      <c r="I307" s="791">
        <f t="shared" si="63"/>
        <v>600</v>
      </c>
      <c r="J307" s="480">
        <v>268</v>
      </c>
      <c r="K307" s="480">
        <v>72</v>
      </c>
      <c r="L307" s="480">
        <v>260</v>
      </c>
      <c r="M307" s="480"/>
      <c r="N307" s="480"/>
      <c r="O307" s="480"/>
      <c r="P307" s="480"/>
      <c r="Q307" s="481"/>
      <c r="R307" s="480"/>
      <c r="S307" s="480"/>
      <c r="T307" s="480"/>
      <c r="U307" s="480"/>
      <c r="V307" s="480"/>
      <c r="W307" s="480"/>
      <c r="X307" s="480"/>
      <c r="Y307" s="480"/>
      <c r="Z307" s="480"/>
      <c r="AA307" s="480"/>
      <c r="AB307" s="480"/>
      <c r="AC307" s="480"/>
      <c r="AD307" s="480"/>
    </row>
    <row r="308" spans="1:30" s="227" customFormat="1" ht="15">
      <c r="A308" s="207">
        <v>300</v>
      </c>
      <c r="B308" s="1101"/>
      <c r="C308" s="1102"/>
      <c r="D308" s="839" t="s">
        <v>637</v>
      </c>
      <c r="E308" s="795"/>
      <c r="F308" s="796"/>
      <c r="G308" s="796"/>
      <c r="H308" s="485"/>
      <c r="I308" s="464">
        <f t="shared" si="63"/>
        <v>9770</v>
      </c>
      <c r="J308" s="326">
        <f>SUM(J306:J307)</f>
        <v>6647</v>
      </c>
      <c r="K308" s="326">
        <f aca="true" t="shared" si="68" ref="K308:Q308">SUM(K306:K307)</f>
        <v>1927</v>
      </c>
      <c r="L308" s="326">
        <f t="shared" si="68"/>
        <v>1196</v>
      </c>
      <c r="M308" s="326">
        <f t="shared" si="68"/>
        <v>0</v>
      </c>
      <c r="N308" s="326">
        <f t="shared" si="68"/>
        <v>0</v>
      </c>
      <c r="O308" s="326">
        <f t="shared" si="68"/>
        <v>0</v>
      </c>
      <c r="P308" s="326">
        <f t="shared" si="68"/>
        <v>0</v>
      </c>
      <c r="Q308" s="491">
        <f t="shared" si="68"/>
        <v>0</v>
      </c>
      <c r="R308" s="326"/>
      <c r="S308" s="326"/>
      <c r="T308" s="326"/>
      <c r="U308" s="326"/>
      <c r="V308" s="326"/>
      <c r="W308" s="326"/>
      <c r="X308" s="326"/>
      <c r="Y308" s="326"/>
      <c r="Z308" s="326"/>
      <c r="AA308" s="326"/>
      <c r="AB308" s="326"/>
      <c r="AC308" s="326"/>
      <c r="AD308" s="326"/>
    </row>
    <row r="309" spans="1:30" s="221" customFormat="1" ht="19.5" customHeight="1">
      <c r="A309" s="207">
        <v>301</v>
      </c>
      <c r="B309" s="159"/>
      <c r="C309" s="160">
        <v>6</v>
      </c>
      <c r="D309" s="1098" t="s">
        <v>427</v>
      </c>
      <c r="E309" s="224"/>
      <c r="F309" s="462">
        <v>109284</v>
      </c>
      <c r="G309" s="462">
        <v>148400</v>
      </c>
      <c r="H309" s="463">
        <v>130574</v>
      </c>
      <c r="I309" s="815"/>
      <c r="J309" s="466"/>
      <c r="K309" s="466"/>
      <c r="L309" s="466"/>
      <c r="M309" s="466"/>
      <c r="N309" s="466"/>
      <c r="O309" s="466"/>
      <c r="P309" s="466"/>
      <c r="Q309" s="467"/>
      <c r="R309" s="1106"/>
      <c r="S309" s="1106"/>
      <c r="T309" s="1106"/>
      <c r="U309" s="1106"/>
      <c r="V309" s="1106"/>
      <c r="W309" s="1106"/>
      <c r="X309" s="1106"/>
      <c r="Y309" s="1106"/>
      <c r="Z309" s="1106"/>
      <c r="AA309" s="1106"/>
      <c r="AB309" s="1106"/>
      <c r="AC309" s="1106"/>
      <c r="AD309" s="1106"/>
    </row>
    <row r="310" spans="1:30" s="193" customFormat="1" ht="15">
      <c r="A310" s="207">
        <v>302</v>
      </c>
      <c r="B310" s="165"/>
      <c r="C310" s="156"/>
      <c r="D310" s="1100" t="s">
        <v>635</v>
      </c>
      <c r="E310" s="213"/>
      <c r="F310" s="471"/>
      <c r="G310" s="471"/>
      <c r="H310" s="469"/>
      <c r="I310" s="790">
        <f t="shared" si="63"/>
        <v>148618</v>
      </c>
      <c r="J310" s="197">
        <v>3000</v>
      </c>
      <c r="K310" s="197">
        <v>1535</v>
      </c>
      <c r="L310" s="197">
        <v>144083</v>
      </c>
      <c r="M310" s="197"/>
      <c r="N310" s="197"/>
      <c r="O310" s="197"/>
      <c r="P310" s="197"/>
      <c r="Q310" s="470"/>
      <c r="R310" s="197"/>
      <c r="S310" s="197"/>
      <c r="T310" s="197"/>
      <c r="U310" s="197"/>
      <c r="V310" s="197"/>
      <c r="W310" s="197"/>
      <c r="X310" s="197"/>
      <c r="Y310" s="197"/>
      <c r="Z310" s="197"/>
      <c r="AA310" s="197"/>
      <c r="AB310" s="197"/>
      <c r="AC310" s="197"/>
      <c r="AD310" s="197"/>
    </row>
    <row r="311" spans="1:30" s="196" customFormat="1" ht="15">
      <c r="A311" s="207">
        <v>303</v>
      </c>
      <c r="B311" s="176"/>
      <c r="C311" s="748"/>
      <c r="D311" s="838" t="s">
        <v>707</v>
      </c>
      <c r="E311" s="793"/>
      <c r="F311" s="794"/>
      <c r="G311" s="794"/>
      <c r="H311" s="478"/>
      <c r="I311" s="791">
        <f t="shared" si="63"/>
        <v>29551</v>
      </c>
      <c r="J311" s="480"/>
      <c r="K311" s="480"/>
      <c r="L311" s="480">
        <v>14351</v>
      </c>
      <c r="M311" s="480"/>
      <c r="N311" s="480"/>
      <c r="O311" s="480">
        <v>15200</v>
      </c>
      <c r="P311" s="480"/>
      <c r="Q311" s="481"/>
      <c r="R311" s="480"/>
      <c r="S311" s="480"/>
      <c r="T311" s="480"/>
      <c r="U311" s="480"/>
      <c r="V311" s="480"/>
      <c r="W311" s="480"/>
      <c r="X311" s="480"/>
      <c r="Y311" s="480"/>
      <c r="Z311" s="480"/>
      <c r="AA311" s="480"/>
      <c r="AB311" s="480"/>
      <c r="AC311" s="480"/>
      <c r="AD311" s="480"/>
    </row>
    <row r="312" spans="1:30" s="227" customFormat="1" ht="15">
      <c r="A312" s="207">
        <v>304</v>
      </c>
      <c r="B312" s="1101"/>
      <c r="C312" s="1102"/>
      <c r="D312" s="839" t="s">
        <v>637</v>
      </c>
      <c r="E312" s="795"/>
      <c r="F312" s="796"/>
      <c r="G312" s="796"/>
      <c r="H312" s="485"/>
      <c r="I312" s="464">
        <f t="shared" si="63"/>
        <v>178169</v>
      </c>
      <c r="J312" s="326">
        <f>SUM(J310:J311)</f>
        <v>3000</v>
      </c>
      <c r="K312" s="326">
        <f aca="true" t="shared" si="69" ref="K312:Q312">SUM(K310:K311)</f>
        <v>1535</v>
      </c>
      <c r="L312" s="326">
        <f t="shared" si="69"/>
        <v>158434</v>
      </c>
      <c r="M312" s="326">
        <f t="shared" si="69"/>
        <v>0</v>
      </c>
      <c r="N312" s="326">
        <f t="shared" si="69"/>
        <v>0</v>
      </c>
      <c r="O312" s="326">
        <f t="shared" si="69"/>
        <v>15200</v>
      </c>
      <c r="P312" s="326">
        <f t="shared" si="69"/>
        <v>0</v>
      </c>
      <c r="Q312" s="491">
        <f t="shared" si="69"/>
        <v>0</v>
      </c>
      <c r="R312" s="326"/>
      <c r="S312" s="326"/>
      <c r="T312" s="326"/>
      <c r="U312" s="326"/>
      <c r="V312" s="326"/>
      <c r="W312" s="326"/>
      <c r="X312" s="326"/>
      <c r="Y312" s="326"/>
      <c r="Z312" s="326"/>
      <c r="AA312" s="326"/>
      <c r="AB312" s="326"/>
      <c r="AC312" s="326"/>
      <c r="AD312" s="326"/>
    </row>
    <row r="313" spans="1:30" s="221" customFormat="1" ht="19.5" customHeight="1">
      <c r="A313" s="207">
        <v>305</v>
      </c>
      <c r="B313" s="159"/>
      <c r="C313" s="160">
        <v>7</v>
      </c>
      <c r="D313" s="1098" t="s">
        <v>196</v>
      </c>
      <c r="E313" s="224"/>
      <c r="F313" s="462">
        <v>72032</v>
      </c>
      <c r="G313" s="462">
        <v>73216</v>
      </c>
      <c r="H313" s="463">
        <v>68988</v>
      </c>
      <c r="I313" s="815"/>
      <c r="J313" s="466"/>
      <c r="K313" s="466"/>
      <c r="L313" s="466"/>
      <c r="M313" s="466"/>
      <c r="N313" s="466"/>
      <c r="O313" s="466"/>
      <c r="P313" s="466"/>
      <c r="Q313" s="467"/>
      <c r="R313" s="1106"/>
      <c r="S313" s="1106"/>
      <c r="T313" s="1106"/>
      <c r="U313" s="1106"/>
      <c r="V313" s="1106"/>
      <c r="W313" s="1106"/>
      <c r="X313" s="1106"/>
      <c r="Y313" s="1106"/>
      <c r="Z313" s="1106"/>
      <c r="AA313" s="1106"/>
      <c r="AB313" s="1106"/>
      <c r="AC313" s="1106"/>
      <c r="AD313" s="1106"/>
    </row>
    <row r="314" spans="1:30" s="193" customFormat="1" ht="15">
      <c r="A314" s="207">
        <v>306</v>
      </c>
      <c r="B314" s="165"/>
      <c r="C314" s="156"/>
      <c r="D314" s="1100" t="s">
        <v>635</v>
      </c>
      <c r="E314" s="213"/>
      <c r="F314" s="471"/>
      <c r="G314" s="471"/>
      <c r="H314" s="469"/>
      <c r="I314" s="790">
        <f t="shared" si="63"/>
        <v>79557</v>
      </c>
      <c r="J314" s="197"/>
      <c r="K314" s="197"/>
      <c r="L314" s="197">
        <v>62007</v>
      </c>
      <c r="M314" s="197"/>
      <c r="N314" s="197"/>
      <c r="O314" s="197">
        <v>17550</v>
      </c>
      <c r="P314" s="197"/>
      <c r="Q314" s="470"/>
      <c r="R314" s="197"/>
      <c r="S314" s="197"/>
      <c r="T314" s="197"/>
      <c r="U314" s="197"/>
      <c r="V314" s="197"/>
      <c r="W314" s="197"/>
      <c r="X314" s="197"/>
      <c r="Y314" s="197"/>
      <c r="Z314" s="197"/>
      <c r="AA314" s="197"/>
      <c r="AB314" s="197"/>
      <c r="AC314" s="197"/>
      <c r="AD314" s="197"/>
    </row>
    <row r="315" spans="1:30" s="196" customFormat="1" ht="15">
      <c r="A315" s="207">
        <v>307</v>
      </c>
      <c r="B315" s="176"/>
      <c r="C315" s="748"/>
      <c r="D315" s="838" t="s">
        <v>707</v>
      </c>
      <c r="E315" s="793"/>
      <c r="F315" s="794"/>
      <c r="G315" s="794"/>
      <c r="H315" s="478"/>
      <c r="I315" s="791">
        <f t="shared" si="63"/>
        <v>7151</v>
      </c>
      <c r="J315" s="480"/>
      <c r="K315" s="480"/>
      <c r="L315" s="480"/>
      <c r="M315" s="480"/>
      <c r="N315" s="480"/>
      <c r="O315" s="480">
        <v>7151</v>
      </c>
      <c r="P315" s="480"/>
      <c r="Q315" s="481"/>
      <c r="R315" s="480"/>
      <c r="S315" s="480"/>
      <c r="T315" s="480"/>
      <c r="U315" s="480"/>
      <c r="V315" s="480"/>
      <c r="W315" s="480"/>
      <c r="X315" s="480"/>
      <c r="Y315" s="480"/>
      <c r="Z315" s="480"/>
      <c r="AA315" s="480"/>
      <c r="AB315" s="480"/>
      <c r="AC315" s="480"/>
      <c r="AD315" s="480"/>
    </row>
    <row r="316" spans="1:30" s="227" customFormat="1" ht="15">
      <c r="A316" s="207">
        <v>308</v>
      </c>
      <c r="B316" s="1101"/>
      <c r="C316" s="1102"/>
      <c r="D316" s="839" t="s">
        <v>637</v>
      </c>
      <c r="E316" s="795"/>
      <c r="F316" s="796"/>
      <c r="G316" s="796"/>
      <c r="H316" s="485"/>
      <c r="I316" s="464">
        <f t="shared" si="63"/>
        <v>86708</v>
      </c>
      <c r="J316" s="326">
        <f>SUM(J314:J315)</f>
        <v>0</v>
      </c>
      <c r="K316" s="326">
        <f aca="true" t="shared" si="70" ref="K316:Q316">SUM(K314:K315)</f>
        <v>0</v>
      </c>
      <c r="L316" s="326">
        <f t="shared" si="70"/>
        <v>62007</v>
      </c>
      <c r="M316" s="326">
        <f t="shared" si="70"/>
        <v>0</v>
      </c>
      <c r="N316" s="326">
        <f t="shared" si="70"/>
        <v>0</v>
      </c>
      <c r="O316" s="326">
        <f t="shared" si="70"/>
        <v>24701</v>
      </c>
      <c r="P316" s="326">
        <f t="shared" si="70"/>
        <v>0</v>
      </c>
      <c r="Q316" s="491">
        <f t="shared" si="70"/>
        <v>0</v>
      </c>
      <c r="R316" s="326"/>
      <c r="S316" s="326"/>
      <c r="T316" s="326"/>
      <c r="U316" s="326"/>
      <c r="V316" s="326"/>
      <c r="W316" s="326"/>
      <c r="X316" s="326"/>
      <c r="Y316" s="326"/>
      <c r="Z316" s="326"/>
      <c r="AA316" s="326"/>
      <c r="AB316" s="326"/>
      <c r="AC316" s="326"/>
      <c r="AD316" s="326"/>
    </row>
    <row r="317" spans="1:30" s="221" customFormat="1" ht="19.5" customHeight="1">
      <c r="A317" s="207">
        <v>309</v>
      </c>
      <c r="B317" s="159"/>
      <c r="C317" s="160">
        <v>8</v>
      </c>
      <c r="D317" s="1098" t="s">
        <v>428</v>
      </c>
      <c r="E317" s="224"/>
      <c r="F317" s="462">
        <v>1906</v>
      </c>
      <c r="G317" s="462">
        <v>4200</v>
      </c>
      <c r="H317" s="463">
        <v>509</v>
      </c>
      <c r="I317" s="815"/>
      <c r="J317" s="466"/>
      <c r="K317" s="466"/>
      <c r="L317" s="466"/>
      <c r="M317" s="466"/>
      <c r="N317" s="466"/>
      <c r="O317" s="466"/>
      <c r="P317" s="466"/>
      <c r="Q317" s="467"/>
      <c r="R317" s="1106"/>
      <c r="S317" s="1106"/>
      <c r="T317" s="1106"/>
      <c r="U317" s="1106"/>
      <c r="V317" s="1106"/>
      <c r="W317" s="1106"/>
      <c r="X317" s="1106"/>
      <c r="Y317" s="1106"/>
      <c r="Z317" s="1106"/>
      <c r="AA317" s="1106"/>
      <c r="AB317" s="1106"/>
      <c r="AC317" s="1106"/>
      <c r="AD317" s="1106"/>
    </row>
    <row r="318" spans="1:30" s="193" customFormat="1" ht="15">
      <c r="A318" s="207">
        <v>310</v>
      </c>
      <c r="B318" s="165"/>
      <c r="C318" s="156"/>
      <c r="D318" s="1100" t="s">
        <v>635</v>
      </c>
      <c r="E318" s="213"/>
      <c r="F318" s="471"/>
      <c r="G318" s="471"/>
      <c r="H318" s="469"/>
      <c r="I318" s="790">
        <f t="shared" si="63"/>
        <v>4150</v>
      </c>
      <c r="J318" s="197"/>
      <c r="K318" s="197"/>
      <c r="L318" s="197">
        <v>4150</v>
      </c>
      <c r="M318" s="197"/>
      <c r="N318" s="197"/>
      <c r="O318" s="197"/>
      <c r="P318" s="197"/>
      <c r="Q318" s="470"/>
      <c r="R318" s="197"/>
      <c r="S318" s="197"/>
      <c r="T318" s="197"/>
      <c r="U318" s="197"/>
      <c r="V318" s="197"/>
      <c r="W318" s="197"/>
      <c r="X318" s="197"/>
      <c r="Y318" s="197"/>
      <c r="Z318" s="197"/>
      <c r="AA318" s="197"/>
      <c r="AB318" s="197"/>
      <c r="AC318" s="197"/>
      <c r="AD318" s="197"/>
    </row>
    <row r="319" spans="1:30" s="196" customFormat="1" ht="15">
      <c r="A319" s="207">
        <v>311</v>
      </c>
      <c r="B319" s="176"/>
      <c r="C319" s="748"/>
      <c r="D319" s="838" t="s">
        <v>707</v>
      </c>
      <c r="E319" s="793"/>
      <c r="F319" s="794"/>
      <c r="G319" s="794"/>
      <c r="H319" s="478"/>
      <c r="I319" s="791">
        <f t="shared" si="63"/>
        <v>3691</v>
      </c>
      <c r="J319" s="480"/>
      <c r="K319" s="480"/>
      <c r="L319" s="480">
        <v>3691</v>
      </c>
      <c r="M319" s="480"/>
      <c r="N319" s="480"/>
      <c r="O319" s="480"/>
      <c r="P319" s="480"/>
      <c r="Q319" s="481"/>
      <c r="R319" s="480"/>
      <c r="S319" s="480"/>
      <c r="T319" s="480"/>
      <c r="U319" s="480"/>
      <c r="V319" s="480"/>
      <c r="W319" s="480"/>
      <c r="X319" s="480"/>
      <c r="Y319" s="480"/>
      <c r="Z319" s="480"/>
      <c r="AA319" s="480"/>
      <c r="AB319" s="480"/>
      <c r="AC319" s="480"/>
      <c r="AD319" s="480"/>
    </row>
    <row r="320" spans="1:30" s="227" customFormat="1" ht="15">
      <c r="A320" s="207">
        <v>312</v>
      </c>
      <c r="B320" s="1101"/>
      <c r="C320" s="1102"/>
      <c r="D320" s="839" t="s">
        <v>637</v>
      </c>
      <c r="E320" s="795"/>
      <c r="F320" s="796"/>
      <c r="G320" s="796"/>
      <c r="H320" s="485"/>
      <c r="I320" s="464">
        <f t="shared" si="63"/>
        <v>7841</v>
      </c>
      <c r="J320" s="326">
        <f>SUM(J318:J319)</f>
        <v>0</v>
      </c>
      <c r="K320" s="326">
        <f aca="true" t="shared" si="71" ref="K320:Q320">SUM(K318:K319)</f>
        <v>0</v>
      </c>
      <c r="L320" s="326">
        <f t="shared" si="71"/>
        <v>7841</v>
      </c>
      <c r="M320" s="326">
        <f t="shared" si="71"/>
        <v>0</v>
      </c>
      <c r="N320" s="326">
        <f t="shared" si="71"/>
        <v>0</v>
      </c>
      <c r="O320" s="326">
        <f t="shared" si="71"/>
        <v>0</v>
      </c>
      <c r="P320" s="326">
        <f t="shared" si="71"/>
        <v>0</v>
      </c>
      <c r="Q320" s="491">
        <f t="shared" si="71"/>
        <v>0</v>
      </c>
      <c r="R320" s="326"/>
      <c r="S320" s="326"/>
      <c r="T320" s="326"/>
      <c r="U320" s="326"/>
      <c r="V320" s="326"/>
      <c r="W320" s="326"/>
      <c r="X320" s="326"/>
      <c r="Y320" s="326"/>
      <c r="Z320" s="326"/>
      <c r="AA320" s="326"/>
      <c r="AB320" s="326"/>
      <c r="AC320" s="326"/>
      <c r="AD320" s="326"/>
    </row>
    <row r="321" spans="1:30" s="221" customFormat="1" ht="19.5" customHeight="1">
      <c r="A321" s="207">
        <v>313</v>
      </c>
      <c r="B321" s="159"/>
      <c r="C321" s="160">
        <v>9</v>
      </c>
      <c r="D321" s="1098" t="s">
        <v>388</v>
      </c>
      <c r="E321" s="224"/>
      <c r="F321" s="462">
        <v>417</v>
      </c>
      <c r="G321" s="462"/>
      <c r="H321" s="463"/>
      <c r="I321" s="815"/>
      <c r="J321" s="466"/>
      <c r="K321" s="466"/>
      <c r="L321" s="466"/>
      <c r="M321" s="466"/>
      <c r="N321" s="466"/>
      <c r="O321" s="466"/>
      <c r="P321" s="466"/>
      <c r="Q321" s="467"/>
      <c r="R321" s="1106"/>
      <c r="S321" s="1106"/>
      <c r="T321" s="1106"/>
      <c r="U321" s="1106"/>
      <c r="V321" s="1106"/>
      <c r="W321" s="1106"/>
      <c r="X321" s="1106"/>
      <c r="Y321" s="1106"/>
      <c r="Z321" s="1106"/>
      <c r="AA321" s="1106"/>
      <c r="AB321" s="1106"/>
      <c r="AC321" s="1106"/>
      <c r="AD321" s="1106"/>
    </row>
    <row r="322" spans="1:30" s="193" customFormat="1" ht="15">
      <c r="A322" s="207">
        <v>314</v>
      </c>
      <c r="B322" s="165"/>
      <c r="C322" s="156"/>
      <c r="D322" s="1100" t="s">
        <v>635</v>
      </c>
      <c r="E322" s="213"/>
      <c r="F322" s="471"/>
      <c r="G322" s="471"/>
      <c r="H322" s="469"/>
      <c r="I322" s="790">
        <f t="shared" si="63"/>
        <v>0</v>
      </c>
      <c r="J322" s="197"/>
      <c r="K322" s="197"/>
      <c r="L322" s="197"/>
      <c r="M322" s="197"/>
      <c r="N322" s="197"/>
      <c r="O322" s="197"/>
      <c r="P322" s="197"/>
      <c r="Q322" s="470"/>
      <c r="R322" s="197"/>
      <c r="S322" s="197"/>
      <c r="T322" s="197"/>
      <c r="U322" s="197"/>
      <c r="V322" s="197"/>
      <c r="W322" s="197"/>
      <c r="X322" s="197"/>
      <c r="Y322" s="197"/>
      <c r="Z322" s="197"/>
      <c r="AA322" s="197"/>
      <c r="AB322" s="197"/>
      <c r="AC322" s="197"/>
      <c r="AD322" s="197"/>
    </row>
    <row r="323" spans="1:30" s="196" customFormat="1" ht="15">
      <c r="A323" s="207">
        <v>315</v>
      </c>
      <c r="B323" s="176"/>
      <c r="C323" s="748"/>
      <c r="D323" s="838" t="s">
        <v>636</v>
      </c>
      <c r="E323" s="793"/>
      <c r="F323" s="794"/>
      <c r="G323" s="794"/>
      <c r="H323" s="478"/>
      <c r="I323" s="791">
        <f t="shared" si="63"/>
        <v>0</v>
      </c>
      <c r="J323" s="480"/>
      <c r="K323" s="480"/>
      <c r="L323" s="480"/>
      <c r="M323" s="480"/>
      <c r="N323" s="480"/>
      <c r="O323" s="480"/>
      <c r="P323" s="480"/>
      <c r="Q323" s="481"/>
      <c r="R323" s="480"/>
      <c r="S323" s="480"/>
      <c r="T323" s="480"/>
      <c r="U323" s="480"/>
      <c r="V323" s="480"/>
      <c r="W323" s="480"/>
      <c r="X323" s="480"/>
      <c r="Y323" s="480"/>
      <c r="Z323" s="480"/>
      <c r="AA323" s="480"/>
      <c r="AB323" s="480"/>
      <c r="AC323" s="480"/>
      <c r="AD323" s="480"/>
    </row>
    <row r="324" spans="1:30" s="227" customFormat="1" ht="15">
      <c r="A324" s="207">
        <v>316</v>
      </c>
      <c r="B324" s="1101"/>
      <c r="C324" s="1102"/>
      <c r="D324" s="839" t="s">
        <v>637</v>
      </c>
      <c r="E324" s="795"/>
      <c r="F324" s="796"/>
      <c r="G324" s="796"/>
      <c r="H324" s="485"/>
      <c r="I324" s="464">
        <f t="shared" si="63"/>
        <v>0</v>
      </c>
      <c r="J324" s="326">
        <f>SUM(J322:J323)</f>
        <v>0</v>
      </c>
      <c r="K324" s="326">
        <f aca="true" t="shared" si="72" ref="K324:Q324">SUM(K322:K323)</f>
        <v>0</v>
      </c>
      <c r="L324" s="326">
        <f t="shared" si="72"/>
        <v>0</v>
      </c>
      <c r="M324" s="326">
        <f t="shared" si="72"/>
        <v>0</v>
      </c>
      <c r="N324" s="326">
        <f t="shared" si="72"/>
        <v>0</v>
      </c>
      <c r="O324" s="326">
        <f t="shared" si="72"/>
        <v>0</v>
      </c>
      <c r="P324" s="326">
        <f t="shared" si="72"/>
        <v>0</v>
      </c>
      <c r="Q324" s="491">
        <f t="shared" si="72"/>
        <v>0</v>
      </c>
      <c r="R324" s="326"/>
      <c r="S324" s="326"/>
      <c r="T324" s="326"/>
      <c r="U324" s="326"/>
      <c r="V324" s="326"/>
      <c r="W324" s="326"/>
      <c r="X324" s="326"/>
      <c r="Y324" s="326"/>
      <c r="Z324" s="326"/>
      <c r="AA324" s="326"/>
      <c r="AB324" s="326"/>
      <c r="AC324" s="326"/>
      <c r="AD324" s="326"/>
    </row>
    <row r="325" spans="1:30" s="186" customFormat="1" ht="30">
      <c r="A325" s="210">
        <v>317</v>
      </c>
      <c r="B325" s="165"/>
      <c r="C325" s="171">
        <v>10</v>
      </c>
      <c r="D325" s="1100" t="s">
        <v>429</v>
      </c>
      <c r="E325" s="218"/>
      <c r="F325" s="468">
        <v>3247</v>
      </c>
      <c r="G325" s="468"/>
      <c r="H325" s="469"/>
      <c r="I325" s="788"/>
      <c r="J325" s="197"/>
      <c r="K325" s="197"/>
      <c r="L325" s="197"/>
      <c r="M325" s="197"/>
      <c r="N325" s="197"/>
      <c r="O325" s="197"/>
      <c r="P325" s="197"/>
      <c r="Q325" s="470"/>
      <c r="R325" s="458"/>
      <c r="S325" s="458"/>
      <c r="T325" s="458"/>
      <c r="U325" s="458"/>
      <c r="V325" s="458"/>
      <c r="W325" s="458"/>
      <c r="X325" s="458"/>
      <c r="Y325" s="458"/>
      <c r="Z325" s="458"/>
      <c r="AA325" s="458"/>
      <c r="AB325" s="458"/>
      <c r="AC325" s="458"/>
      <c r="AD325" s="458"/>
    </row>
    <row r="326" spans="1:30" s="193" customFormat="1" ht="15">
      <c r="A326" s="207">
        <v>318</v>
      </c>
      <c r="B326" s="165"/>
      <c r="C326" s="156"/>
      <c r="D326" s="1100" t="s">
        <v>635</v>
      </c>
      <c r="E326" s="213"/>
      <c r="F326" s="471"/>
      <c r="G326" s="471"/>
      <c r="H326" s="469"/>
      <c r="I326" s="790">
        <f t="shared" si="63"/>
        <v>0</v>
      </c>
      <c r="J326" s="197"/>
      <c r="K326" s="197"/>
      <c r="L326" s="197"/>
      <c r="M326" s="197"/>
      <c r="N326" s="197"/>
      <c r="O326" s="197"/>
      <c r="P326" s="197"/>
      <c r="Q326" s="470"/>
      <c r="R326" s="197"/>
      <c r="S326" s="197"/>
      <c r="T326" s="197"/>
      <c r="U326" s="197"/>
      <c r="V326" s="197"/>
      <c r="W326" s="197"/>
      <c r="X326" s="197"/>
      <c r="Y326" s="197"/>
      <c r="Z326" s="197"/>
      <c r="AA326" s="197"/>
      <c r="AB326" s="197"/>
      <c r="AC326" s="197"/>
      <c r="AD326" s="197"/>
    </row>
    <row r="327" spans="1:30" s="196" customFormat="1" ht="15">
      <c r="A327" s="207">
        <v>319</v>
      </c>
      <c r="B327" s="176"/>
      <c r="C327" s="748"/>
      <c r="D327" s="838" t="s">
        <v>636</v>
      </c>
      <c r="E327" s="793"/>
      <c r="F327" s="794"/>
      <c r="G327" s="794"/>
      <c r="H327" s="478"/>
      <c r="I327" s="791">
        <f t="shared" si="63"/>
        <v>0</v>
      </c>
      <c r="J327" s="480"/>
      <c r="K327" s="480"/>
      <c r="L327" s="480"/>
      <c r="M327" s="480"/>
      <c r="N327" s="480"/>
      <c r="O327" s="480"/>
      <c r="P327" s="480"/>
      <c r="Q327" s="481"/>
      <c r="R327" s="480"/>
      <c r="S327" s="480"/>
      <c r="T327" s="480"/>
      <c r="U327" s="480"/>
      <c r="V327" s="480"/>
      <c r="W327" s="480"/>
      <c r="X327" s="480"/>
      <c r="Y327" s="480"/>
      <c r="Z327" s="480"/>
      <c r="AA327" s="480"/>
      <c r="AB327" s="480"/>
      <c r="AC327" s="480"/>
      <c r="AD327" s="480"/>
    </row>
    <row r="328" spans="1:30" s="227" customFormat="1" ht="15">
      <c r="A328" s="207">
        <v>320</v>
      </c>
      <c r="B328" s="1101"/>
      <c r="C328" s="1102"/>
      <c r="D328" s="839" t="s">
        <v>637</v>
      </c>
      <c r="E328" s="795"/>
      <c r="F328" s="796"/>
      <c r="G328" s="796"/>
      <c r="H328" s="485"/>
      <c r="I328" s="464">
        <f t="shared" si="63"/>
        <v>0</v>
      </c>
      <c r="J328" s="326">
        <f>SUM(J326:J327)</f>
        <v>0</v>
      </c>
      <c r="K328" s="326">
        <f aca="true" t="shared" si="73" ref="K328:Q328">SUM(K326:K327)</f>
        <v>0</v>
      </c>
      <c r="L328" s="326">
        <f t="shared" si="73"/>
        <v>0</v>
      </c>
      <c r="M328" s="326">
        <f t="shared" si="73"/>
        <v>0</v>
      </c>
      <c r="N328" s="326">
        <f t="shared" si="73"/>
        <v>0</v>
      </c>
      <c r="O328" s="326">
        <f t="shared" si="73"/>
        <v>0</v>
      </c>
      <c r="P328" s="326">
        <f t="shared" si="73"/>
        <v>0</v>
      </c>
      <c r="Q328" s="491">
        <f t="shared" si="73"/>
        <v>0</v>
      </c>
      <c r="R328" s="326"/>
      <c r="S328" s="326"/>
      <c r="T328" s="326"/>
      <c r="U328" s="326"/>
      <c r="V328" s="326"/>
      <c r="W328" s="326"/>
      <c r="X328" s="326"/>
      <c r="Y328" s="326"/>
      <c r="Z328" s="326"/>
      <c r="AA328" s="326"/>
      <c r="AB328" s="326"/>
      <c r="AC328" s="326"/>
      <c r="AD328" s="326"/>
    </row>
    <row r="329" spans="1:30" s="186" customFormat="1" ht="30" customHeight="1">
      <c r="A329" s="210">
        <v>321</v>
      </c>
      <c r="B329" s="165"/>
      <c r="C329" s="171">
        <v>11</v>
      </c>
      <c r="D329" s="1100" t="s">
        <v>430</v>
      </c>
      <c r="E329" s="218"/>
      <c r="F329" s="468">
        <v>3560</v>
      </c>
      <c r="G329" s="468"/>
      <c r="H329" s="469">
        <v>4458</v>
      </c>
      <c r="I329" s="788"/>
      <c r="J329" s="197"/>
      <c r="K329" s="197"/>
      <c r="L329" s="197"/>
      <c r="M329" s="197"/>
      <c r="N329" s="197"/>
      <c r="O329" s="197"/>
      <c r="P329" s="197"/>
      <c r="Q329" s="470"/>
      <c r="R329" s="458"/>
      <c r="S329" s="458"/>
      <c r="T329" s="458"/>
      <c r="U329" s="458"/>
      <c r="V329" s="458"/>
      <c r="W329" s="458"/>
      <c r="X329" s="458"/>
      <c r="Y329" s="458"/>
      <c r="Z329" s="458"/>
      <c r="AA329" s="458"/>
      <c r="AB329" s="458"/>
      <c r="AC329" s="458"/>
      <c r="AD329" s="458"/>
    </row>
    <row r="330" spans="1:30" s="193" customFormat="1" ht="15">
      <c r="A330" s="207">
        <v>322</v>
      </c>
      <c r="B330" s="165"/>
      <c r="C330" s="156"/>
      <c r="D330" s="1100" t="s">
        <v>635</v>
      </c>
      <c r="E330" s="213"/>
      <c r="F330" s="471"/>
      <c r="G330" s="471"/>
      <c r="H330" s="469"/>
      <c r="I330" s="790">
        <f t="shared" si="63"/>
        <v>0</v>
      </c>
      <c r="J330" s="197"/>
      <c r="K330" s="197"/>
      <c r="L330" s="197"/>
      <c r="M330" s="197"/>
      <c r="N330" s="197"/>
      <c r="O330" s="197"/>
      <c r="P330" s="197"/>
      <c r="Q330" s="470"/>
      <c r="R330" s="197"/>
      <c r="S330" s="197"/>
      <c r="T330" s="197"/>
      <c r="U330" s="197"/>
      <c r="V330" s="197"/>
      <c r="W330" s="197"/>
      <c r="X330" s="197"/>
      <c r="Y330" s="197"/>
      <c r="Z330" s="197"/>
      <c r="AA330" s="197"/>
      <c r="AB330" s="197"/>
      <c r="AC330" s="197"/>
      <c r="AD330" s="197"/>
    </row>
    <row r="331" spans="1:30" s="196" customFormat="1" ht="15">
      <c r="A331" s="207">
        <v>323</v>
      </c>
      <c r="B331" s="176"/>
      <c r="C331" s="748"/>
      <c r="D331" s="838" t="s">
        <v>707</v>
      </c>
      <c r="E331" s="793"/>
      <c r="F331" s="794"/>
      <c r="G331" s="794"/>
      <c r="H331" s="478"/>
      <c r="I331" s="791">
        <f t="shared" si="63"/>
        <v>1190</v>
      </c>
      <c r="J331" s="480">
        <v>926</v>
      </c>
      <c r="K331" s="480">
        <v>264</v>
      </c>
      <c r="L331" s="480"/>
      <c r="M331" s="480"/>
      <c r="N331" s="480"/>
      <c r="O331" s="480"/>
      <c r="P331" s="480"/>
      <c r="Q331" s="481"/>
      <c r="R331" s="480"/>
      <c r="S331" s="480"/>
      <c r="T331" s="480"/>
      <c r="U331" s="480"/>
      <c r="V331" s="480"/>
      <c r="W331" s="480"/>
      <c r="X331" s="480"/>
      <c r="Y331" s="480"/>
      <c r="Z331" s="480"/>
      <c r="AA331" s="480"/>
      <c r="AB331" s="480"/>
      <c r="AC331" s="480"/>
      <c r="AD331" s="480"/>
    </row>
    <row r="332" spans="1:30" s="196" customFormat="1" ht="15">
      <c r="A332" s="207">
        <v>324</v>
      </c>
      <c r="B332" s="176"/>
      <c r="C332" s="748"/>
      <c r="D332" s="838" t="s">
        <v>964</v>
      </c>
      <c r="E332" s="793"/>
      <c r="F332" s="794"/>
      <c r="G332" s="794"/>
      <c r="H332" s="478"/>
      <c r="I332" s="791">
        <f t="shared" si="63"/>
        <v>1582</v>
      </c>
      <c r="J332" s="480">
        <v>1155</v>
      </c>
      <c r="K332" s="480">
        <v>427</v>
      </c>
      <c r="L332" s="480"/>
      <c r="M332" s="480"/>
      <c r="N332" s="480"/>
      <c r="O332" s="480"/>
      <c r="P332" s="480"/>
      <c r="Q332" s="481"/>
      <c r="R332" s="480"/>
      <c r="S332" s="480"/>
      <c r="T332" s="480"/>
      <c r="U332" s="480"/>
      <c r="V332" s="480"/>
      <c r="W332" s="480"/>
      <c r="X332" s="480"/>
      <c r="Y332" s="480"/>
      <c r="Z332" s="480"/>
      <c r="AA332" s="480"/>
      <c r="AB332" s="480"/>
      <c r="AC332" s="480"/>
      <c r="AD332" s="480"/>
    </row>
    <row r="333" spans="1:30" s="227" customFormat="1" ht="15">
      <c r="A333" s="207">
        <v>325</v>
      </c>
      <c r="B333" s="1101"/>
      <c r="C333" s="1102"/>
      <c r="D333" s="839" t="s">
        <v>637</v>
      </c>
      <c r="E333" s="795"/>
      <c r="F333" s="796"/>
      <c r="G333" s="796"/>
      <c r="H333" s="485"/>
      <c r="I333" s="464">
        <f t="shared" si="63"/>
        <v>2772</v>
      </c>
      <c r="J333" s="326">
        <f>SUM(J331:J332)</f>
        <v>2081</v>
      </c>
      <c r="K333" s="326">
        <f aca="true" t="shared" si="74" ref="K333:Q333">SUM(K331:K332)</f>
        <v>691</v>
      </c>
      <c r="L333" s="326">
        <f t="shared" si="74"/>
        <v>0</v>
      </c>
      <c r="M333" s="326">
        <f t="shared" si="74"/>
        <v>0</v>
      </c>
      <c r="N333" s="326">
        <f t="shared" si="74"/>
        <v>0</v>
      </c>
      <c r="O333" s="326">
        <f t="shared" si="74"/>
        <v>0</v>
      </c>
      <c r="P333" s="326">
        <f t="shared" si="74"/>
        <v>0</v>
      </c>
      <c r="Q333" s="491">
        <f t="shared" si="74"/>
        <v>0</v>
      </c>
      <c r="R333" s="326"/>
      <c r="S333" s="326"/>
      <c r="T333" s="326"/>
      <c r="U333" s="326"/>
      <c r="V333" s="326"/>
      <c r="W333" s="326"/>
      <c r="X333" s="326"/>
      <c r="Y333" s="326"/>
      <c r="Z333" s="326"/>
      <c r="AA333" s="326"/>
      <c r="AB333" s="326"/>
      <c r="AC333" s="326"/>
      <c r="AD333" s="326"/>
    </row>
    <row r="334" spans="1:30" s="186" customFormat="1" ht="36" customHeight="1">
      <c r="A334" s="210">
        <v>326</v>
      </c>
      <c r="B334" s="165"/>
      <c r="C334" s="171">
        <v>12</v>
      </c>
      <c r="D334" s="1100" t="s">
        <v>431</v>
      </c>
      <c r="E334" s="218"/>
      <c r="F334" s="468">
        <v>584</v>
      </c>
      <c r="G334" s="468"/>
      <c r="H334" s="469">
        <v>146</v>
      </c>
      <c r="I334" s="788"/>
      <c r="J334" s="197"/>
      <c r="K334" s="197"/>
      <c r="L334" s="197"/>
      <c r="M334" s="197"/>
      <c r="N334" s="197"/>
      <c r="O334" s="197"/>
      <c r="P334" s="197"/>
      <c r="Q334" s="470"/>
      <c r="R334" s="458"/>
      <c r="S334" s="458"/>
      <c r="T334" s="458"/>
      <c r="U334" s="458"/>
      <c r="V334" s="458"/>
      <c r="W334" s="458"/>
      <c r="X334" s="458"/>
      <c r="Y334" s="458"/>
      <c r="Z334" s="458"/>
      <c r="AA334" s="458"/>
      <c r="AB334" s="458"/>
      <c r="AC334" s="458"/>
      <c r="AD334" s="458"/>
    </row>
    <row r="335" spans="1:30" s="193" customFormat="1" ht="15">
      <c r="A335" s="207">
        <v>327</v>
      </c>
      <c r="B335" s="165"/>
      <c r="C335" s="156"/>
      <c r="D335" s="1100" t="s">
        <v>635</v>
      </c>
      <c r="E335" s="213"/>
      <c r="F335" s="471"/>
      <c r="G335" s="471"/>
      <c r="H335" s="469"/>
      <c r="I335" s="790">
        <f t="shared" si="63"/>
        <v>0</v>
      </c>
      <c r="J335" s="197"/>
      <c r="K335" s="197"/>
      <c r="L335" s="197"/>
      <c r="M335" s="197"/>
      <c r="N335" s="197"/>
      <c r="O335" s="197"/>
      <c r="P335" s="197"/>
      <c r="Q335" s="470"/>
      <c r="R335" s="197"/>
      <c r="S335" s="197"/>
      <c r="T335" s="197"/>
      <c r="U335" s="197"/>
      <c r="V335" s="197"/>
      <c r="W335" s="197"/>
      <c r="X335" s="197"/>
      <c r="Y335" s="197"/>
      <c r="Z335" s="197"/>
      <c r="AA335" s="197"/>
      <c r="AB335" s="197"/>
      <c r="AC335" s="197"/>
      <c r="AD335" s="197"/>
    </row>
    <row r="336" spans="1:30" s="196" customFormat="1" ht="15">
      <c r="A336" s="207">
        <v>328</v>
      </c>
      <c r="B336" s="176"/>
      <c r="C336" s="748"/>
      <c r="D336" s="838" t="s">
        <v>636</v>
      </c>
      <c r="E336" s="793"/>
      <c r="F336" s="794"/>
      <c r="G336" s="794"/>
      <c r="H336" s="478"/>
      <c r="I336" s="791">
        <f t="shared" si="63"/>
        <v>0</v>
      </c>
      <c r="J336" s="480"/>
      <c r="K336" s="480"/>
      <c r="L336" s="480"/>
      <c r="M336" s="480"/>
      <c r="N336" s="480"/>
      <c r="O336" s="480"/>
      <c r="P336" s="480"/>
      <c r="Q336" s="481"/>
      <c r="R336" s="480"/>
      <c r="S336" s="480"/>
      <c r="T336" s="480"/>
      <c r="U336" s="480"/>
      <c r="V336" s="480"/>
      <c r="W336" s="480"/>
      <c r="X336" s="480"/>
      <c r="Y336" s="480"/>
      <c r="Z336" s="480"/>
      <c r="AA336" s="480"/>
      <c r="AB336" s="480"/>
      <c r="AC336" s="480"/>
      <c r="AD336" s="480"/>
    </row>
    <row r="337" spans="1:30" s="227" customFormat="1" ht="15">
      <c r="A337" s="207">
        <v>329</v>
      </c>
      <c r="B337" s="1101"/>
      <c r="C337" s="1102"/>
      <c r="D337" s="839" t="s">
        <v>637</v>
      </c>
      <c r="E337" s="795"/>
      <c r="F337" s="796"/>
      <c r="G337" s="796"/>
      <c r="H337" s="485"/>
      <c r="I337" s="464">
        <f t="shared" si="63"/>
        <v>0</v>
      </c>
      <c r="J337" s="326">
        <f>SUM(J335:J336)</f>
        <v>0</v>
      </c>
      <c r="K337" s="326">
        <f aca="true" t="shared" si="75" ref="K337:Q337">SUM(K335:K336)</f>
        <v>0</v>
      </c>
      <c r="L337" s="326">
        <f t="shared" si="75"/>
        <v>0</v>
      </c>
      <c r="M337" s="326">
        <f t="shared" si="75"/>
        <v>0</v>
      </c>
      <c r="N337" s="326">
        <f t="shared" si="75"/>
        <v>0</v>
      </c>
      <c r="O337" s="326">
        <f t="shared" si="75"/>
        <v>0</v>
      </c>
      <c r="P337" s="326">
        <f t="shared" si="75"/>
        <v>0</v>
      </c>
      <c r="Q337" s="491">
        <f t="shared" si="75"/>
        <v>0</v>
      </c>
      <c r="R337" s="326"/>
      <c r="S337" s="326"/>
      <c r="T337" s="326"/>
      <c r="U337" s="326"/>
      <c r="V337" s="326"/>
      <c r="W337" s="326"/>
      <c r="X337" s="326"/>
      <c r="Y337" s="326"/>
      <c r="Z337" s="326"/>
      <c r="AA337" s="326"/>
      <c r="AB337" s="326"/>
      <c r="AC337" s="326"/>
      <c r="AD337" s="326"/>
    </row>
    <row r="338" spans="1:30" s="186" customFormat="1" ht="30">
      <c r="A338" s="210">
        <v>330</v>
      </c>
      <c r="B338" s="165"/>
      <c r="C338" s="171">
        <v>13</v>
      </c>
      <c r="D338" s="1100" t="s">
        <v>417</v>
      </c>
      <c r="E338" s="218"/>
      <c r="F338" s="468">
        <v>999</v>
      </c>
      <c r="G338" s="468"/>
      <c r="H338" s="469">
        <v>1086</v>
      </c>
      <c r="I338" s="788"/>
      <c r="J338" s="197"/>
      <c r="K338" s="197"/>
      <c r="L338" s="197"/>
      <c r="M338" s="197"/>
      <c r="N338" s="197"/>
      <c r="O338" s="197"/>
      <c r="P338" s="197"/>
      <c r="Q338" s="470"/>
      <c r="R338" s="458"/>
      <c r="S338" s="458"/>
      <c r="T338" s="458"/>
      <c r="U338" s="458"/>
      <c r="V338" s="458"/>
      <c r="W338" s="458"/>
      <c r="X338" s="458"/>
      <c r="Y338" s="458"/>
      <c r="Z338" s="458"/>
      <c r="AA338" s="458"/>
      <c r="AB338" s="458"/>
      <c r="AC338" s="458"/>
      <c r="AD338" s="458"/>
    </row>
    <row r="339" spans="1:30" s="193" customFormat="1" ht="15">
      <c r="A339" s="207">
        <v>331</v>
      </c>
      <c r="B339" s="165"/>
      <c r="C339" s="156"/>
      <c r="D339" s="1100" t="s">
        <v>635</v>
      </c>
      <c r="E339" s="213"/>
      <c r="F339" s="471"/>
      <c r="G339" s="471"/>
      <c r="H339" s="469"/>
      <c r="I339" s="790">
        <f t="shared" si="63"/>
        <v>0</v>
      </c>
      <c r="J339" s="197"/>
      <c r="K339" s="197"/>
      <c r="L339" s="197"/>
      <c r="M339" s="197"/>
      <c r="N339" s="197"/>
      <c r="O339" s="197"/>
      <c r="P339" s="197"/>
      <c r="Q339" s="470"/>
      <c r="R339" s="197"/>
      <c r="S339" s="197"/>
      <c r="T339" s="197"/>
      <c r="U339" s="197"/>
      <c r="V339" s="197"/>
      <c r="W339" s="197"/>
      <c r="X339" s="197"/>
      <c r="Y339" s="197"/>
      <c r="Z339" s="197"/>
      <c r="AA339" s="197"/>
      <c r="AB339" s="197"/>
      <c r="AC339" s="197"/>
      <c r="AD339" s="197"/>
    </row>
    <row r="340" spans="1:30" s="196" customFormat="1" ht="15">
      <c r="A340" s="207">
        <v>332</v>
      </c>
      <c r="B340" s="176"/>
      <c r="C340" s="748"/>
      <c r="D340" s="838" t="s">
        <v>707</v>
      </c>
      <c r="E340" s="793"/>
      <c r="F340" s="794"/>
      <c r="G340" s="794"/>
      <c r="H340" s="478"/>
      <c r="I340" s="791">
        <f t="shared" si="63"/>
        <v>34</v>
      </c>
      <c r="J340" s="480">
        <v>27</v>
      </c>
      <c r="K340" s="480">
        <v>7</v>
      </c>
      <c r="L340" s="480"/>
      <c r="M340" s="480"/>
      <c r="N340" s="480"/>
      <c r="O340" s="480"/>
      <c r="P340" s="480"/>
      <c r="Q340" s="481"/>
      <c r="R340" s="480"/>
      <c r="S340" s="480"/>
      <c r="T340" s="480"/>
      <c r="U340" s="480"/>
      <c r="V340" s="480"/>
      <c r="W340" s="480"/>
      <c r="X340" s="480"/>
      <c r="Y340" s="480"/>
      <c r="Z340" s="480"/>
      <c r="AA340" s="480"/>
      <c r="AB340" s="480"/>
      <c r="AC340" s="480"/>
      <c r="AD340" s="480"/>
    </row>
    <row r="341" spans="1:30" s="227" customFormat="1" ht="15">
      <c r="A341" s="207">
        <v>333</v>
      </c>
      <c r="B341" s="1101"/>
      <c r="C341" s="1102"/>
      <c r="D341" s="839" t="s">
        <v>637</v>
      </c>
      <c r="E341" s="795"/>
      <c r="F341" s="796"/>
      <c r="G341" s="796"/>
      <c r="H341" s="485"/>
      <c r="I341" s="464">
        <f t="shared" si="63"/>
        <v>34</v>
      </c>
      <c r="J341" s="326">
        <f>SUM(J339:J340)</f>
        <v>27</v>
      </c>
      <c r="K341" s="326">
        <f aca="true" t="shared" si="76" ref="K341:Q341">SUM(K339:K340)</f>
        <v>7</v>
      </c>
      <c r="L341" s="326">
        <f t="shared" si="76"/>
        <v>0</v>
      </c>
      <c r="M341" s="326">
        <f t="shared" si="76"/>
        <v>0</v>
      </c>
      <c r="N341" s="326">
        <f t="shared" si="76"/>
        <v>0</v>
      </c>
      <c r="O341" s="326">
        <f t="shared" si="76"/>
        <v>0</v>
      </c>
      <c r="P341" s="326">
        <f t="shared" si="76"/>
        <v>0</v>
      </c>
      <c r="Q341" s="491">
        <f t="shared" si="76"/>
        <v>0</v>
      </c>
      <c r="R341" s="326"/>
      <c r="S341" s="326"/>
      <c r="T341" s="326"/>
      <c r="U341" s="326"/>
      <c r="V341" s="326"/>
      <c r="W341" s="326"/>
      <c r="X341" s="326"/>
      <c r="Y341" s="326"/>
      <c r="Z341" s="326"/>
      <c r="AA341" s="326"/>
      <c r="AB341" s="326"/>
      <c r="AC341" s="326"/>
      <c r="AD341" s="326"/>
    </row>
    <row r="342" spans="1:30" s="186" customFormat="1" ht="45">
      <c r="A342" s="210">
        <v>334</v>
      </c>
      <c r="B342" s="165"/>
      <c r="C342" s="171">
        <v>14</v>
      </c>
      <c r="D342" s="1100" t="s">
        <v>432</v>
      </c>
      <c r="E342" s="218"/>
      <c r="F342" s="468">
        <v>909</v>
      </c>
      <c r="G342" s="468"/>
      <c r="H342" s="469">
        <v>2071</v>
      </c>
      <c r="I342" s="788"/>
      <c r="J342" s="197"/>
      <c r="K342" s="197"/>
      <c r="L342" s="197"/>
      <c r="M342" s="197"/>
      <c r="N342" s="197"/>
      <c r="O342" s="197"/>
      <c r="P342" s="197"/>
      <c r="Q342" s="470"/>
      <c r="R342" s="458"/>
      <c r="S342" s="458"/>
      <c r="T342" s="458"/>
      <c r="U342" s="458"/>
      <c r="V342" s="458"/>
      <c r="W342" s="458"/>
      <c r="X342" s="458"/>
      <c r="Y342" s="458"/>
      <c r="Z342" s="458"/>
      <c r="AA342" s="458"/>
      <c r="AB342" s="458"/>
      <c r="AC342" s="458"/>
      <c r="AD342" s="458"/>
    </row>
    <row r="343" spans="1:30" s="193" customFormat="1" ht="15">
      <c r="A343" s="207">
        <v>335</v>
      </c>
      <c r="B343" s="165"/>
      <c r="C343" s="156"/>
      <c r="D343" s="1100" t="s">
        <v>635</v>
      </c>
      <c r="E343" s="213"/>
      <c r="F343" s="471"/>
      <c r="G343" s="471"/>
      <c r="H343" s="469"/>
      <c r="I343" s="790">
        <f t="shared" si="63"/>
        <v>0</v>
      </c>
      <c r="J343" s="197"/>
      <c r="K343" s="197"/>
      <c r="L343" s="197"/>
      <c r="M343" s="197"/>
      <c r="N343" s="197"/>
      <c r="O343" s="197"/>
      <c r="P343" s="197"/>
      <c r="Q343" s="470"/>
      <c r="R343" s="197"/>
      <c r="S343" s="197"/>
      <c r="T343" s="197"/>
      <c r="U343" s="197"/>
      <c r="V343" s="197"/>
      <c r="W343" s="197"/>
      <c r="X343" s="197"/>
      <c r="Y343" s="197"/>
      <c r="Z343" s="197"/>
      <c r="AA343" s="197"/>
      <c r="AB343" s="197"/>
      <c r="AC343" s="197"/>
      <c r="AD343" s="197"/>
    </row>
    <row r="344" spans="1:30" s="196" customFormat="1" ht="15">
      <c r="A344" s="207">
        <v>336</v>
      </c>
      <c r="B344" s="176"/>
      <c r="C344" s="748"/>
      <c r="D344" s="838" t="s">
        <v>707</v>
      </c>
      <c r="E344" s="793"/>
      <c r="F344" s="794"/>
      <c r="G344" s="794"/>
      <c r="H344" s="478"/>
      <c r="I344" s="791">
        <f t="shared" si="63"/>
        <v>831</v>
      </c>
      <c r="J344" s="480">
        <v>654</v>
      </c>
      <c r="K344" s="480">
        <v>177</v>
      </c>
      <c r="L344" s="480"/>
      <c r="M344" s="480"/>
      <c r="N344" s="480"/>
      <c r="O344" s="480"/>
      <c r="P344" s="480"/>
      <c r="Q344" s="481"/>
      <c r="R344" s="480"/>
      <c r="S344" s="480"/>
      <c r="T344" s="480"/>
      <c r="U344" s="480"/>
      <c r="V344" s="480"/>
      <c r="W344" s="480"/>
      <c r="X344" s="480"/>
      <c r="Y344" s="480"/>
      <c r="Z344" s="480"/>
      <c r="AA344" s="480"/>
      <c r="AB344" s="480"/>
      <c r="AC344" s="480"/>
      <c r="AD344" s="480"/>
    </row>
    <row r="345" spans="1:30" s="227" customFormat="1" ht="15">
      <c r="A345" s="207">
        <v>337</v>
      </c>
      <c r="B345" s="1101"/>
      <c r="C345" s="1102"/>
      <c r="D345" s="839" t="s">
        <v>637</v>
      </c>
      <c r="E345" s="795"/>
      <c r="F345" s="796"/>
      <c r="G345" s="796"/>
      <c r="H345" s="485"/>
      <c r="I345" s="464">
        <f t="shared" si="63"/>
        <v>831</v>
      </c>
      <c r="J345" s="326">
        <f>SUM(J343:J344)</f>
        <v>654</v>
      </c>
      <c r="K345" s="326">
        <f aca="true" t="shared" si="77" ref="K345:Q345">SUM(K343:K344)</f>
        <v>177</v>
      </c>
      <c r="L345" s="326">
        <f t="shared" si="77"/>
        <v>0</v>
      </c>
      <c r="M345" s="326">
        <f t="shared" si="77"/>
        <v>0</v>
      </c>
      <c r="N345" s="326">
        <f t="shared" si="77"/>
        <v>0</v>
      </c>
      <c r="O345" s="326">
        <f t="shared" si="77"/>
        <v>0</v>
      </c>
      <c r="P345" s="326">
        <f t="shared" si="77"/>
        <v>0</v>
      </c>
      <c r="Q345" s="491">
        <f t="shared" si="77"/>
        <v>0</v>
      </c>
      <c r="R345" s="326"/>
      <c r="S345" s="326"/>
      <c r="T345" s="326"/>
      <c r="U345" s="326"/>
      <c r="V345" s="326"/>
      <c r="W345" s="326"/>
      <c r="X345" s="326"/>
      <c r="Y345" s="326"/>
      <c r="Z345" s="326"/>
      <c r="AA345" s="326"/>
      <c r="AB345" s="326"/>
      <c r="AC345" s="326"/>
      <c r="AD345" s="326"/>
    </row>
    <row r="346" spans="1:30" s="186" customFormat="1" ht="15">
      <c r="A346" s="207">
        <v>338</v>
      </c>
      <c r="B346" s="165"/>
      <c r="C346" s="171">
        <v>15</v>
      </c>
      <c r="D346" s="1404" t="s">
        <v>433</v>
      </c>
      <c r="E346" s="1404"/>
      <c r="F346" s="468">
        <v>2105</v>
      </c>
      <c r="G346" s="468"/>
      <c r="H346" s="469">
        <v>5263</v>
      </c>
      <c r="I346" s="788"/>
      <c r="J346" s="197"/>
      <c r="K346" s="197"/>
      <c r="L346" s="197"/>
      <c r="M346" s="197"/>
      <c r="N346" s="197"/>
      <c r="O346" s="197"/>
      <c r="P346" s="197"/>
      <c r="Q346" s="470"/>
      <c r="R346" s="458"/>
      <c r="S346" s="458"/>
      <c r="T346" s="458"/>
      <c r="U346" s="458"/>
      <c r="V346" s="458"/>
      <c r="W346" s="458"/>
      <c r="X346" s="458"/>
      <c r="Y346" s="458"/>
      <c r="Z346" s="458"/>
      <c r="AA346" s="458"/>
      <c r="AB346" s="458"/>
      <c r="AC346" s="458"/>
      <c r="AD346" s="458"/>
    </row>
    <row r="347" spans="1:30" s="193" customFormat="1" ht="15">
      <c r="A347" s="207">
        <v>339</v>
      </c>
      <c r="B347" s="165"/>
      <c r="C347" s="156"/>
      <c r="D347" s="1100" t="s">
        <v>635</v>
      </c>
      <c r="E347" s="213"/>
      <c r="F347" s="471"/>
      <c r="G347" s="471"/>
      <c r="H347" s="469"/>
      <c r="I347" s="790">
        <f t="shared" si="63"/>
        <v>0</v>
      </c>
      <c r="J347" s="197"/>
      <c r="K347" s="197"/>
      <c r="L347" s="197"/>
      <c r="M347" s="197"/>
      <c r="N347" s="197"/>
      <c r="O347" s="197"/>
      <c r="P347" s="197"/>
      <c r="Q347" s="470"/>
      <c r="R347" s="197"/>
      <c r="S347" s="197"/>
      <c r="T347" s="197"/>
      <c r="U347" s="197"/>
      <c r="V347" s="197"/>
      <c r="W347" s="197"/>
      <c r="X347" s="197"/>
      <c r="Y347" s="197"/>
      <c r="Z347" s="197"/>
      <c r="AA347" s="197"/>
      <c r="AB347" s="197"/>
      <c r="AC347" s="197"/>
      <c r="AD347" s="197"/>
    </row>
    <row r="348" spans="1:30" s="196" customFormat="1" ht="15">
      <c r="A348" s="207">
        <v>340</v>
      </c>
      <c r="B348" s="176"/>
      <c r="C348" s="748"/>
      <c r="D348" s="838" t="s">
        <v>636</v>
      </c>
      <c r="E348" s="793"/>
      <c r="F348" s="794"/>
      <c r="G348" s="794"/>
      <c r="H348" s="478"/>
      <c r="I348" s="791">
        <f t="shared" si="63"/>
        <v>0</v>
      </c>
      <c r="J348" s="480"/>
      <c r="K348" s="480"/>
      <c r="L348" s="480"/>
      <c r="M348" s="480"/>
      <c r="N348" s="480"/>
      <c r="O348" s="480"/>
      <c r="P348" s="480"/>
      <c r="Q348" s="481"/>
      <c r="R348" s="480"/>
      <c r="S348" s="480"/>
      <c r="T348" s="480"/>
      <c r="U348" s="480"/>
      <c r="V348" s="480"/>
      <c r="W348" s="480"/>
      <c r="X348" s="480"/>
      <c r="Y348" s="480"/>
      <c r="Z348" s="480"/>
      <c r="AA348" s="480"/>
      <c r="AB348" s="480"/>
      <c r="AC348" s="480"/>
      <c r="AD348" s="480"/>
    </row>
    <row r="349" spans="1:30" s="227" customFormat="1" ht="15">
      <c r="A349" s="207">
        <v>341</v>
      </c>
      <c r="B349" s="1101"/>
      <c r="C349" s="1102"/>
      <c r="D349" s="839" t="s">
        <v>637</v>
      </c>
      <c r="E349" s="795"/>
      <c r="F349" s="796"/>
      <c r="G349" s="796"/>
      <c r="H349" s="485"/>
      <c r="I349" s="464">
        <f t="shared" si="63"/>
        <v>0</v>
      </c>
      <c r="J349" s="326">
        <f>SUM(J347:J348)</f>
        <v>0</v>
      </c>
      <c r="K349" s="326">
        <f aca="true" t="shared" si="78" ref="K349:Q349">SUM(K347:K348)</f>
        <v>0</v>
      </c>
      <c r="L349" s="326">
        <f t="shared" si="78"/>
        <v>0</v>
      </c>
      <c r="M349" s="326">
        <f t="shared" si="78"/>
        <v>0</v>
      </c>
      <c r="N349" s="326">
        <f t="shared" si="78"/>
        <v>0</v>
      </c>
      <c r="O349" s="326">
        <f t="shared" si="78"/>
        <v>0</v>
      </c>
      <c r="P349" s="326">
        <f t="shared" si="78"/>
        <v>0</v>
      </c>
      <c r="Q349" s="491">
        <f t="shared" si="78"/>
        <v>0</v>
      </c>
      <c r="R349" s="326"/>
      <c r="S349" s="326"/>
      <c r="T349" s="326"/>
      <c r="U349" s="326"/>
      <c r="V349" s="326"/>
      <c r="W349" s="326"/>
      <c r="X349" s="326"/>
      <c r="Y349" s="326"/>
      <c r="Z349" s="326"/>
      <c r="AA349" s="326"/>
      <c r="AB349" s="326"/>
      <c r="AC349" s="326"/>
      <c r="AD349" s="326"/>
    </row>
    <row r="350" spans="1:30" s="186" customFormat="1" ht="30">
      <c r="A350" s="210">
        <v>342</v>
      </c>
      <c r="B350" s="165"/>
      <c r="C350" s="171">
        <v>16</v>
      </c>
      <c r="D350" s="178" t="s">
        <v>434</v>
      </c>
      <c r="E350" s="218"/>
      <c r="F350" s="468">
        <v>1712</v>
      </c>
      <c r="G350" s="468"/>
      <c r="H350" s="469">
        <v>1617</v>
      </c>
      <c r="I350" s="788"/>
      <c r="J350" s="197"/>
      <c r="K350" s="197"/>
      <c r="L350" s="197"/>
      <c r="M350" s="197"/>
      <c r="N350" s="197"/>
      <c r="O350" s="197"/>
      <c r="P350" s="197"/>
      <c r="Q350" s="470"/>
      <c r="R350" s="458"/>
      <c r="S350" s="458"/>
      <c r="T350" s="458"/>
      <c r="U350" s="458"/>
      <c r="V350" s="458"/>
      <c r="W350" s="458"/>
      <c r="X350" s="458"/>
      <c r="Y350" s="458"/>
      <c r="Z350" s="458"/>
      <c r="AA350" s="458"/>
      <c r="AB350" s="458"/>
      <c r="AC350" s="458"/>
      <c r="AD350" s="458"/>
    </row>
    <row r="351" spans="1:30" s="193" customFormat="1" ht="15">
      <c r="A351" s="207">
        <v>343</v>
      </c>
      <c r="B351" s="165"/>
      <c r="C351" s="156"/>
      <c r="D351" s="1100" t="s">
        <v>635</v>
      </c>
      <c r="E351" s="213"/>
      <c r="F351" s="471"/>
      <c r="G351" s="471"/>
      <c r="H351" s="469"/>
      <c r="I351" s="790">
        <f t="shared" si="63"/>
        <v>0</v>
      </c>
      <c r="J351" s="197"/>
      <c r="K351" s="197"/>
      <c r="L351" s="197"/>
      <c r="M351" s="197"/>
      <c r="N351" s="197"/>
      <c r="O351" s="197"/>
      <c r="P351" s="197"/>
      <c r="Q351" s="470"/>
      <c r="R351" s="197"/>
      <c r="S351" s="197"/>
      <c r="T351" s="197"/>
      <c r="U351" s="197"/>
      <c r="V351" s="197"/>
      <c r="W351" s="197"/>
      <c r="X351" s="197"/>
      <c r="Y351" s="197"/>
      <c r="Z351" s="197"/>
      <c r="AA351" s="197"/>
      <c r="AB351" s="197"/>
      <c r="AC351" s="197"/>
      <c r="AD351" s="197"/>
    </row>
    <row r="352" spans="1:30" s="196" customFormat="1" ht="15">
      <c r="A352" s="207">
        <v>344</v>
      </c>
      <c r="B352" s="176"/>
      <c r="C352" s="748"/>
      <c r="D352" s="838" t="s">
        <v>636</v>
      </c>
      <c r="E352" s="793"/>
      <c r="F352" s="794"/>
      <c r="G352" s="794"/>
      <c r="H352" s="478"/>
      <c r="I352" s="791">
        <f t="shared" si="63"/>
        <v>0</v>
      </c>
      <c r="J352" s="480"/>
      <c r="K352" s="480"/>
      <c r="L352" s="480"/>
      <c r="M352" s="480"/>
      <c r="N352" s="480"/>
      <c r="O352" s="480"/>
      <c r="P352" s="480"/>
      <c r="Q352" s="481"/>
      <c r="R352" s="480"/>
      <c r="S352" s="480"/>
      <c r="T352" s="480"/>
      <c r="U352" s="480"/>
      <c r="V352" s="480"/>
      <c r="W352" s="480"/>
      <c r="X352" s="480"/>
      <c r="Y352" s="480"/>
      <c r="Z352" s="480"/>
      <c r="AA352" s="480"/>
      <c r="AB352" s="480"/>
      <c r="AC352" s="480"/>
      <c r="AD352" s="480"/>
    </row>
    <row r="353" spans="1:30" s="227" customFormat="1" ht="15">
      <c r="A353" s="207">
        <v>345</v>
      </c>
      <c r="B353" s="1101"/>
      <c r="C353" s="1102"/>
      <c r="D353" s="839" t="s">
        <v>637</v>
      </c>
      <c r="E353" s="795"/>
      <c r="F353" s="796"/>
      <c r="G353" s="796"/>
      <c r="H353" s="485"/>
      <c r="I353" s="464">
        <f t="shared" si="63"/>
        <v>0</v>
      </c>
      <c r="J353" s="326">
        <f>SUM(J351:J352)</f>
        <v>0</v>
      </c>
      <c r="K353" s="326">
        <f aca="true" t="shared" si="79" ref="K353:Q353">SUM(K351:K352)</f>
        <v>0</v>
      </c>
      <c r="L353" s="326">
        <f t="shared" si="79"/>
        <v>0</v>
      </c>
      <c r="M353" s="326">
        <f t="shared" si="79"/>
        <v>0</v>
      </c>
      <c r="N353" s="326">
        <f t="shared" si="79"/>
        <v>0</v>
      </c>
      <c r="O353" s="326">
        <f t="shared" si="79"/>
        <v>0</v>
      </c>
      <c r="P353" s="326">
        <f t="shared" si="79"/>
        <v>0</v>
      </c>
      <c r="Q353" s="491">
        <f t="shared" si="79"/>
        <v>0</v>
      </c>
      <c r="R353" s="326"/>
      <c r="S353" s="326"/>
      <c r="T353" s="326"/>
      <c r="U353" s="326"/>
      <c r="V353" s="326"/>
      <c r="W353" s="326"/>
      <c r="X353" s="326"/>
      <c r="Y353" s="326"/>
      <c r="Z353" s="326"/>
      <c r="AA353" s="326"/>
      <c r="AB353" s="326"/>
      <c r="AC353" s="326"/>
      <c r="AD353" s="326"/>
    </row>
    <row r="354" spans="1:30" s="186" customFormat="1" ht="30" customHeight="1">
      <c r="A354" s="210">
        <v>346</v>
      </c>
      <c r="B354" s="165"/>
      <c r="C354" s="171">
        <v>17</v>
      </c>
      <c r="D354" s="1404" t="s">
        <v>317</v>
      </c>
      <c r="E354" s="1404"/>
      <c r="F354" s="468">
        <v>864</v>
      </c>
      <c r="G354" s="468"/>
      <c r="H354" s="469">
        <v>1522</v>
      </c>
      <c r="I354" s="788"/>
      <c r="J354" s="197"/>
      <c r="K354" s="197"/>
      <c r="L354" s="197"/>
      <c r="M354" s="197"/>
      <c r="N354" s="197"/>
      <c r="O354" s="197"/>
      <c r="P354" s="197"/>
      <c r="Q354" s="470"/>
      <c r="R354" s="458"/>
      <c r="S354" s="458"/>
      <c r="T354" s="458"/>
      <c r="U354" s="458"/>
      <c r="V354" s="458"/>
      <c r="W354" s="458"/>
      <c r="X354" s="458"/>
      <c r="Y354" s="458"/>
      <c r="Z354" s="458"/>
      <c r="AA354" s="458"/>
      <c r="AB354" s="458"/>
      <c r="AC354" s="458"/>
      <c r="AD354" s="458"/>
    </row>
    <row r="355" spans="1:30" s="193" customFormat="1" ht="15">
      <c r="A355" s="207">
        <v>347</v>
      </c>
      <c r="B355" s="165"/>
      <c r="C355" s="156"/>
      <c r="D355" s="1100" t="s">
        <v>635</v>
      </c>
      <c r="E355" s="213"/>
      <c r="F355" s="471"/>
      <c r="G355" s="471"/>
      <c r="H355" s="469"/>
      <c r="I355" s="790">
        <f t="shared" si="63"/>
        <v>0</v>
      </c>
      <c r="J355" s="197"/>
      <c r="K355" s="197"/>
      <c r="L355" s="197"/>
      <c r="M355" s="197"/>
      <c r="N355" s="197"/>
      <c r="O355" s="197"/>
      <c r="P355" s="197"/>
      <c r="Q355" s="470"/>
      <c r="R355" s="197"/>
      <c r="S355" s="197"/>
      <c r="T355" s="197"/>
      <c r="U355" s="197"/>
      <c r="V355" s="197"/>
      <c r="W355" s="197"/>
      <c r="X355" s="197"/>
      <c r="Y355" s="197"/>
      <c r="Z355" s="197"/>
      <c r="AA355" s="197"/>
      <c r="AB355" s="197"/>
      <c r="AC355" s="197"/>
      <c r="AD355" s="197"/>
    </row>
    <row r="356" spans="1:30" s="196" customFormat="1" ht="15">
      <c r="A356" s="207">
        <v>348</v>
      </c>
      <c r="B356" s="176"/>
      <c r="C356" s="748"/>
      <c r="D356" s="838" t="s">
        <v>707</v>
      </c>
      <c r="E356" s="793"/>
      <c r="F356" s="794"/>
      <c r="G356" s="794"/>
      <c r="H356" s="478"/>
      <c r="I356" s="791">
        <f aca="true" t="shared" si="80" ref="I356:I369">SUM(J356:Q356)</f>
        <v>761</v>
      </c>
      <c r="J356" s="480">
        <v>599</v>
      </c>
      <c r="K356" s="480">
        <v>162</v>
      </c>
      <c r="L356" s="1088"/>
      <c r="M356" s="480"/>
      <c r="N356" s="480"/>
      <c r="O356" s="480"/>
      <c r="P356" s="480"/>
      <c r="Q356" s="481"/>
      <c r="R356" s="480"/>
      <c r="S356" s="480"/>
      <c r="T356" s="480"/>
      <c r="U356" s="480"/>
      <c r="V356" s="480"/>
      <c r="W356" s="480"/>
      <c r="X356" s="480"/>
      <c r="Y356" s="480"/>
      <c r="Z356" s="480"/>
      <c r="AA356" s="480"/>
      <c r="AB356" s="480"/>
      <c r="AC356" s="480"/>
      <c r="AD356" s="480"/>
    </row>
    <row r="357" spans="1:30" s="227" customFormat="1" ht="15">
      <c r="A357" s="207">
        <v>349</v>
      </c>
      <c r="B357" s="1101"/>
      <c r="C357" s="1102"/>
      <c r="D357" s="839" t="s">
        <v>637</v>
      </c>
      <c r="E357" s="795"/>
      <c r="F357" s="796"/>
      <c r="G357" s="796"/>
      <c r="H357" s="485"/>
      <c r="I357" s="464">
        <f t="shared" si="80"/>
        <v>761</v>
      </c>
      <c r="J357" s="326">
        <f>SUM(J355:J356)</f>
        <v>599</v>
      </c>
      <c r="K357" s="326">
        <f aca="true" t="shared" si="81" ref="K357:Q357">SUM(K355:K356)</f>
        <v>162</v>
      </c>
      <c r="L357" s="326">
        <f t="shared" si="81"/>
        <v>0</v>
      </c>
      <c r="M357" s="326">
        <f t="shared" si="81"/>
        <v>0</v>
      </c>
      <c r="N357" s="326">
        <f t="shared" si="81"/>
        <v>0</v>
      </c>
      <c r="O357" s="326">
        <f t="shared" si="81"/>
        <v>0</v>
      </c>
      <c r="P357" s="326">
        <f t="shared" si="81"/>
        <v>0</v>
      </c>
      <c r="Q357" s="491">
        <f t="shared" si="81"/>
        <v>0</v>
      </c>
      <c r="R357" s="326"/>
      <c r="S357" s="326"/>
      <c r="T357" s="326"/>
      <c r="U357" s="326"/>
      <c r="V357" s="326"/>
      <c r="W357" s="326"/>
      <c r="X357" s="326"/>
      <c r="Y357" s="326"/>
      <c r="Z357" s="326"/>
      <c r="AA357" s="326"/>
      <c r="AB357" s="326"/>
      <c r="AC357" s="326"/>
      <c r="AD357" s="326"/>
    </row>
    <row r="358" spans="1:30" s="186" customFormat="1" ht="45">
      <c r="A358" s="210">
        <v>350</v>
      </c>
      <c r="B358" s="165"/>
      <c r="C358" s="171">
        <v>18</v>
      </c>
      <c r="D358" s="1100" t="s">
        <v>435</v>
      </c>
      <c r="E358" s="218"/>
      <c r="F358" s="468">
        <v>2869</v>
      </c>
      <c r="G358" s="468"/>
      <c r="H358" s="484">
        <v>9957</v>
      </c>
      <c r="I358" s="788"/>
      <c r="J358" s="197"/>
      <c r="K358" s="197"/>
      <c r="L358" s="197"/>
      <c r="M358" s="197"/>
      <c r="N358" s="197"/>
      <c r="O358" s="197"/>
      <c r="P358" s="197"/>
      <c r="Q358" s="470"/>
      <c r="R358" s="458"/>
      <c r="S358" s="458"/>
      <c r="T358" s="458"/>
      <c r="U358" s="458"/>
      <c r="V358" s="458"/>
      <c r="W358" s="458"/>
      <c r="X358" s="458"/>
      <c r="Y358" s="458"/>
      <c r="Z358" s="458"/>
      <c r="AA358" s="458"/>
      <c r="AB358" s="458"/>
      <c r="AC358" s="458"/>
      <c r="AD358" s="458"/>
    </row>
    <row r="359" spans="1:30" s="193" customFormat="1" ht="15">
      <c r="A359" s="207">
        <v>351</v>
      </c>
      <c r="B359" s="165"/>
      <c r="C359" s="156"/>
      <c r="D359" s="1100" t="s">
        <v>635</v>
      </c>
      <c r="E359" s="213"/>
      <c r="F359" s="471"/>
      <c r="G359" s="471"/>
      <c r="H359" s="469"/>
      <c r="I359" s="790">
        <f t="shared" si="80"/>
        <v>0</v>
      </c>
      <c r="J359" s="197"/>
      <c r="K359" s="197"/>
      <c r="L359" s="197"/>
      <c r="M359" s="197"/>
      <c r="N359" s="197"/>
      <c r="O359" s="197"/>
      <c r="P359" s="197"/>
      <c r="Q359" s="470"/>
      <c r="R359" s="197"/>
      <c r="S359" s="197"/>
      <c r="T359" s="197"/>
      <c r="U359" s="197"/>
      <c r="V359" s="197"/>
      <c r="W359" s="197"/>
      <c r="X359" s="197"/>
      <c r="Y359" s="197"/>
      <c r="Z359" s="197"/>
      <c r="AA359" s="197"/>
      <c r="AB359" s="197"/>
      <c r="AC359" s="197"/>
      <c r="AD359" s="197"/>
    </row>
    <row r="360" spans="1:30" s="196" customFormat="1" ht="15">
      <c r="A360" s="207">
        <v>352</v>
      </c>
      <c r="B360" s="176"/>
      <c r="C360" s="748"/>
      <c r="D360" s="838" t="s">
        <v>707</v>
      </c>
      <c r="E360" s="793"/>
      <c r="F360" s="794"/>
      <c r="G360" s="794"/>
      <c r="H360" s="478"/>
      <c r="I360" s="791">
        <f t="shared" si="80"/>
        <v>2174</v>
      </c>
      <c r="J360" s="480"/>
      <c r="K360" s="480"/>
      <c r="L360" s="480">
        <v>2174</v>
      </c>
      <c r="M360" s="480"/>
      <c r="N360" s="480"/>
      <c r="O360" s="480"/>
      <c r="P360" s="480"/>
      <c r="Q360" s="481"/>
      <c r="R360" s="480"/>
      <c r="S360" s="480"/>
      <c r="T360" s="480"/>
      <c r="U360" s="480"/>
      <c r="V360" s="480"/>
      <c r="W360" s="480"/>
      <c r="X360" s="480"/>
      <c r="Y360" s="480"/>
      <c r="Z360" s="480"/>
      <c r="AA360" s="480"/>
      <c r="AB360" s="480"/>
      <c r="AC360" s="480"/>
      <c r="AD360" s="480"/>
    </row>
    <row r="361" spans="1:30" s="1192" customFormat="1" ht="25.5" customHeight="1">
      <c r="A361" s="210">
        <v>353</v>
      </c>
      <c r="B361" s="754"/>
      <c r="C361" s="755"/>
      <c r="D361" s="1186" t="s">
        <v>637</v>
      </c>
      <c r="E361" s="1186"/>
      <c r="F361" s="1187"/>
      <c r="G361" s="1187"/>
      <c r="H361" s="1188"/>
      <c r="I361" s="1189">
        <f t="shared" si="80"/>
        <v>2174</v>
      </c>
      <c r="J361" s="1190">
        <f>SUM(J359:J360)</f>
        <v>0</v>
      </c>
      <c r="K361" s="1190">
        <f aca="true" t="shared" si="82" ref="K361:Q361">SUM(K359:K360)</f>
        <v>0</v>
      </c>
      <c r="L361" s="1190">
        <f t="shared" si="82"/>
        <v>2174</v>
      </c>
      <c r="M361" s="1190">
        <f t="shared" si="82"/>
        <v>0</v>
      </c>
      <c r="N361" s="1190">
        <f t="shared" si="82"/>
        <v>0</v>
      </c>
      <c r="O361" s="1190">
        <f t="shared" si="82"/>
        <v>0</v>
      </c>
      <c r="P361" s="1190">
        <f t="shared" si="82"/>
        <v>0</v>
      </c>
      <c r="Q361" s="1191">
        <f t="shared" si="82"/>
        <v>0</v>
      </c>
      <c r="R361" s="1190"/>
      <c r="S361" s="1190"/>
      <c r="T361" s="1190"/>
      <c r="U361" s="1190"/>
      <c r="V361" s="1190"/>
      <c r="W361" s="1190"/>
      <c r="X361" s="1190"/>
      <c r="Y361" s="1190"/>
      <c r="Z361" s="1190"/>
      <c r="AA361" s="1190"/>
      <c r="AB361" s="1190"/>
      <c r="AC361" s="1190"/>
      <c r="AD361" s="1190"/>
    </row>
    <row r="362" spans="1:30" s="177" customFormat="1" ht="19.5" customHeight="1">
      <c r="A362" s="212">
        <v>354</v>
      </c>
      <c r="B362" s="841"/>
      <c r="C362" s="1406" t="s">
        <v>436</v>
      </c>
      <c r="D362" s="1406"/>
      <c r="E362" s="842"/>
      <c r="F362" s="843">
        <f>SUM(F288:F358)</f>
        <v>1262346</v>
      </c>
      <c r="G362" s="843">
        <f>SUM(G288:G358)</f>
        <v>1328570</v>
      </c>
      <c r="H362" s="843">
        <f>SUM(H288:H358)</f>
        <v>1335184</v>
      </c>
      <c r="I362" s="479"/>
      <c r="J362" s="844"/>
      <c r="K362" s="844"/>
      <c r="L362" s="844"/>
      <c r="M362" s="844"/>
      <c r="N362" s="844"/>
      <c r="O362" s="844"/>
      <c r="P362" s="844"/>
      <c r="Q362" s="845"/>
      <c r="R362" s="458"/>
      <c r="S362" s="487"/>
      <c r="T362" s="487"/>
      <c r="U362" s="487"/>
      <c r="V362" s="487"/>
      <c r="W362" s="487"/>
      <c r="X362" s="487"/>
      <c r="Y362" s="487"/>
      <c r="Z362" s="487"/>
      <c r="AA362" s="487"/>
      <c r="AB362" s="487"/>
      <c r="AC362" s="487"/>
      <c r="AD362" s="487"/>
    </row>
    <row r="363" spans="1:30" s="193" customFormat="1" ht="19.5" customHeight="1">
      <c r="A363" s="212">
        <v>355</v>
      </c>
      <c r="B363" s="165"/>
      <c r="C363" s="156"/>
      <c r="D363" s="1100" t="s">
        <v>635</v>
      </c>
      <c r="E363" s="1100"/>
      <c r="F363" s="1171"/>
      <c r="G363" s="1171"/>
      <c r="H363" s="469"/>
      <c r="I363" s="790">
        <f t="shared" si="80"/>
        <v>1386577</v>
      </c>
      <c r="J363" s="197">
        <f>SUM(J359,J355,J351,J347,J343,J339,J335,J330,J326,J322,J318,J314,J310,J306,J302,J298,J294,J289)</f>
        <v>866847</v>
      </c>
      <c r="K363" s="197">
        <f aca="true" t="shared" si="83" ref="K363:Q363">SUM(K359,K355,K351,K347,K343,K339,K335,K330,K326,K322,K318,K314,K310,K306,K302,K298,K294,K289)</f>
        <v>244490</v>
      </c>
      <c r="L363" s="197">
        <f t="shared" si="83"/>
        <v>257690</v>
      </c>
      <c r="M363" s="197">
        <f t="shared" si="83"/>
        <v>0</v>
      </c>
      <c r="N363" s="197">
        <f t="shared" si="83"/>
        <v>0</v>
      </c>
      <c r="O363" s="197">
        <f t="shared" si="83"/>
        <v>17550</v>
      </c>
      <c r="P363" s="197">
        <f t="shared" si="83"/>
        <v>0</v>
      </c>
      <c r="Q363" s="470">
        <f t="shared" si="83"/>
        <v>0</v>
      </c>
      <c r="R363" s="197"/>
      <c r="S363" s="197"/>
      <c r="T363" s="197"/>
      <c r="U363" s="197"/>
      <c r="V363" s="197"/>
      <c r="W363" s="197"/>
      <c r="X363" s="197"/>
      <c r="Y363" s="197"/>
      <c r="Z363" s="197"/>
      <c r="AA363" s="197"/>
      <c r="AB363" s="197"/>
      <c r="AC363" s="197"/>
      <c r="AD363" s="197"/>
    </row>
    <row r="364" spans="1:30" s="196" customFormat="1" ht="19.5" customHeight="1">
      <c r="A364" s="212">
        <v>356</v>
      </c>
      <c r="B364" s="176"/>
      <c r="C364" s="748"/>
      <c r="D364" s="838" t="s">
        <v>636</v>
      </c>
      <c r="E364" s="838"/>
      <c r="F364" s="1172"/>
      <c r="G364" s="1172"/>
      <c r="H364" s="478"/>
      <c r="I364" s="791">
        <f>SUM(J364:Q364)</f>
        <v>107091</v>
      </c>
      <c r="J364" s="480">
        <f>SUM(J360,J356,J352,J348,J344,J340,J336,J331,J327,J323,J319,J315,J311,J307,J303,J299,J295,J290)+J291+J332</f>
        <v>50499</v>
      </c>
      <c r="K364" s="480">
        <f aca="true" t="shared" si="84" ref="K364:Q364">SUM(K360,K356,K352,K348,K344,K340,K336,K331,K327,K323,K319,K315,K311,K307,K303,K299,K295,K290)+K291+K332</f>
        <v>13765</v>
      </c>
      <c r="L364" s="480">
        <f t="shared" si="84"/>
        <v>20476</v>
      </c>
      <c r="M364" s="480">
        <f t="shared" si="84"/>
        <v>0</v>
      </c>
      <c r="N364" s="480">
        <f t="shared" si="84"/>
        <v>0</v>
      </c>
      <c r="O364" s="480">
        <f t="shared" si="84"/>
        <v>22351</v>
      </c>
      <c r="P364" s="480">
        <f t="shared" si="84"/>
        <v>0</v>
      </c>
      <c r="Q364" s="481">
        <f t="shared" si="84"/>
        <v>0</v>
      </c>
      <c r="R364" s="480"/>
      <c r="S364" s="480"/>
      <c r="T364" s="480"/>
      <c r="U364" s="480"/>
      <c r="V364" s="480"/>
      <c r="W364" s="480"/>
      <c r="X364" s="480"/>
      <c r="Y364" s="480"/>
      <c r="Z364" s="480"/>
      <c r="AA364" s="480"/>
      <c r="AB364" s="480"/>
      <c r="AC364" s="480"/>
      <c r="AD364" s="480"/>
    </row>
    <row r="365" spans="1:30" s="227" customFormat="1" ht="19.5" customHeight="1" thickBot="1">
      <c r="A365" s="212">
        <v>357</v>
      </c>
      <c r="B365" s="803"/>
      <c r="C365" s="804"/>
      <c r="D365" s="846" t="s">
        <v>637</v>
      </c>
      <c r="E365" s="846"/>
      <c r="F365" s="1173"/>
      <c r="G365" s="1173"/>
      <c r="H365" s="806"/>
      <c r="I365" s="807">
        <f t="shared" si="80"/>
        <v>1493668</v>
      </c>
      <c r="J365" s="808">
        <f>SUM(J363:J364)</f>
        <v>917346</v>
      </c>
      <c r="K365" s="808">
        <f aca="true" t="shared" si="85" ref="K365:Q365">SUM(K363:K364)</f>
        <v>258255</v>
      </c>
      <c r="L365" s="808">
        <f t="shared" si="85"/>
        <v>278166</v>
      </c>
      <c r="M365" s="808">
        <f t="shared" si="85"/>
        <v>0</v>
      </c>
      <c r="N365" s="808">
        <f t="shared" si="85"/>
        <v>0</v>
      </c>
      <c r="O365" s="808">
        <f t="shared" si="85"/>
        <v>39901</v>
      </c>
      <c r="P365" s="808">
        <f t="shared" si="85"/>
        <v>0</v>
      </c>
      <c r="Q365" s="1049">
        <f t="shared" si="85"/>
        <v>0</v>
      </c>
      <c r="R365" s="326"/>
      <c r="S365" s="326"/>
      <c r="T365" s="326"/>
      <c r="U365" s="326"/>
      <c r="V365" s="326"/>
      <c r="W365" s="326"/>
      <c r="X365" s="326"/>
      <c r="Y365" s="326"/>
      <c r="Z365" s="326"/>
      <c r="AA365" s="326"/>
      <c r="AB365" s="326"/>
      <c r="AC365" s="326"/>
      <c r="AD365" s="326"/>
    </row>
    <row r="366" spans="1:30" s="191" customFormat="1" ht="19.5" customHeight="1" thickTop="1">
      <c r="A366" s="212">
        <v>358</v>
      </c>
      <c r="B366" s="1429" t="s">
        <v>19</v>
      </c>
      <c r="C366" s="1430"/>
      <c r="D366" s="1430"/>
      <c r="E366" s="452"/>
      <c r="F366" s="789">
        <f>SUM(F283,F362)</f>
        <v>6047359</v>
      </c>
      <c r="G366" s="789">
        <f>SUM(G283,G362)</f>
        <v>6127521</v>
      </c>
      <c r="H366" s="485">
        <f>SUM(H283,H362)</f>
        <v>6668003</v>
      </c>
      <c r="I366" s="788"/>
      <c r="J366" s="325"/>
      <c r="K366" s="325"/>
      <c r="L366" s="325"/>
      <c r="M366" s="325"/>
      <c r="N366" s="325"/>
      <c r="O366" s="325"/>
      <c r="P366" s="325"/>
      <c r="Q366" s="486"/>
      <c r="R366" s="458"/>
      <c r="S366" s="457"/>
      <c r="T366" s="457"/>
      <c r="U366" s="457"/>
      <c r="V366" s="457"/>
      <c r="W366" s="457"/>
      <c r="X366" s="457"/>
      <c r="Y366" s="457"/>
      <c r="Z366" s="457"/>
      <c r="AA366" s="457"/>
      <c r="AB366" s="457"/>
      <c r="AC366" s="457"/>
      <c r="AD366" s="457"/>
    </row>
    <row r="367" spans="1:30" s="193" customFormat="1" ht="19.5" customHeight="1">
      <c r="A367" s="212">
        <v>359</v>
      </c>
      <c r="B367" s="165"/>
      <c r="C367" s="156"/>
      <c r="D367" s="1100" t="s">
        <v>635</v>
      </c>
      <c r="E367" s="1100"/>
      <c r="F367" s="1171"/>
      <c r="G367" s="1171"/>
      <c r="H367" s="469"/>
      <c r="I367" s="790">
        <f t="shared" si="80"/>
        <v>6418114</v>
      </c>
      <c r="J367" s="197">
        <f aca="true" t="shared" si="86" ref="J367:Q367">SUM(J284,J363)</f>
        <v>3170591</v>
      </c>
      <c r="K367" s="197">
        <f t="shared" si="86"/>
        <v>864345</v>
      </c>
      <c r="L367" s="197">
        <f t="shared" si="86"/>
        <v>2289142</v>
      </c>
      <c r="M367" s="197">
        <f t="shared" si="86"/>
        <v>0</v>
      </c>
      <c r="N367" s="197">
        <f t="shared" si="86"/>
        <v>23755</v>
      </c>
      <c r="O367" s="197">
        <f t="shared" si="86"/>
        <v>64149</v>
      </c>
      <c r="P367" s="197">
        <f t="shared" si="86"/>
        <v>6132</v>
      </c>
      <c r="Q367" s="470">
        <f t="shared" si="86"/>
        <v>0</v>
      </c>
      <c r="R367" s="197"/>
      <c r="S367" s="197"/>
      <c r="T367" s="197"/>
      <c r="U367" s="197"/>
      <c r="V367" s="197"/>
      <c r="W367" s="197"/>
      <c r="X367" s="197"/>
      <c r="Y367" s="197"/>
      <c r="Z367" s="197"/>
      <c r="AA367" s="197"/>
      <c r="AB367" s="197"/>
      <c r="AC367" s="197"/>
      <c r="AD367" s="197"/>
    </row>
    <row r="368" spans="1:30" s="196" customFormat="1" ht="19.5" customHeight="1">
      <c r="A368" s="212">
        <v>360</v>
      </c>
      <c r="B368" s="176"/>
      <c r="C368" s="748"/>
      <c r="D368" s="838" t="s">
        <v>636</v>
      </c>
      <c r="E368" s="838"/>
      <c r="F368" s="1172"/>
      <c r="G368" s="1172"/>
      <c r="H368" s="478"/>
      <c r="I368" s="791">
        <f>SUM(J368:Q368)</f>
        <v>437449</v>
      </c>
      <c r="J368" s="480">
        <f>J364+J285</f>
        <v>144196</v>
      </c>
      <c r="K368" s="480">
        <f aca="true" t="shared" si="87" ref="K368:Q368">K364+K285</f>
        <v>42265</v>
      </c>
      <c r="L368" s="480">
        <f t="shared" si="87"/>
        <v>121091</v>
      </c>
      <c r="M368" s="480">
        <f t="shared" si="87"/>
        <v>0</v>
      </c>
      <c r="N368" s="480">
        <f t="shared" si="87"/>
        <v>500</v>
      </c>
      <c r="O368" s="480">
        <f t="shared" si="87"/>
        <v>90680</v>
      </c>
      <c r="P368" s="480">
        <f t="shared" si="87"/>
        <v>38717</v>
      </c>
      <c r="Q368" s="481">
        <f t="shared" si="87"/>
        <v>0</v>
      </c>
      <c r="R368" s="480"/>
      <c r="S368" s="480"/>
      <c r="T368" s="480"/>
      <c r="U368" s="480"/>
      <c r="V368" s="480"/>
      <c r="W368" s="480"/>
      <c r="X368" s="480"/>
      <c r="Y368" s="480"/>
      <c r="Z368" s="480"/>
      <c r="AA368" s="480"/>
      <c r="AB368" s="480"/>
      <c r="AC368" s="480"/>
      <c r="AD368" s="480"/>
    </row>
    <row r="369" spans="1:30" s="227" customFormat="1" ht="19.5" customHeight="1" thickBot="1">
      <c r="A369" s="212">
        <v>361</v>
      </c>
      <c r="B369" s="825"/>
      <c r="C369" s="826"/>
      <c r="D369" s="840" t="s">
        <v>637</v>
      </c>
      <c r="E369" s="840"/>
      <c r="F369" s="1180"/>
      <c r="G369" s="1180"/>
      <c r="H369" s="828"/>
      <c r="I369" s="829">
        <f t="shared" si="80"/>
        <v>6855563</v>
      </c>
      <c r="J369" s="830">
        <f>SUM(J367:J368)</f>
        <v>3314787</v>
      </c>
      <c r="K369" s="830">
        <f aca="true" t="shared" si="88" ref="K369:Q369">SUM(K367:K368)</f>
        <v>906610</v>
      </c>
      <c r="L369" s="830">
        <f t="shared" si="88"/>
        <v>2410233</v>
      </c>
      <c r="M369" s="830">
        <f t="shared" si="88"/>
        <v>0</v>
      </c>
      <c r="N369" s="830">
        <f t="shared" si="88"/>
        <v>24255</v>
      </c>
      <c r="O369" s="830">
        <f t="shared" si="88"/>
        <v>154829</v>
      </c>
      <c r="P369" s="830">
        <f t="shared" si="88"/>
        <v>44849</v>
      </c>
      <c r="Q369" s="831">
        <f t="shared" si="88"/>
        <v>0</v>
      </c>
      <c r="R369" s="326"/>
      <c r="S369" s="326"/>
      <c r="T369" s="326"/>
      <c r="U369" s="326"/>
      <c r="V369" s="326"/>
      <c r="W369" s="326"/>
      <c r="X369" s="326"/>
      <c r="Y369" s="326"/>
      <c r="Z369" s="326"/>
      <c r="AA369" s="326"/>
      <c r="AB369" s="326"/>
      <c r="AC369" s="326"/>
      <c r="AD369" s="326"/>
    </row>
    <row r="370" spans="1:30" s="227" customFormat="1" ht="15">
      <c r="A370" s="207">
        <v>362</v>
      </c>
      <c r="B370" s="1431" t="s">
        <v>437</v>
      </c>
      <c r="C370" s="1432"/>
      <c r="D370" s="1432"/>
      <c r="E370" s="226"/>
      <c r="F370" s="488"/>
      <c r="G370" s="488"/>
      <c r="H370" s="489"/>
      <c r="I370" s="490"/>
      <c r="J370" s="492"/>
      <c r="K370" s="492"/>
      <c r="L370" s="492"/>
      <c r="M370" s="492"/>
      <c r="N370" s="492"/>
      <c r="O370" s="492"/>
      <c r="P370" s="492"/>
      <c r="Q370" s="493"/>
      <c r="R370" s="326"/>
      <c r="S370" s="326"/>
      <c r="T370" s="326"/>
      <c r="U370" s="326"/>
      <c r="V370" s="326"/>
      <c r="W370" s="326"/>
      <c r="X370" s="326"/>
      <c r="Y370" s="326"/>
      <c r="Z370" s="326"/>
      <c r="AA370" s="326"/>
      <c r="AB370" s="326"/>
      <c r="AC370" s="326"/>
      <c r="AD370" s="326"/>
    </row>
    <row r="371" spans="1:30" s="193" customFormat="1" ht="15" customHeight="1">
      <c r="A371" s="207">
        <v>363</v>
      </c>
      <c r="B371" s="1433" t="s">
        <v>438</v>
      </c>
      <c r="C371" s="1434"/>
      <c r="D371" s="1434"/>
      <c r="E371" s="1434"/>
      <c r="F371" s="468">
        <f>SUM(F144:F240,F140,F104,F277)</f>
        <v>3922107</v>
      </c>
      <c r="G371" s="468">
        <f>SUM(G144:G240,G140,G104,G277)</f>
        <v>4017962</v>
      </c>
      <c r="H371" s="469">
        <f>SUM(H144:H240,H140,H104,H277)</f>
        <v>4440653</v>
      </c>
      <c r="I371" s="464"/>
      <c r="Q371" s="785"/>
      <c r="R371" s="466"/>
      <c r="S371" s="197"/>
      <c r="T371" s="197"/>
      <c r="U371" s="197"/>
      <c r="V371" s="197"/>
      <c r="W371" s="197"/>
      <c r="X371" s="197"/>
      <c r="Y371" s="197"/>
      <c r="Z371" s="197"/>
      <c r="AA371" s="197"/>
      <c r="AB371" s="197"/>
      <c r="AC371" s="197"/>
      <c r="AD371" s="197"/>
    </row>
    <row r="372" spans="1:30" s="193" customFormat="1" ht="15" customHeight="1">
      <c r="A372" s="207">
        <v>364</v>
      </c>
      <c r="B372" s="848"/>
      <c r="C372" s="849"/>
      <c r="D372" s="849" t="s">
        <v>635</v>
      </c>
      <c r="E372" s="849"/>
      <c r="F372" s="468"/>
      <c r="G372" s="468"/>
      <c r="H372" s="469"/>
      <c r="I372" s="790">
        <f>SUM(J372:Q372)</f>
        <v>4216828</v>
      </c>
      <c r="J372" s="197">
        <f aca="true" t="shared" si="89" ref="J372:Q372">SUM(J278,J224,J220,J198,J184,J145,J141,J105)+J172+J176+J180+J190+J194+J208+J212+J216+J233+J237+J241</f>
        <v>1971804</v>
      </c>
      <c r="K372" s="197">
        <f t="shared" si="89"/>
        <v>536533</v>
      </c>
      <c r="L372" s="197">
        <f t="shared" si="89"/>
        <v>1640367</v>
      </c>
      <c r="M372" s="197">
        <f t="shared" si="89"/>
        <v>0</v>
      </c>
      <c r="N372" s="197">
        <f t="shared" si="89"/>
        <v>21775</v>
      </c>
      <c r="O372" s="197">
        <f t="shared" si="89"/>
        <v>46349</v>
      </c>
      <c r="P372" s="197">
        <f t="shared" si="89"/>
        <v>0</v>
      </c>
      <c r="Q372" s="470">
        <f t="shared" si="89"/>
        <v>0</v>
      </c>
      <c r="R372" s="466"/>
      <c r="S372" s="197"/>
      <c r="T372" s="197"/>
      <c r="U372" s="197"/>
      <c r="V372" s="197"/>
      <c r="W372" s="197"/>
      <c r="X372" s="197"/>
      <c r="Y372" s="197"/>
      <c r="Z372" s="197"/>
      <c r="AA372" s="197"/>
      <c r="AB372" s="197"/>
      <c r="AC372" s="197"/>
      <c r="AD372" s="197"/>
    </row>
    <row r="373" spans="1:30" s="196" customFormat="1" ht="15" customHeight="1">
      <c r="A373" s="207">
        <v>365</v>
      </c>
      <c r="B373" s="1103"/>
      <c r="C373" s="1104"/>
      <c r="D373" s="1104" t="s">
        <v>636</v>
      </c>
      <c r="E373" s="1104"/>
      <c r="F373" s="787"/>
      <c r="G373" s="787"/>
      <c r="H373" s="478"/>
      <c r="I373" s="791">
        <f aca="true" t="shared" si="90" ref="I373:I384">SUM(J373:Q373)</f>
        <v>301829</v>
      </c>
      <c r="J373" s="480">
        <f>SUM(J279:J281,J225:J230,J234,J238,J242,J199:J205,J209,J213,J217,J221,J185:J187,J191,J195,J146:J169,J173,J177,J181,J142,J106)</f>
        <v>90237</v>
      </c>
      <c r="K373" s="480">
        <f aca="true" t="shared" si="91" ref="K373:Q373">SUM(K279:K281,K225:K230,K234,K238,K242,K199:K205,K209,K213,K217,K221,K185:K187,K191,K195,K146:K169,K173,K177,K181,K142,K106)</f>
        <v>27587</v>
      </c>
      <c r="L373" s="480">
        <f t="shared" si="91"/>
        <v>89955</v>
      </c>
      <c r="M373" s="480">
        <f t="shared" si="91"/>
        <v>0</v>
      </c>
      <c r="N373" s="480">
        <f t="shared" si="91"/>
        <v>500</v>
      </c>
      <c r="O373" s="480">
        <f t="shared" si="91"/>
        <v>55050</v>
      </c>
      <c r="P373" s="480">
        <f t="shared" si="91"/>
        <v>38500</v>
      </c>
      <c r="Q373" s="481">
        <f t="shared" si="91"/>
        <v>0</v>
      </c>
      <c r="R373" s="482"/>
      <c r="S373" s="480"/>
      <c r="T373" s="480"/>
      <c r="U373" s="480"/>
      <c r="V373" s="480"/>
      <c r="W373" s="480"/>
      <c r="X373" s="480"/>
      <c r="Y373" s="480"/>
      <c r="Z373" s="480"/>
      <c r="AA373" s="480"/>
      <c r="AB373" s="480"/>
      <c r="AC373" s="480"/>
      <c r="AD373" s="480"/>
    </row>
    <row r="374" spans="1:30" s="227" customFormat="1" ht="15" customHeight="1">
      <c r="A374" s="207">
        <v>366</v>
      </c>
      <c r="B374" s="850"/>
      <c r="C374" s="851"/>
      <c r="D374" s="851" t="s">
        <v>637</v>
      </c>
      <c r="E374" s="851"/>
      <c r="F374" s="789"/>
      <c r="G374" s="789"/>
      <c r="H374" s="485"/>
      <c r="I374" s="464">
        <f t="shared" si="90"/>
        <v>4518657</v>
      </c>
      <c r="J374" s="326">
        <f>SUM(J372:J373)</f>
        <v>2062041</v>
      </c>
      <c r="K374" s="326">
        <f aca="true" t="shared" si="92" ref="K374:Q374">SUM(K372:K373)</f>
        <v>564120</v>
      </c>
      <c r="L374" s="326">
        <f t="shared" si="92"/>
        <v>1730322</v>
      </c>
      <c r="M374" s="326">
        <f t="shared" si="92"/>
        <v>0</v>
      </c>
      <c r="N374" s="326">
        <f t="shared" si="92"/>
        <v>22275</v>
      </c>
      <c r="O374" s="326">
        <f t="shared" si="92"/>
        <v>101399</v>
      </c>
      <c r="P374" s="326">
        <f t="shared" si="92"/>
        <v>38500</v>
      </c>
      <c r="Q374" s="491">
        <f t="shared" si="92"/>
        <v>0</v>
      </c>
      <c r="R374" s="847"/>
      <c r="S374" s="326"/>
      <c r="T374" s="326"/>
      <c r="U374" s="326"/>
      <c r="V374" s="326"/>
      <c r="W374" s="326"/>
      <c r="X374" s="326"/>
      <c r="Y374" s="326"/>
      <c r="Z374" s="326"/>
      <c r="AA374" s="326"/>
      <c r="AB374" s="326"/>
      <c r="AC374" s="326"/>
      <c r="AD374" s="326"/>
    </row>
    <row r="375" spans="1:30" s="193" customFormat="1" ht="15" customHeight="1">
      <c r="A375" s="207">
        <v>367</v>
      </c>
      <c r="B375" s="1435" t="s">
        <v>437</v>
      </c>
      <c r="C375" s="1436"/>
      <c r="D375" s="1436"/>
      <c r="E375" s="228"/>
      <c r="F375" s="468"/>
      <c r="G375" s="468"/>
      <c r="H375" s="469"/>
      <c r="I375" s="464"/>
      <c r="J375" s="326"/>
      <c r="K375" s="326"/>
      <c r="L375" s="326"/>
      <c r="M375" s="326"/>
      <c r="N375" s="326"/>
      <c r="O375" s="326"/>
      <c r="P375" s="326"/>
      <c r="Q375" s="491"/>
      <c r="R375" s="466"/>
      <c r="S375" s="197"/>
      <c r="T375" s="197"/>
      <c r="U375" s="197"/>
      <c r="V375" s="197"/>
      <c r="W375" s="197"/>
      <c r="X375" s="197"/>
      <c r="Y375" s="197"/>
      <c r="Z375" s="197"/>
      <c r="AA375" s="197"/>
      <c r="AB375" s="197"/>
      <c r="AC375" s="197"/>
      <c r="AD375" s="197"/>
    </row>
    <row r="376" spans="1:30" s="193" customFormat="1" ht="15">
      <c r="A376" s="207">
        <v>368</v>
      </c>
      <c r="B376" s="1433" t="s">
        <v>439</v>
      </c>
      <c r="C376" s="1434"/>
      <c r="D376" s="1434"/>
      <c r="E376" s="1434"/>
      <c r="F376" s="468">
        <f>SUM(F244:F262)</f>
        <v>862906</v>
      </c>
      <c r="G376" s="468">
        <f>SUM(G244:G262)+G269</f>
        <v>780989</v>
      </c>
      <c r="H376" s="469">
        <f>SUM(H244:H262)+H269</f>
        <v>892166</v>
      </c>
      <c r="I376" s="464"/>
      <c r="J376" s="197"/>
      <c r="K376" s="197"/>
      <c r="L376" s="197"/>
      <c r="M376" s="197"/>
      <c r="N376" s="197"/>
      <c r="O376" s="197"/>
      <c r="P376" s="197"/>
      <c r="Q376" s="470"/>
      <c r="R376" s="466"/>
      <c r="S376" s="197"/>
      <c r="T376" s="197"/>
      <c r="U376" s="197"/>
      <c r="V376" s="197"/>
      <c r="W376" s="197"/>
      <c r="X376" s="197"/>
      <c r="Y376" s="197"/>
      <c r="Z376" s="197"/>
      <c r="AA376" s="197"/>
      <c r="AB376" s="197"/>
      <c r="AC376" s="197"/>
      <c r="AD376" s="197"/>
    </row>
    <row r="377" spans="1:30" s="193" customFormat="1" ht="15" customHeight="1">
      <c r="A377" s="207">
        <v>369</v>
      </c>
      <c r="B377" s="848"/>
      <c r="C377" s="849"/>
      <c r="D377" s="849" t="s">
        <v>635</v>
      </c>
      <c r="E377" s="849"/>
      <c r="F377" s="468"/>
      <c r="G377" s="468"/>
      <c r="H377" s="469"/>
      <c r="I377" s="790">
        <f t="shared" si="90"/>
        <v>814709</v>
      </c>
      <c r="J377" s="197">
        <f>SUM(J270,J263,J259,J255,J251,J245)</f>
        <v>331940</v>
      </c>
      <c r="K377" s="197">
        <f aca="true" t="shared" si="93" ref="K377:Q377">SUM(K270,K263,K259,K255,K251,K245)</f>
        <v>83322</v>
      </c>
      <c r="L377" s="197">
        <f t="shared" si="93"/>
        <v>391085</v>
      </c>
      <c r="M377" s="197">
        <f t="shared" si="93"/>
        <v>0</v>
      </c>
      <c r="N377" s="197">
        <f t="shared" si="93"/>
        <v>1980</v>
      </c>
      <c r="O377" s="197">
        <f t="shared" si="93"/>
        <v>250</v>
      </c>
      <c r="P377" s="197">
        <f t="shared" si="93"/>
        <v>6132</v>
      </c>
      <c r="Q377" s="470">
        <f t="shared" si="93"/>
        <v>0</v>
      </c>
      <c r="R377" s="466"/>
      <c r="S377" s="197"/>
      <c r="T377" s="197"/>
      <c r="U377" s="197"/>
      <c r="V377" s="197"/>
      <c r="W377" s="197"/>
      <c r="X377" s="197"/>
      <c r="Y377" s="197"/>
      <c r="Z377" s="197"/>
      <c r="AA377" s="197"/>
      <c r="AB377" s="197"/>
      <c r="AC377" s="197"/>
      <c r="AD377" s="197"/>
    </row>
    <row r="378" spans="1:30" s="196" customFormat="1" ht="15" customHeight="1">
      <c r="A378" s="207">
        <v>370</v>
      </c>
      <c r="B378" s="1103"/>
      <c r="C378" s="1104"/>
      <c r="D378" s="1104" t="s">
        <v>636</v>
      </c>
      <c r="E378" s="1104"/>
      <c r="F378" s="787"/>
      <c r="G378" s="787"/>
      <c r="H378" s="478"/>
      <c r="I378" s="791">
        <f>SUM(J378:Q378)</f>
        <v>28529</v>
      </c>
      <c r="J378" s="480">
        <f>SUM(J264:J267,J271,J246:J248,J252,J256,J260)</f>
        <v>3460</v>
      </c>
      <c r="K378" s="480">
        <f aca="true" t="shared" si="94" ref="K378:Q378">SUM(K264:K267,K271,K246:K248,K252,K256,K260)</f>
        <v>913</v>
      </c>
      <c r="L378" s="480">
        <f t="shared" si="94"/>
        <v>10660</v>
      </c>
      <c r="M378" s="480">
        <f t="shared" si="94"/>
        <v>0</v>
      </c>
      <c r="N378" s="480">
        <f t="shared" si="94"/>
        <v>0</v>
      </c>
      <c r="O378" s="480">
        <f t="shared" si="94"/>
        <v>13279</v>
      </c>
      <c r="P378" s="480">
        <f t="shared" si="94"/>
        <v>217</v>
      </c>
      <c r="Q378" s="481">
        <f t="shared" si="94"/>
        <v>0</v>
      </c>
      <c r="R378" s="482"/>
      <c r="S378" s="480"/>
      <c r="T378" s="480"/>
      <c r="U378" s="480"/>
      <c r="V378" s="480"/>
      <c r="W378" s="480"/>
      <c r="X378" s="480"/>
      <c r="Y378" s="480"/>
      <c r="Z378" s="480"/>
      <c r="AA378" s="480"/>
      <c r="AB378" s="480"/>
      <c r="AC378" s="480"/>
      <c r="AD378" s="480"/>
    </row>
    <row r="379" spans="1:30" s="227" customFormat="1" ht="15" customHeight="1">
      <c r="A379" s="207">
        <v>371</v>
      </c>
      <c r="B379" s="850"/>
      <c r="C379" s="851"/>
      <c r="D379" s="851" t="s">
        <v>637</v>
      </c>
      <c r="E379" s="851"/>
      <c r="F379" s="789"/>
      <c r="G379" s="789"/>
      <c r="H379" s="485"/>
      <c r="I379" s="464">
        <f t="shared" si="90"/>
        <v>843238</v>
      </c>
      <c r="J379" s="326">
        <f>SUM(J377:J378)</f>
        <v>335400</v>
      </c>
      <c r="K379" s="326">
        <f aca="true" t="shared" si="95" ref="K379:Q379">SUM(K377:K378)</f>
        <v>84235</v>
      </c>
      <c r="L379" s="326">
        <f t="shared" si="95"/>
        <v>401745</v>
      </c>
      <c r="M379" s="326">
        <f t="shared" si="95"/>
        <v>0</v>
      </c>
      <c r="N379" s="326">
        <f t="shared" si="95"/>
        <v>1980</v>
      </c>
      <c r="O379" s="326">
        <f t="shared" si="95"/>
        <v>13529</v>
      </c>
      <c r="P379" s="326">
        <f t="shared" si="95"/>
        <v>6349</v>
      </c>
      <c r="Q379" s="491">
        <f t="shared" si="95"/>
        <v>0</v>
      </c>
      <c r="R379" s="847"/>
      <c r="S379" s="326"/>
      <c r="T379" s="326"/>
      <c r="U379" s="326"/>
      <c r="V379" s="326"/>
      <c r="W379" s="326"/>
      <c r="X379" s="326"/>
      <c r="Y379" s="326"/>
      <c r="Z379" s="326"/>
      <c r="AA379" s="326"/>
      <c r="AB379" s="326"/>
      <c r="AC379" s="326"/>
      <c r="AD379" s="326"/>
    </row>
    <row r="380" spans="1:30" s="193" customFormat="1" ht="15" customHeight="1">
      <c r="A380" s="207">
        <v>372</v>
      </c>
      <c r="B380" s="1435" t="s">
        <v>437</v>
      </c>
      <c r="C380" s="1436"/>
      <c r="D380" s="1436"/>
      <c r="E380" s="228"/>
      <c r="F380" s="468"/>
      <c r="G380" s="468"/>
      <c r="H380" s="469"/>
      <c r="I380" s="464"/>
      <c r="J380" s="326"/>
      <c r="K380" s="326"/>
      <c r="L380" s="326"/>
      <c r="M380" s="326"/>
      <c r="N380" s="326"/>
      <c r="O380" s="326"/>
      <c r="P380" s="326"/>
      <c r="Q380" s="491"/>
      <c r="R380" s="466"/>
      <c r="S380" s="197"/>
      <c r="T380" s="197"/>
      <c r="U380" s="197"/>
      <c r="V380" s="197"/>
      <c r="W380" s="197"/>
      <c r="X380" s="197"/>
      <c r="Y380" s="197"/>
      <c r="Z380" s="197"/>
      <c r="AA380" s="197"/>
      <c r="AB380" s="197"/>
      <c r="AC380" s="197"/>
      <c r="AD380" s="197"/>
    </row>
    <row r="381" spans="1:30" s="173" customFormat="1" ht="31.5" customHeight="1">
      <c r="A381" s="210">
        <v>373</v>
      </c>
      <c r="B381" s="1437" t="s">
        <v>440</v>
      </c>
      <c r="C381" s="1438"/>
      <c r="D381" s="1438"/>
      <c r="E381" s="1438"/>
      <c r="F381" s="473">
        <f>SUM(F362)</f>
        <v>1262346</v>
      </c>
      <c r="G381" s="473">
        <f>SUM(G362)</f>
        <v>1328570</v>
      </c>
      <c r="H381" s="473">
        <f>SUM(H362)</f>
        <v>1335184</v>
      </c>
      <c r="I381" s="464"/>
      <c r="J381" s="197"/>
      <c r="K381" s="197"/>
      <c r="L381" s="197"/>
      <c r="M381" s="197"/>
      <c r="N381" s="197"/>
      <c r="O381" s="197"/>
      <c r="P381" s="197"/>
      <c r="Q381" s="470"/>
      <c r="R381" s="466"/>
      <c r="S381" s="225"/>
      <c r="T381" s="225"/>
      <c r="U381" s="225"/>
      <c r="V381" s="225"/>
      <c r="W381" s="225"/>
      <c r="X381" s="225"/>
      <c r="Y381" s="225"/>
      <c r="Z381" s="225"/>
      <c r="AA381" s="225"/>
      <c r="AB381" s="225"/>
      <c r="AC381" s="225"/>
      <c r="AD381" s="225"/>
    </row>
    <row r="382" spans="1:30" s="193" customFormat="1" ht="15" customHeight="1">
      <c r="A382" s="207">
        <v>374</v>
      </c>
      <c r="B382" s="848"/>
      <c r="C382" s="849"/>
      <c r="D382" s="849" t="s">
        <v>635</v>
      </c>
      <c r="E382" s="849"/>
      <c r="F382" s="468"/>
      <c r="G382" s="468"/>
      <c r="H382" s="469"/>
      <c r="I382" s="790">
        <f t="shared" si="90"/>
        <v>1386577</v>
      </c>
      <c r="J382" s="197">
        <f aca="true" t="shared" si="96" ref="J382:Q382">SUM(J363)</f>
        <v>866847</v>
      </c>
      <c r="K382" s="197">
        <f t="shared" si="96"/>
        <v>244490</v>
      </c>
      <c r="L382" s="197">
        <f t="shared" si="96"/>
        <v>257690</v>
      </c>
      <c r="M382" s="197">
        <f t="shared" si="96"/>
        <v>0</v>
      </c>
      <c r="N382" s="197">
        <f t="shared" si="96"/>
        <v>0</v>
      </c>
      <c r="O382" s="197">
        <f t="shared" si="96"/>
        <v>17550</v>
      </c>
      <c r="P382" s="197">
        <f t="shared" si="96"/>
        <v>0</v>
      </c>
      <c r="Q382" s="470">
        <f t="shared" si="96"/>
        <v>0</v>
      </c>
      <c r="R382" s="466"/>
      <c r="S382" s="197"/>
      <c r="T382" s="197"/>
      <c r="U382" s="197"/>
      <c r="V382" s="197"/>
      <c r="W382" s="197"/>
      <c r="X382" s="197"/>
      <c r="Y382" s="197"/>
      <c r="Z382" s="197"/>
      <c r="AA382" s="197"/>
      <c r="AB382" s="197"/>
      <c r="AC382" s="197"/>
      <c r="AD382" s="197"/>
    </row>
    <row r="383" spans="1:30" s="196" customFormat="1" ht="15" customHeight="1">
      <c r="A383" s="207">
        <v>375</v>
      </c>
      <c r="B383" s="1103"/>
      <c r="C383" s="1104"/>
      <c r="D383" s="1104" t="s">
        <v>636</v>
      </c>
      <c r="E383" s="1104"/>
      <c r="F383" s="787"/>
      <c r="G383" s="787"/>
      <c r="H383" s="478"/>
      <c r="I383" s="791">
        <f t="shared" si="90"/>
        <v>107091</v>
      </c>
      <c r="J383" s="480">
        <f>SUM(J364)</f>
        <v>50499</v>
      </c>
      <c r="K383" s="480">
        <f aca="true" t="shared" si="97" ref="K383:Q383">SUM(K364)</f>
        <v>13765</v>
      </c>
      <c r="L383" s="480">
        <f t="shared" si="97"/>
        <v>20476</v>
      </c>
      <c r="M383" s="480">
        <f t="shared" si="97"/>
        <v>0</v>
      </c>
      <c r="N383" s="480">
        <f t="shared" si="97"/>
        <v>0</v>
      </c>
      <c r="O383" s="480">
        <f t="shared" si="97"/>
        <v>22351</v>
      </c>
      <c r="P383" s="480">
        <f t="shared" si="97"/>
        <v>0</v>
      </c>
      <c r="Q383" s="481">
        <f t="shared" si="97"/>
        <v>0</v>
      </c>
      <c r="R383" s="482"/>
      <c r="S383" s="480"/>
      <c r="T383" s="480"/>
      <c r="U383" s="480"/>
      <c r="V383" s="480"/>
      <c r="W383" s="480"/>
      <c r="X383" s="480"/>
      <c r="Y383" s="480"/>
      <c r="Z383" s="480"/>
      <c r="AA383" s="480"/>
      <c r="AB383" s="480"/>
      <c r="AC383" s="480"/>
      <c r="AD383" s="480"/>
    </row>
    <row r="384" spans="1:30" s="227" customFormat="1" ht="15" customHeight="1" thickBot="1">
      <c r="A384" s="207">
        <v>376</v>
      </c>
      <c r="B384" s="852"/>
      <c r="C384" s="853"/>
      <c r="D384" s="853" t="s">
        <v>637</v>
      </c>
      <c r="E384" s="853"/>
      <c r="F384" s="837"/>
      <c r="G384" s="837"/>
      <c r="H384" s="828"/>
      <c r="I384" s="829">
        <f t="shared" si="90"/>
        <v>1493668</v>
      </c>
      <c r="J384" s="830">
        <f>SUM(J382:J383)</f>
        <v>917346</v>
      </c>
      <c r="K384" s="830">
        <f aca="true" t="shared" si="98" ref="K384:Q384">SUM(K382:K383)</f>
        <v>258255</v>
      </c>
      <c r="L384" s="830">
        <f t="shared" si="98"/>
        <v>278166</v>
      </c>
      <c r="M384" s="830">
        <f t="shared" si="98"/>
        <v>0</v>
      </c>
      <c r="N384" s="830">
        <f t="shared" si="98"/>
        <v>0</v>
      </c>
      <c r="O384" s="830">
        <f t="shared" si="98"/>
        <v>39901</v>
      </c>
      <c r="P384" s="830">
        <f t="shared" si="98"/>
        <v>0</v>
      </c>
      <c r="Q384" s="831">
        <f t="shared" si="98"/>
        <v>0</v>
      </c>
      <c r="R384" s="847"/>
      <c r="S384" s="326"/>
      <c r="T384" s="326"/>
      <c r="U384" s="326"/>
      <c r="V384" s="326"/>
      <c r="W384" s="326"/>
      <c r="X384" s="326"/>
      <c r="Y384" s="326"/>
      <c r="Z384" s="326"/>
      <c r="AA384" s="326"/>
      <c r="AB384" s="326"/>
      <c r="AC384" s="326"/>
      <c r="AD384" s="326"/>
    </row>
    <row r="385" spans="2:9" ht="15">
      <c r="B385" s="1439" t="s">
        <v>126</v>
      </c>
      <c r="C385" s="1439"/>
      <c r="D385" s="1439"/>
      <c r="E385" s="203"/>
      <c r="I385" s="494"/>
    </row>
    <row r="386" spans="2:9" ht="15">
      <c r="B386" s="1440" t="s">
        <v>127</v>
      </c>
      <c r="C386" s="1440"/>
      <c r="D386" s="1440"/>
      <c r="E386" s="1440"/>
      <c r="F386" s="1440"/>
      <c r="G386" s="1440"/>
      <c r="H386" s="1440"/>
      <c r="I386" s="1440"/>
    </row>
    <row r="387" spans="2:9" ht="15">
      <c r="B387" s="1428" t="s">
        <v>128</v>
      </c>
      <c r="C387" s="1428"/>
      <c r="D387" s="1428"/>
      <c r="E387" s="203"/>
      <c r="I387" s="494"/>
    </row>
  </sheetData>
  <sheetProtection/>
  <mergeCells count="33">
    <mergeCell ref="B387:D387"/>
    <mergeCell ref="B366:D366"/>
    <mergeCell ref="B370:D370"/>
    <mergeCell ref="B371:E371"/>
    <mergeCell ref="B375:D375"/>
    <mergeCell ref="B376:E376"/>
    <mergeCell ref="B380:D380"/>
    <mergeCell ref="B381:E381"/>
    <mergeCell ref="B385:D385"/>
    <mergeCell ref="B386:I386"/>
    <mergeCell ref="B1:F1"/>
    <mergeCell ref="B2:Q2"/>
    <mergeCell ref="B3:Q3"/>
    <mergeCell ref="P5:Q5"/>
    <mergeCell ref="B7:B8"/>
    <mergeCell ref="C7:C8"/>
    <mergeCell ref="D7:D8"/>
    <mergeCell ref="E7:E8"/>
    <mergeCell ref="F7:F8"/>
    <mergeCell ref="G7:G8"/>
    <mergeCell ref="H7:H8"/>
    <mergeCell ref="I7:I8"/>
    <mergeCell ref="O7:Q7"/>
    <mergeCell ref="J7:N7"/>
    <mergeCell ref="D354:E354"/>
    <mergeCell ref="B4:Q4"/>
    <mergeCell ref="C362:D362"/>
    <mergeCell ref="C287:D287"/>
    <mergeCell ref="D297:F297"/>
    <mergeCell ref="D171:F171"/>
    <mergeCell ref="D179:H179"/>
    <mergeCell ref="D189:F189"/>
    <mergeCell ref="D346:E346"/>
  </mergeCells>
  <printOptions horizontalCentered="1"/>
  <pageMargins left="0.1968503937007874" right="0.1968503937007874" top="0.5905511811023623" bottom="0.5905511811023623" header="0.5118110236220472" footer="0.5118110236220472"/>
  <pageSetup fitToHeight="4" horizontalDpi="600" verticalDpi="600" orientation="landscape" paperSize="9" scale="60" r:id="rId1"/>
  <rowBreaks count="1" manualBreakCount="1">
    <brk id="243" max="1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778"/>
  <sheetViews>
    <sheetView view="pageBreakPreview" zoomScale="75" zoomScaleNormal="75" zoomScaleSheetLayoutView="75" zoomScalePageLayoutView="0" workbookViewId="0" topLeftCell="A1">
      <selection activeCell="D18" sqref="D18"/>
    </sheetView>
  </sheetViews>
  <sheetFormatPr defaultColWidth="9.125" defaultRowHeight="12.75"/>
  <cols>
    <col min="1" max="1" width="4.75390625" style="1194" bestFit="1" customWidth="1"/>
    <col min="2" max="2" width="4.75390625" style="56" customWidth="1"/>
    <col min="3" max="3" width="4.75390625" style="1195" customWidth="1"/>
    <col min="4" max="4" width="85.75390625" style="101" customWidth="1"/>
    <col min="5" max="5" width="5.75390625" style="56" customWidth="1"/>
    <col min="6" max="6" width="11.75390625" style="57" customWidth="1"/>
    <col min="7" max="7" width="11.75390625" style="58" customWidth="1"/>
    <col min="8" max="8" width="11.75390625" style="57" customWidth="1"/>
    <col min="9" max="14" width="12.75390625" style="98" customWidth="1"/>
    <col min="15" max="15" width="9.25390625" style="57" bestFit="1" customWidth="1"/>
    <col min="16" max="16384" width="9.125" style="57" customWidth="1"/>
  </cols>
  <sheetData>
    <row r="1" spans="2:14" ht="17.25">
      <c r="B1" s="1444" t="s">
        <v>1208</v>
      </c>
      <c r="C1" s="1444"/>
      <c r="D1" s="1444"/>
      <c r="H1" s="1445"/>
      <c r="I1" s="1445"/>
      <c r="J1" s="1109"/>
      <c r="K1" s="1109"/>
      <c r="L1" s="1109"/>
      <c r="M1" s="1109"/>
      <c r="N1" s="1109"/>
    </row>
    <row r="2" spans="2:14" ht="17.25">
      <c r="B2" s="1446" t="s">
        <v>20</v>
      </c>
      <c r="C2" s="1446"/>
      <c r="D2" s="1446"/>
      <c r="E2" s="1446"/>
      <c r="F2" s="1446"/>
      <c r="G2" s="1446"/>
      <c r="H2" s="1446"/>
      <c r="I2" s="1446"/>
      <c r="J2" s="1446"/>
      <c r="K2" s="1446"/>
      <c r="L2" s="1446"/>
      <c r="M2" s="1446"/>
      <c r="N2" s="1446"/>
    </row>
    <row r="3" spans="1:14" s="59" customFormat="1" ht="17.25">
      <c r="A3" s="1194"/>
      <c r="B3" s="1447" t="s">
        <v>638</v>
      </c>
      <c r="C3" s="1447"/>
      <c r="D3" s="1447"/>
      <c r="E3" s="1447"/>
      <c r="F3" s="1447"/>
      <c r="G3" s="1447"/>
      <c r="H3" s="1447"/>
      <c r="I3" s="1447"/>
      <c r="J3" s="1447"/>
      <c r="K3" s="1447"/>
      <c r="L3" s="1447"/>
      <c r="M3" s="1447"/>
      <c r="N3" s="1447"/>
    </row>
    <row r="4" spans="4:14" ht="17.25">
      <c r="D4" s="60"/>
      <c r="E4" s="61"/>
      <c r="H4" s="62"/>
      <c r="I4" s="62"/>
      <c r="J4" s="1109"/>
      <c r="K4" s="1109"/>
      <c r="L4" s="1109"/>
      <c r="M4" s="1445" t="s">
        <v>0</v>
      </c>
      <c r="N4" s="1445"/>
    </row>
    <row r="5" spans="1:14" s="498" customFormat="1" ht="15" thickBot="1">
      <c r="A5" s="1194"/>
      <c r="B5" s="498" t="s">
        <v>1</v>
      </c>
      <c r="C5" s="497" t="s">
        <v>3</v>
      </c>
      <c r="D5" s="499" t="s">
        <v>2</v>
      </c>
      <c r="E5" s="497" t="s">
        <v>4</v>
      </c>
      <c r="F5" s="498" t="s">
        <v>5</v>
      </c>
      <c r="G5" s="498" t="s">
        <v>21</v>
      </c>
      <c r="H5" s="498" t="s">
        <v>22</v>
      </c>
      <c r="I5" s="497" t="s">
        <v>23</v>
      </c>
      <c r="J5" s="497" t="s">
        <v>201</v>
      </c>
      <c r="K5" s="497" t="s">
        <v>129</v>
      </c>
      <c r="L5" s="497" t="s">
        <v>31</v>
      </c>
      <c r="M5" s="497" t="s">
        <v>202</v>
      </c>
      <c r="N5" s="497" t="s">
        <v>203</v>
      </c>
    </row>
    <row r="6" spans="1:14" s="586" customFormat="1" ht="34.5" customHeight="1">
      <c r="A6" s="1196"/>
      <c r="B6" s="1448" t="s">
        <v>24</v>
      </c>
      <c r="C6" s="1450" t="s">
        <v>25</v>
      </c>
      <c r="D6" s="1452" t="s">
        <v>6</v>
      </c>
      <c r="E6" s="1454" t="s">
        <v>26</v>
      </c>
      <c r="F6" s="1456" t="s">
        <v>204</v>
      </c>
      <c r="G6" s="1456" t="s">
        <v>205</v>
      </c>
      <c r="H6" s="1458" t="s">
        <v>801</v>
      </c>
      <c r="I6" s="1460" t="s">
        <v>7</v>
      </c>
      <c r="J6" s="1441" t="s">
        <v>206</v>
      </c>
      <c r="K6" s="1441"/>
      <c r="L6" s="1441"/>
      <c r="M6" s="1441"/>
      <c r="N6" s="1442"/>
    </row>
    <row r="7" spans="1:14" s="586" customFormat="1" ht="50.25" thickBot="1">
      <c r="A7" s="1196"/>
      <c r="B7" s="1449"/>
      <c r="C7" s="1451"/>
      <c r="D7" s="1453"/>
      <c r="E7" s="1455"/>
      <c r="F7" s="1457"/>
      <c r="G7" s="1457"/>
      <c r="H7" s="1459"/>
      <c r="I7" s="1461"/>
      <c r="J7" s="64" t="s">
        <v>207</v>
      </c>
      <c r="K7" s="64" t="s">
        <v>208</v>
      </c>
      <c r="L7" s="64" t="s">
        <v>209</v>
      </c>
      <c r="M7" s="64" t="s">
        <v>210</v>
      </c>
      <c r="N7" s="65" t="s">
        <v>211</v>
      </c>
    </row>
    <row r="8" spans="1:14" s="56" customFormat="1" ht="19.5" customHeight="1" thickTop="1">
      <c r="A8" s="1200">
        <v>1</v>
      </c>
      <c r="B8" s="66">
        <v>18</v>
      </c>
      <c r="C8" s="67">
        <v>1</v>
      </c>
      <c r="D8" s="68" t="s">
        <v>212</v>
      </c>
      <c r="E8" s="67" t="s">
        <v>31</v>
      </c>
      <c r="F8" s="69">
        <v>635</v>
      </c>
      <c r="G8" s="69">
        <v>5000</v>
      </c>
      <c r="H8" s="83">
        <v>3097</v>
      </c>
      <c r="I8" s="1016"/>
      <c r="J8" s="67"/>
      <c r="K8" s="67"/>
      <c r="L8" s="67"/>
      <c r="M8" s="67"/>
      <c r="N8" s="1017"/>
    </row>
    <row r="9" spans="1:15" s="56" customFormat="1" ht="16.5">
      <c r="A9" s="1194">
        <v>2</v>
      </c>
      <c r="B9" s="854"/>
      <c r="C9" s="71"/>
      <c r="D9" s="72" t="s">
        <v>635</v>
      </c>
      <c r="E9" s="855"/>
      <c r="F9" s="856"/>
      <c r="G9" s="856"/>
      <c r="H9" s="857"/>
      <c r="I9" s="874">
        <f>SUM(J9:N9)</f>
        <v>5000</v>
      </c>
      <c r="J9" s="84"/>
      <c r="K9" s="84"/>
      <c r="L9" s="84">
        <v>4300</v>
      </c>
      <c r="M9" s="84"/>
      <c r="N9" s="85">
        <v>700</v>
      </c>
      <c r="O9" s="63">
        <f>SUM(J9:N9)-I9</f>
        <v>0</v>
      </c>
    </row>
    <row r="10" spans="1:15" s="862" customFormat="1" ht="17.25">
      <c r="A10" s="1194">
        <v>3</v>
      </c>
      <c r="B10" s="858"/>
      <c r="C10" s="87"/>
      <c r="D10" s="80" t="s">
        <v>707</v>
      </c>
      <c r="E10" s="859"/>
      <c r="F10" s="860"/>
      <c r="G10" s="860"/>
      <c r="H10" s="861"/>
      <c r="I10" s="875">
        <f aca="true" t="shared" si="0" ref="I10:I75">SUM(J10:N10)</f>
        <v>243</v>
      </c>
      <c r="J10" s="1018"/>
      <c r="K10" s="1018"/>
      <c r="L10" s="1018">
        <v>243</v>
      </c>
      <c r="M10" s="1018"/>
      <c r="N10" s="1019"/>
      <c r="O10" s="86"/>
    </row>
    <row r="11" spans="1:15" s="1110" customFormat="1" ht="17.25">
      <c r="A11" s="1194">
        <v>4</v>
      </c>
      <c r="B11" s="863"/>
      <c r="C11" s="864"/>
      <c r="D11" s="865" t="s">
        <v>637</v>
      </c>
      <c r="E11" s="866"/>
      <c r="F11" s="867"/>
      <c r="G11" s="867"/>
      <c r="H11" s="868"/>
      <c r="I11" s="550">
        <f t="shared" si="0"/>
        <v>5243</v>
      </c>
      <c r="J11" s="1020">
        <f>SUM(J9:J10)</f>
        <v>0</v>
      </c>
      <c r="K11" s="1020">
        <f>SUM(K9:K10)</f>
        <v>0</v>
      </c>
      <c r="L11" s="1020">
        <f>SUM(L9:L10)</f>
        <v>4543</v>
      </c>
      <c r="M11" s="1020">
        <f>SUM(M9:M10)</f>
        <v>0</v>
      </c>
      <c r="N11" s="1021">
        <f>SUM(N9:N10)</f>
        <v>700</v>
      </c>
      <c r="O11" s="586"/>
    </row>
    <row r="12" spans="1:15" s="56" customFormat="1" ht="19.5" customHeight="1">
      <c r="A12" s="1194">
        <v>5</v>
      </c>
      <c r="B12" s="81"/>
      <c r="C12" s="77">
        <v>2</v>
      </c>
      <c r="D12" s="82" t="s">
        <v>213</v>
      </c>
      <c r="E12" s="77" t="s">
        <v>31</v>
      </c>
      <c r="F12" s="46">
        <v>6813</v>
      </c>
      <c r="G12" s="46">
        <v>4000</v>
      </c>
      <c r="H12" s="83">
        <v>704</v>
      </c>
      <c r="I12" s="550"/>
      <c r="J12" s="1020"/>
      <c r="K12" s="1020"/>
      <c r="L12" s="1020"/>
      <c r="M12" s="1020"/>
      <c r="N12" s="1021"/>
      <c r="O12" s="1110"/>
    </row>
    <row r="13" spans="1:15" s="56" customFormat="1" ht="16.5">
      <c r="A13" s="1194">
        <v>6</v>
      </c>
      <c r="B13" s="854"/>
      <c r="C13" s="71"/>
      <c r="D13" s="72" t="s">
        <v>635</v>
      </c>
      <c r="E13" s="855"/>
      <c r="F13" s="856"/>
      <c r="G13" s="856"/>
      <c r="H13" s="857"/>
      <c r="I13" s="874">
        <f t="shared" si="0"/>
        <v>4000</v>
      </c>
      <c r="J13" s="84"/>
      <c r="K13" s="84"/>
      <c r="L13" s="84">
        <v>3300</v>
      </c>
      <c r="M13" s="84"/>
      <c r="N13" s="85">
        <v>700</v>
      </c>
      <c r="O13" s="63">
        <f>SUM(J13:N13)-I13</f>
        <v>0</v>
      </c>
    </row>
    <row r="14" spans="1:15" s="862" customFormat="1" ht="17.25">
      <c r="A14" s="1194">
        <v>7</v>
      </c>
      <c r="B14" s="858"/>
      <c r="C14" s="87"/>
      <c r="D14" s="80" t="s">
        <v>707</v>
      </c>
      <c r="E14" s="859"/>
      <c r="F14" s="860"/>
      <c r="G14" s="860"/>
      <c r="H14" s="861"/>
      <c r="I14" s="875">
        <f t="shared" si="0"/>
        <v>4096</v>
      </c>
      <c r="J14" s="1018"/>
      <c r="K14" s="1018"/>
      <c r="L14" s="1018">
        <v>4096</v>
      </c>
      <c r="M14" s="1018"/>
      <c r="N14" s="1019"/>
      <c r="O14" s="86"/>
    </row>
    <row r="15" spans="1:15" s="1110" customFormat="1" ht="17.25">
      <c r="A15" s="1194">
        <v>8</v>
      </c>
      <c r="B15" s="863"/>
      <c r="C15" s="864"/>
      <c r="D15" s="865" t="s">
        <v>637</v>
      </c>
      <c r="E15" s="866"/>
      <c r="F15" s="867"/>
      <c r="G15" s="867"/>
      <c r="H15" s="868"/>
      <c r="I15" s="550">
        <f t="shared" si="0"/>
        <v>8096</v>
      </c>
      <c r="J15" s="1020">
        <f>SUM(J13:J14)</f>
        <v>0</v>
      </c>
      <c r="K15" s="1020">
        <f>SUM(K13:K14)</f>
        <v>0</v>
      </c>
      <c r="L15" s="1020">
        <f>SUM(L13:L14)</f>
        <v>7396</v>
      </c>
      <c r="M15" s="1020">
        <f>SUM(M13:M14)</f>
        <v>0</v>
      </c>
      <c r="N15" s="1021">
        <f>SUM(N13:N14)</f>
        <v>700</v>
      </c>
      <c r="O15" s="586"/>
    </row>
    <row r="16" spans="1:15" s="56" customFormat="1" ht="19.5" customHeight="1">
      <c r="A16" s="1194">
        <v>9</v>
      </c>
      <c r="B16" s="81"/>
      <c r="C16" s="77">
        <v>3</v>
      </c>
      <c r="D16" s="82" t="s">
        <v>214</v>
      </c>
      <c r="E16" s="77" t="s">
        <v>31</v>
      </c>
      <c r="F16" s="46">
        <v>9050</v>
      </c>
      <c r="G16" s="46">
        <v>8000</v>
      </c>
      <c r="H16" s="83">
        <v>5070</v>
      </c>
      <c r="I16" s="550"/>
      <c r="J16" s="1020"/>
      <c r="K16" s="1020"/>
      <c r="L16" s="1020"/>
      <c r="M16" s="1020"/>
      <c r="N16" s="1021"/>
      <c r="O16" s="1110"/>
    </row>
    <row r="17" spans="1:15" s="56" customFormat="1" ht="16.5">
      <c r="A17" s="1194">
        <v>10</v>
      </c>
      <c r="B17" s="854"/>
      <c r="C17" s="71"/>
      <c r="D17" s="72" t="s">
        <v>635</v>
      </c>
      <c r="E17" s="855"/>
      <c r="F17" s="856"/>
      <c r="G17" s="856"/>
      <c r="H17" s="857"/>
      <c r="I17" s="874">
        <f t="shared" si="0"/>
        <v>500</v>
      </c>
      <c r="J17" s="84"/>
      <c r="K17" s="84"/>
      <c r="L17" s="84"/>
      <c r="M17" s="84"/>
      <c r="N17" s="85">
        <v>500</v>
      </c>
      <c r="O17" s="63">
        <f>SUM(J17:N17)-I17</f>
        <v>0</v>
      </c>
    </row>
    <row r="18" spans="1:15" s="862" customFormat="1" ht="17.25">
      <c r="A18" s="1194">
        <v>11</v>
      </c>
      <c r="B18" s="858"/>
      <c r="C18" s="87"/>
      <c r="D18" s="80" t="s">
        <v>707</v>
      </c>
      <c r="E18" s="859"/>
      <c r="F18" s="860"/>
      <c r="G18" s="860"/>
      <c r="H18" s="861"/>
      <c r="I18" s="875">
        <f t="shared" si="0"/>
        <v>4500</v>
      </c>
      <c r="J18" s="1018"/>
      <c r="K18" s="1018"/>
      <c r="L18" s="1018"/>
      <c r="M18" s="1018"/>
      <c r="N18" s="1019">
        <v>4500</v>
      </c>
      <c r="O18" s="86"/>
    </row>
    <row r="19" spans="1:15" s="1110" customFormat="1" ht="17.25">
      <c r="A19" s="1194">
        <v>12</v>
      </c>
      <c r="B19" s="863"/>
      <c r="C19" s="864"/>
      <c r="D19" s="865" t="s">
        <v>637</v>
      </c>
      <c r="E19" s="866"/>
      <c r="F19" s="867"/>
      <c r="G19" s="867"/>
      <c r="H19" s="868"/>
      <c r="I19" s="550">
        <f t="shared" si="0"/>
        <v>5000</v>
      </c>
      <c r="J19" s="1020">
        <f>SUM(J17:J18)</f>
        <v>0</v>
      </c>
      <c r="K19" s="1020">
        <f>SUM(K17:K18)</f>
        <v>0</v>
      </c>
      <c r="L19" s="1020">
        <f>SUM(L17:L18)</f>
        <v>0</v>
      </c>
      <c r="M19" s="1020">
        <f>SUM(M17:M18)</f>
        <v>0</v>
      </c>
      <c r="N19" s="1021">
        <f>SUM(N17:N18)</f>
        <v>5000</v>
      </c>
      <c r="O19" s="586"/>
    </row>
    <row r="20" spans="1:15" s="56" customFormat="1" ht="19.5" customHeight="1">
      <c r="A20" s="1194">
        <v>13</v>
      </c>
      <c r="B20" s="81"/>
      <c r="C20" s="77">
        <v>4</v>
      </c>
      <c r="D20" s="82" t="s">
        <v>215</v>
      </c>
      <c r="E20" s="77" t="s">
        <v>33</v>
      </c>
      <c r="F20" s="46">
        <v>6175</v>
      </c>
      <c r="G20" s="46">
        <v>6000</v>
      </c>
      <c r="H20" s="83">
        <v>7673</v>
      </c>
      <c r="I20" s="550"/>
      <c r="J20" s="1020"/>
      <c r="K20" s="1020"/>
      <c r="L20" s="1020"/>
      <c r="M20" s="1020"/>
      <c r="N20" s="1021"/>
      <c r="O20" s="1110"/>
    </row>
    <row r="21" spans="1:15" s="56" customFormat="1" ht="16.5">
      <c r="A21" s="1194">
        <v>14</v>
      </c>
      <c r="B21" s="854"/>
      <c r="C21" s="71"/>
      <c r="D21" s="72" t="s">
        <v>635</v>
      </c>
      <c r="E21" s="855"/>
      <c r="F21" s="856"/>
      <c r="G21" s="856"/>
      <c r="H21" s="857"/>
      <c r="I21" s="874">
        <f t="shared" si="0"/>
        <v>6000</v>
      </c>
      <c r="J21" s="84">
        <v>800</v>
      </c>
      <c r="K21" s="84">
        <v>400</v>
      </c>
      <c r="L21" s="84">
        <v>4800</v>
      </c>
      <c r="M21" s="84"/>
      <c r="N21" s="85"/>
      <c r="O21" s="63">
        <f>SUM(J21:N21)-I21</f>
        <v>0</v>
      </c>
    </row>
    <row r="22" spans="1:15" s="862" customFormat="1" ht="17.25">
      <c r="A22" s="1194">
        <v>15</v>
      </c>
      <c r="B22" s="858"/>
      <c r="C22" s="87"/>
      <c r="D22" s="80" t="s">
        <v>707</v>
      </c>
      <c r="E22" s="859"/>
      <c r="F22" s="860"/>
      <c r="G22" s="860"/>
      <c r="H22" s="861"/>
      <c r="I22" s="875">
        <f t="shared" si="0"/>
        <v>1309</v>
      </c>
      <c r="J22" s="1018"/>
      <c r="K22" s="1018"/>
      <c r="L22" s="1018">
        <v>1309</v>
      </c>
      <c r="M22" s="1018"/>
      <c r="N22" s="1019"/>
      <c r="O22" s="86"/>
    </row>
    <row r="23" spans="1:15" s="1110" customFormat="1" ht="17.25">
      <c r="A23" s="1194">
        <v>16</v>
      </c>
      <c r="B23" s="863"/>
      <c r="C23" s="864"/>
      <c r="D23" s="865" t="s">
        <v>637</v>
      </c>
      <c r="E23" s="866"/>
      <c r="F23" s="867"/>
      <c r="G23" s="867"/>
      <c r="H23" s="868"/>
      <c r="I23" s="550">
        <f t="shared" si="0"/>
        <v>7309</v>
      </c>
      <c r="J23" s="1020">
        <f>SUM(J21:J22)</f>
        <v>800</v>
      </c>
      <c r="K23" s="1020">
        <f>SUM(K21:K22)</f>
        <v>400</v>
      </c>
      <c r="L23" s="1020">
        <f>SUM(L21:L22)</f>
        <v>6109</v>
      </c>
      <c r="M23" s="1020">
        <f>SUM(M21:M22)</f>
        <v>0</v>
      </c>
      <c r="N23" s="1021">
        <f>SUM(N21:N22)</f>
        <v>0</v>
      </c>
      <c r="O23" s="586"/>
    </row>
    <row r="24" spans="1:15" s="56" customFormat="1" ht="19.5" customHeight="1">
      <c r="A24" s="1194">
        <v>17</v>
      </c>
      <c r="B24" s="81"/>
      <c r="C24" s="77">
        <v>5</v>
      </c>
      <c r="D24" s="82" t="s">
        <v>216</v>
      </c>
      <c r="E24" s="77" t="s">
        <v>33</v>
      </c>
      <c r="F24" s="46">
        <v>5434</v>
      </c>
      <c r="G24" s="46">
        <v>8000</v>
      </c>
      <c r="H24" s="83">
        <v>7494</v>
      </c>
      <c r="I24" s="550"/>
      <c r="J24" s="1020"/>
      <c r="K24" s="1020"/>
      <c r="L24" s="1020"/>
      <c r="M24" s="1020"/>
      <c r="N24" s="1021"/>
      <c r="O24" s="1110"/>
    </row>
    <row r="25" spans="1:15" s="56" customFormat="1" ht="16.5">
      <c r="A25" s="1194">
        <v>18</v>
      </c>
      <c r="B25" s="854"/>
      <c r="C25" s="71"/>
      <c r="D25" s="72" t="s">
        <v>635</v>
      </c>
      <c r="E25" s="855"/>
      <c r="F25" s="856"/>
      <c r="G25" s="856"/>
      <c r="H25" s="857"/>
      <c r="I25" s="874">
        <f t="shared" si="0"/>
        <v>13000</v>
      </c>
      <c r="J25" s="84"/>
      <c r="K25" s="84"/>
      <c r="L25" s="84">
        <v>13000</v>
      </c>
      <c r="M25" s="84"/>
      <c r="N25" s="85"/>
      <c r="O25" s="63">
        <f>SUM(J25:N25)-I25</f>
        <v>0</v>
      </c>
    </row>
    <row r="26" spans="1:15" s="862" customFormat="1" ht="17.25">
      <c r="A26" s="1194">
        <v>19</v>
      </c>
      <c r="B26" s="858"/>
      <c r="C26" s="87"/>
      <c r="D26" s="80" t="s">
        <v>716</v>
      </c>
      <c r="E26" s="859"/>
      <c r="F26" s="860"/>
      <c r="G26" s="860"/>
      <c r="H26" s="861"/>
      <c r="I26" s="875">
        <f t="shared" si="0"/>
        <v>-50</v>
      </c>
      <c r="J26" s="1018"/>
      <c r="K26" s="1018"/>
      <c r="L26" s="1018">
        <v>-50</v>
      </c>
      <c r="M26" s="1018"/>
      <c r="N26" s="1019"/>
      <c r="O26" s="86"/>
    </row>
    <row r="27" spans="1:15" s="862" customFormat="1" ht="17.25">
      <c r="A27" s="1194">
        <v>20</v>
      </c>
      <c r="B27" s="858"/>
      <c r="C27" s="87"/>
      <c r="D27" s="80" t="s">
        <v>704</v>
      </c>
      <c r="E27" s="859"/>
      <c r="F27" s="860"/>
      <c r="G27" s="860"/>
      <c r="H27" s="861"/>
      <c r="I27" s="875">
        <f t="shared" si="0"/>
        <v>587</v>
      </c>
      <c r="J27" s="1018"/>
      <c r="K27" s="1018"/>
      <c r="L27" s="1018">
        <v>587</v>
      </c>
      <c r="M27" s="1018"/>
      <c r="N27" s="1019"/>
      <c r="O27" s="86"/>
    </row>
    <row r="28" spans="1:15" s="862" customFormat="1" ht="17.25">
      <c r="A28" s="1194">
        <v>21</v>
      </c>
      <c r="B28" s="858"/>
      <c r="C28" s="87"/>
      <c r="D28" s="80" t="s">
        <v>872</v>
      </c>
      <c r="E28" s="859"/>
      <c r="F28" s="860"/>
      <c r="G28" s="860"/>
      <c r="H28" s="861"/>
      <c r="I28" s="875">
        <f t="shared" si="0"/>
        <v>490</v>
      </c>
      <c r="J28" s="1018"/>
      <c r="K28" s="1018"/>
      <c r="L28" s="1018">
        <v>490</v>
      </c>
      <c r="M28" s="1018"/>
      <c r="N28" s="1019"/>
      <c r="O28" s="86"/>
    </row>
    <row r="29" spans="1:15" s="1110" customFormat="1" ht="17.25">
      <c r="A29" s="1194">
        <v>22</v>
      </c>
      <c r="B29" s="863"/>
      <c r="C29" s="864"/>
      <c r="D29" s="865" t="s">
        <v>637</v>
      </c>
      <c r="E29" s="866"/>
      <c r="F29" s="867"/>
      <c r="G29" s="867"/>
      <c r="H29" s="868"/>
      <c r="I29" s="550">
        <f>SUM(J29:N29)</f>
        <v>14027</v>
      </c>
      <c r="J29" s="1020">
        <f>SUM(J25:J28)</f>
        <v>0</v>
      </c>
      <c r="K29" s="1020">
        <f>SUM(K25:K28)</f>
        <v>0</v>
      </c>
      <c r="L29" s="1020">
        <f>SUM(L25:L28)</f>
        <v>14027</v>
      </c>
      <c r="M29" s="1020">
        <f>SUM(M25:M28)</f>
        <v>0</v>
      </c>
      <c r="N29" s="1020">
        <f>SUM(N25:N28)</f>
        <v>0</v>
      </c>
      <c r="O29" s="586"/>
    </row>
    <row r="30" spans="1:15" s="56" customFormat="1" ht="19.5" customHeight="1">
      <c r="A30" s="1194">
        <v>23</v>
      </c>
      <c r="B30" s="81"/>
      <c r="C30" s="77">
        <v>6</v>
      </c>
      <c r="D30" s="82" t="s">
        <v>18</v>
      </c>
      <c r="E30" s="77" t="s">
        <v>33</v>
      </c>
      <c r="F30" s="46">
        <v>8587</v>
      </c>
      <c r="G30" s="46">
        <v>7000</v>
      </c>
      <c r="H30" s="83">
        <v>6242</v>
      </c>
      <c r="I30" s="550"/>
      <c r="J30" s="1020"/>
      <c r="K30" s="1020"/>
      <c r="L30" s="1020"/>
      <c r="M30" s="1020"/>
      <c r="N30" s="1021"/>
      <c r="O30" s="1110"/>
    </row>
    <row r="31" spans="1:15" s="56" customFormat="1" ht="16.5">
      <c r="A31" s="1194">
        <v>24</v>
      </c>
      <c r="B31" s="854"/>
      <c r="C31" s="71"/>
      <c r="D31" s="72" t="s">
        <v>635</v>
      </c>
      <c r="E31" s="855"/>
      <c r="F31" s="856"/>
      <c r="G31" s="856"/>
      <c r="H31" s="857"/>
      <c r="I31" s="874">
        <f t="shared" si="0"/>
        <v>7000</v>
      </c>
      <c r="J31" s="84">
        <v>2680</v>
      </c>
      <c r="K31" s="84">
        <v>1829</v>
      </c>
      <c r="L31" s="84">
        <v>2491</v>
      </c>
      <c r="M31" s="84"/>
      <c r="N31" s="85"/>
      <c r="O31" s="63">
        <f>SUM(J31:N31)-I31</f>
        <v>0</v>
      </c>
    </row>
    <row r="32" spans="1:15" s="862" customFormat="1" ht="17.25">
      <c r="A32" s="1194">
        <v>25</v>
      </c>
      <c r="B32" s="858"/>
      <c r="C32" s="87"/>
      <c r="D32" s="80" t="s">
        <v>707</v>
      </c>
      <c r="E32" s="859"/>
      <c r="F32" s="860"/>
      <c r="G32" s="860"/>
      <c r="H32" s="861"/>
      <c r="I32" s="875">
        <f t="shared" si="0"/>
        <v>1377</v>
      </c>
      <c r="J32" s="1018"/>
      <c r="K32" s="1018"/>
      <c r="L32" s="1018">
        <v>1377</v>
      </c>
      <c r="M32" s="1018"/>
      <c r="N32" s="1019"/>
      <c r="O32" s="86"/>
    </row>
    <row r="33" spans="1:15" s="1110" customFormat="1" ht="17.25">
      <c r="A33" s="1194">
        <v>26</v>
      </c>
      <c r="B33" s="863"/>
      <c r="C33" s="864"/>
      <c r="D33" s="865" t="s">
        <v>637</v>
      </c>
      <c r="E33" s="866"/>
      <c r="F33" s="867"/>
      <c r="G33" s="867"/>
      <c r="H33" s="868"/>
      <c r="I33" s="550">
        <f t="shared" si="0"/>
        <v>8377</v>
      </c>
      <c r="J33" s="1020">
        <f>SUM(J31:J32)</f>
        <v>2680</v>
      </c>
      <c r="K33" s="1020">
        <f>SUM(K31:K32)</f>
        <v>1829</v>
      </c>
      <c r="L33" s="1020">
        <f>SUM(L31:L32)</f>
        <v>3868</v>
      </c>
      <c r="M33" s="1020">
        <f>SUM(M31:M32)</f>
        <v>0</v>
      </c>
      <c r="N33" s="1021">
        <f>SUM(N31:N32)</f>
        <v>0</v>
      </c>
      <c r="O33" s="586"/>
    </row>
    <row r="34" spans="1:15" s="56" customFormat="1" ht="19.5" customHeight="1">
      <c r="A34" s="1194">
        <v>27</v>
      </c>
      <c r="B34" s="81"/>
      <c r="C34" s="77">
        <v>7</v>
      </c>
      <c r="D34" s="82" t="s">
        <v>217</v>
      </c>
      <c r="E34" s="77" t="s">
        <v>33</v>
      </c>
      <c r="F34" s="46">
        <v>3385</v>
      </c>
      <c r="G34" s="46">
        <v>2000</v>
      </c>
      <c r="H34" s="83">
        <v>2000</v>
      </c>
      <c r="I34" s="550"/>
      <c r="J34" s="1020"/>
      <c r="K34" s="1020"/>
      <c r="L34" s="1020"/>
      <c r="M34" s="1020"/>
      <c r="N34" s="1021"/>
      <c r="O34" s="1110"/>
    </row>
    <row r="35" spans="1:15" s="56" customFormat="1" ht="16.5">
      <c r="A35" s="1194">
        <v>28</v>
      </c>
      <c r="B35" s="854"/>
      <c r="C35" s="71"/>
      <c r="D35" s="72" t="s">
        <v>635</v>
      </c>
      <c r="E35" s="855"/>
      <c r="F35" s="856"/>
      <c r="G35" s="856"/>
      <c r="H35" s="857"/>
      <c r="I35" s="874">
        <f t="shared" si="0"/>
        <v>1000</v>
      </c>
      <c r="J35" s="84"/>
      <c r="K35" s="84"/>
      <c r="L35" s="84">
        <v>1000</v>
      </c>
      <c r="M35" s="84"/>
      <c r="N35" s="85"/>
      <c r="O35" s="63">
        <f>SUM(J35:N35)-I35</f>
        <v>0</v>
      </c>
    </row>
    <row r="36" spans="1:15" s="862" customFormat="1" ht="17.25">
      <c r="A36" s="1194">
        <v>29</v>
      </c>
      <c r="B36" s="858"/>
      <c r="C36" s="87"/>
      <c r="D36" s="80" t="s">
        <v>636</v>
      </c>
      <c r="E36" s="859"/>
      <c r="F36" s="860"/>
      <c r="G36" s="860"/>
      <c r="H36" s="861"/>
      <c r="I36" s="875">
        <f t="shared" si="0"/>
        <v>0</v>
      </c>
      <c r="J36" s="1018"/>
      <c r="K36" s="1018"/>
      <c r="L36" s="1018"/>
      <c r="M36" s="1018"/>
      <c r="N36" s="1019"/>
      <c r="O36" s="86"/>
    </row>
    <row r="37" spans="1:15" s="1110" customFormat="1" ht="17.25">
      <c r="A37" s="1194">
        <v>30</v>
      </c>
      <c r="B37" s="863"/>
      <c r="C37" s="864"/>
      <c r="D37" s="865" t="s">
        <v>637</v>
      </c>
      <c r="E37" s="866"/>
      <c r="F37" s="867"/>
      <c r="G37" s="867"/>
      <c r="H37" s="868"/>
      <c r="I37" s="550">
        <f t="shared" si="0"/>
        <v>1000</v>
      </c>
      <c r="J37" s="1020">
        <f>SUM(J35:J36)</f>
        <v>0</v>
      </c>
      <c r="K37" s="1020">
        <f>SUM(K35:K36)</f>
        <v>0</v>
      </c>
      <c r="L37" s="1020">
        <f>SUM(L35:L36)</f>
        <v>1000</v>
      </c>
      <c r="M37" s="1020">
        <f>SUM(M35:M36)</f>
        <v>0</v>
      </c>
      <c r="N37" s="1021">
        <f>SUM(N35:N36)</f>
        <v>0</v>
      </c>
      <c r="O37" s="586"/>
    </row>
    <row r="38" spans="1:15" s="56" customFormat="1" ht="25.5" customHeight="1">
      <c r="A38" s="1194">
        <v>31</v>
      </c>
      <c r="B38" s="81"/>
      <c r="C38" s="77">
        <v>8</v>
      </c>
      <c r="D38" s="82" t="s">
        <v>16</v>
      </c>
      <c r="E38" s="77" t="s">
        <v>33</v>
      </c>
      <c r="F38" s="46">
        <f>SUM(F42:F62)</f>
        <v>29933</v>
      </c>
      <c r="G38" s="46">
        <f>SUM(G42:G62)</f>
        <v>42300</v>
      </c>
      <c r="H38" s="83">
        <f>SUM(H42:H62)</f>
        <v>39310</v>
      </c>
      <c r="I38" s="550"/>
      <c r="J38" s="74"/>
      <c r="K38" s="74"/>
      <c r="L38" s="74"/>
      <c r="M38" s="74"/>
      <c r="N38" s="75"/>
      <c r="O38" s="63"/>
    </row>
    <row r="39" spans="1:15" s="56" customFormat="1" ht="16.5">
      <c r="A39" s="1194">
        <v>32</v>
      </c>
      <c r="B39" s="854"/>
      <c r="C39" s="71"/>
      <c r="D39" s="72" t="s">
        <v>635</v>
      </c>
      <c r="E39" s="855"/>
      <c r="F39" s="856"/>
      <c r="G39" s="856"/>
      <c r="H39" s="857"/>
      <c r="I39" s="874">
        <f t="shared" si="0"/>
        <v>47300</v>
      </c>
      <c r="J39" s="84">
        <f>SUM(J43,J47,J51,J55,J59,J63)</f>
        <v>0</v>
      </c>
      <c r="K39" s="84">
        <f>SUM(K43,K47,K51,K55,K59,K63)</f>
        <v>0</v>
      </c>
      <c r="L39" s="84">
        <f>SUM(L43,L47,L51,L55,L59,L63)</f>
        <v>15300</v>
      </c>
      <c r="M39" s="84">
        <f>SUM(M43,M47,M51,M55,M59,M63)</f>
        <v>0</v>
      </c>
      <c r="N39" s="85">
        <f>SUM(N43,N47,N51,N55,N59,N63)</f>
        <v>32000</v>
      </c>
      <c r="O39" s="63">
        <f>SUM(J39:N39)-I39</f>
        <v>0</v>
      </c>
    </row>
    <row r="40" spans="1:15" s="862" customFormat="1" ht="17.25">
      <c r="A40" s="1194">
        <v>33</v>
      </c>
      <c r="B40" s="858"/>
      <c r="C40" s="87"/>
      <c r="D40" s="80" t="s">
        <v>707</v>
      </c>
      <c r="E40" s="859"/>
      <c r="F40" s="860"/>
      <c r="G40" s="860"/>
      <c r="H40" s="861"/>
      <c r="I40" s="875">
        <f t="shared" si="0"/>
        <v>2990</v>
      </c>
      <c r="J40" s="1018">
        <f>SUM(J44,J48,J52,J56,J60,J64)</f>
        <v>0</v>
      </c>
      <c r="K40" s="1018">
        <f>SUM(K44,K48,K52,K56,K60,K64)</f>
        <v>0</v>
      </c>
      <c r="L40" s="1018">
        <f>SUM(L44,L48,L52,L56,L60,L64)</f>
        <v>-6010</v>
      </c>
      <c r="M40" s="1018">
        <f>SUM(M44,M48,M52,M56,M60,M64)</f>
        <v>0</v>
      </c>
      <c r="N40" s="1019">
        <f>SUM(N44,N48,N52,N56,N60,N64)</f>
        <v>9000</v>
      </c>
      <c r="O40" s="86"/>
    </row>
    <row r="41" spans="1:15" s="1110" customFormat="1" ht="17.25">
      <c r="A41" s="1194">
        <v>34</v>
      </c>
      <c r="B41" s="863"/>
      <c r="C41" s="864"/>
      <c r="D41" s="865" t="s">
        <v>637</v>
      </c>
      <c r="E41" s="866"/>
      <c r="F41" s="867"/>
      <c r="G41" s="867"/>
      <c r="H41" s="868"/>
      <c r="I41" s="550">
        <f t="shared" si="0"/>
        <v>50290</v>
      </c>
      <c r="J41" s="1020">
        <f>SUM(J39:J40)</f>
        <v>0</v>
      </c>
      <c r="K41" s="1020">
        <f>SUM(K39:K40)</f>
        <v>0</v>
      </c>
      <c r="L41" s="1020">
        <f>SUM(L39:L40)</f>
        <v>9290</v>
      </c>
      <c r="M41" s="1020">
        <f>SUM(M39:M40)</f>
        <v>0</v>
      </c>
      <c r="N41" s="1021">
        <f>SUM(N39:N40)</f>
        <v>41000</v>
      </c>
      <c r="O41" s="586"/>
    </row>
    <row r="42" spans="1:15" s="63" customFormat="1" ht="17.25">
      <c r="A42" s="1194">
        <v>35</v>
      </c>
      <c r="B42" s="70"/>
      <c r="C42" s="1197"/>
      <c r="D42" s="76" t="s">
        <v>218</v>
      </c>
      <c r="E42" s="77"/>
      <c r="F42" s="78">
        <v>20000</v>
      </c>
      <c r="G42" s="78">
        <v>22000</v>
      </c>
      <c r="H42" s="79">
        <v>22000</v>
      </c>
      <c r="I42" s="550"/>
      <c r="J42" s="84"/>
      <c r="K42" s="84"/>
      <c r="L42" s="84"/>
      <c r="M42" s="84"/>
      <c r="N42" s="85"/>
      <c r="O42" s="56"/>
    </row>
    <row r="43" spans="1:15" s="56" customFormat="1" ht="16.5">
      <c r="A43" s="1194">
        <v>36</v>
      </c>
      <c r="B43" s="854"/>
      <c r="C43" s="71"/>
      <c r="D43" s="871" t="s">
        <v>635</v>
      </c>
      <c r="E43" s="855"/>
      <c r="F43" s="856"/>
      <c r="G43" s="856"/>
      <c r="H43" s="857"/>
      <c r="I43" s="874">
        <f t="shared" si="0"/>
        <v>22000</v>
      </c>
      <c r="J43" s="84"/>
      <c r="K43" s="84"/>
      <c r="L43" s="84"/>
      <c r="M43" s="84"/>
      <c r="N43" s="85">
        <v>22000</v>
      </c>
      <c r="O43" s="63">
        <f>SUM(J43:N43)-I43</f>
        <v>0</v>
      </c>
    </row>
    <row r="44" spans="1:15" s="862" customFormat="1" ht="17.25">
      <c r="A44" s="1194">
        <v>37</v>
      </c>
      <c r="B44" s="858"/>
      <c r="C44" s="87"/>
      <c r="D44" s="872" t="s">
        <v>636</v>
      </c>
      <c r="E44" s="859"/>
      <c r="F44" s="860"/>
      <c r="G44" s="860"/>
      <c r="H44" s="861"/>
      <c r="I44" s="875">
        <f t="shared" si="0"/>
        <v>0</v>
      </c>
      <c r="J44" s="1018"/>
      <c r="K44" s="1018"/>
      <c r="L44" s="1018"/>
      <c r="M44" s="1018"/>
      <c r="N44" s="1019"/>
      <c r="O44" s="86"/>
    </row>
    <row r="45" spans="1:15" s="1110" customFormat="1" ht="17.25">
      <c r="A45" s="1194">
        <v>38</v>
      </c>
      <c r="B45" s="863"/>
      <c r="C45" s="864"/>
      <c r="D45" s="873" t="s">
        <v>637</v>
      </c>
      <c r="E45" s="866"/>
      <c r="F45" s="867"/>
      <c r="G45" s="867"/>
      <c r="H45" s="868"/>
      <c r="I45" s="550">
        <f t="shared" si="0"/>
        <v>22000</v>
      </c>
      <c r="J45" s="1020">
        <f>SUM(J43:J44)</f>
        <v>0</v>
      </c>
      <c r="K45" s="1020">
        <f>SUM(K43:K44)</f>
        <v>0</v>
      </c>
      <c r="L45" s="1020">
        <f>SUM(L43:L44)</f>
        <v>0</v>
      </c>
      <c r="M45" s="1020">
        <f>SUM(M43:M44)</f>
        <v>0</v>
      </c>
      <c r="N45" s="1021">
        <f>SUM(N43:N44)</f>
        <v>22000</v>
      </c>
      <c r="O45" s="586"/>
    </row>
    <row r="46" spans="1:15" s="63" customFormat="1" ht="17.25">
      <c r="A46" s="1194">
        <v>39</v>
      </c>
      <c r="B46" s="70"/>
      <c r="C46" s="1197"/>
      <c r="D46" s="76" t="s">
        <v>219</v>
      </c>
      <c r="E46" s="77"/>
      <c r="F46" s="78">
        <v>933</v>
      </c>
      <c r="G46" s="78">
        <v>8300</v>
      </c>
      <c r="H46" s="79">
        <v>7310</v>
      </c>
      <c r="I46" s="550"/>
      <c r="J46" s="84"/>
      <c r="K46" s="84"/>
      <c r="L46" s="84"/>
      <c r="M46" s="84"/>
      <c r="N46" s="85"/>
      <c r="O46" s="56"/>
    </row>
    <row r="47" spans="1:15" s="56" customFormat="1" ht="16.5">
      <c r="A47" s="1194">
        <v>40</v>
      </c>
      <c r="B47" s="854"/>
      <c r="C47" s="71"/>
      <c r="D47" s="871" t="s">
        <v>635</v>
      </c>
      <c r="E47" s="855"/>
      <c r="F47" s="856"/>
      <c r="G47" s="856"/>
      <c r="H47" s="857"/>
      <c r="I47" s="874">
        <f t="shared" si="0"/>
        <v>8300</v>
      </c>
      <c r="J47" s="84"/>
      <c r="K47" s="84"/>
      <c r="L47" s="84">
        <v>8300</v>
      </c>
      <c r="M47" s="84"/>
      <c r="N47" s="85"/>
      <c r="O47" s="63">
        <f>SUM(J47:N47)-I47</f>
        <v>0</v>
      </c>
    </row>
    <row r="48" spans="1:15" s="862" customFormat="1" ht="17.25">
      <c r="A48" s="1194">
        <v>41</v>
      </c>
      <c r="B48" s="858"/>
      <c r="C48" s="87"/>
      <c r="D48" s="872" t="s">
        <v>707</v>
      </c>
      <c r="E48" s="859"/>
      <c r="F48" s="860"/>
      <c r="G48" s="860"/>
      <c r="H48" s="861"/>
      <c r="I48" s="875">
        <f t="shared" si="0"/>
        <v>990</v>
      </c>
      <c r="J48" s="1018"/>
      <c r="K48" s="1018"/>
      <c r="L48" s="1018">
        <v>990</v>
      </c>
      <c r="M48" s="1018"/>
      <c r="N48" s="1019"/>
      <c r="O48" s="86"/>
    </row>
    <row r="49" spans="1:15" s="1110" customFormat="1" ht="17.25">
      <c r="A49" s="1194">
        <v>42</v>
      </c>
      <c r="B49" s="863"/>
      <c r="C49" s="864"/>
      <c r="D49" s="873" t="s">
        <v>637</v>
      </c>
      <c r="E49" s="866"/>
      <c r="F49" s="867"/>
      <c r="G49" s="867"/>
      <c r="H49" s="868"/>
      <c r="I49" s="550">
        <f t="shared" si="0"/>
        <v>9290</v>
      </c>
      <c r="J49" s="1020">
        <f>SUM(J47:J48)</f>
        <v>0</v>
      </c>
      <c r="K49" s="1020">
        <f>SUM(K47:K48)</f>
        <v>0</v>
      </c>
      <c r="L49" s="1020">
        <f>SUM(L47:L48)</f>
        <v>9290</v>
      </c>
      <c r="M49" s="1020">
        <f>SUM(M47:M48)</f>
        <v>0</v>
      </c>
      <c r="N49" s="1021">
        <f>SUM(N47:N48)</f>
        <v>0</v>
      </c>
      <c r="O49" s="586"/>
    </row>
    <row r="50" spans="1:15" s="63" customFormat="1" ht="17.25">
      <c r="A50" s="1194">
        <v>43</v>
      </c>
      <c r="B50" s="70"/>
      <c r="C50" s="1197"/>
      <c r="D50" s="76" t="s">
        <v>220</v>
      </c>
      <c r="E50" s="77"/>
      <c r="F50" s="78">
        <v>1500</v>
      </c>
      <c r="G50" s="78">
        <v>2000</v>
      </c>
      <c r="H50" s="79">
        <v>2000</v>
      </c>
      <c r="I50" s="550"/>
      <c r="J50" s="84"/>
      <c r="K50" s="84"/>
      <c r="L50" s="84"/>
      <c r="M50" s="84"/>
      <c r="N50" s="85"/>
      <c r="O50" s="56"/>
    </row>
    <row r="51" spans="1:15" s="56" customFormat="1" ht="16.5">
      <c r="A51" s="1194">
        <v>44</v>
      </c>
      <c r="B51" s="854"/>
      <c r="C51" s="71"/>
      <c r="D51" s="871" t="s">
        <v>635</v>
      </c>
      <c r="E51" s="855"/>
      <c r="F51" s="856"/>
      <c r="G51" s="856"/>
      <c r="H51" s="857"/>
      <c r="I51" s="874">
        <f t="shared" si="0"/>
        <v>2000</v>
      </c>
      <c r="J51" s="84"/>
      <c r="K51" s="84"/>
      <c r="L51" s="84"/>
      <c r="M51" s="84"/>
      <c r="N51" s="85">
        <v>2000</v>
      </c>
      <c r="O51" s="63">
        <f>SUM(J51:N51)-I51</f>
        <v>0</v>
      </c>
    </row>
    <row r="52" spans="1:15" s="862" customFormat="1" ht="17.25">
      <c r="A52" s="1194">
        <v>45</v>
      </c>
      <c r="B52" s="858"/>
      <c r="C52" s="87"/>
      <c r="D52" s="872" t="s">
        <v>636</v>
      </c>
      <c r="E52" s="859"/>
      <c r="F52" s="860"/>
      <c r="G52" s="860"/>
      <c r="H52" s="861"/>
      <c r="I52" s="875">
        <f t="shared" si="0"/>
        <v>0</v>
      </c>
      <c r="J52" s="1018"/>
      <c r="K52" s="1018"/>
      <c r="L52" s="1018"/>
      <c r="M52" s="1018"/>
      <c r="N52" s="1019"/>
      <c r="O52" s="86"/>
    </row>
    <row r="53" spans="1:15" s="1110" customFormat="1" ht="17.25">
      <c r="A53" s="1194">
        <v>46</v>
      </c>
      <c r="B53" s="863"/>
      <c r="C53" s="864"/>
      <c r="D53" s="873" t="s">
        <v>637</v>
      </c>
      <c r="E53" s="866"/>
      <c r="F53" s="867"/>
      <c r="G53" s="867"/>
      <c r="H53" s="868"/>
      <c r="I53" s="550">
        <f t="shared" si="0"/>
        <v>2000</v>
      </c>
      <c r="J53" s="1020">
        <f>SUM(J51:J52)</f>
        <v>0</v>
      </c>
      <c r="K53" s="1020">
        <f>SUM(K51:K52)</f>
        <v>0</v>
      </c>
      <c r="L53" s="1020">
        <f>SUM(L51:L52)</f>
        <v>0</v>
      </c>
      <c r="M53" s="1020">
        <f>SUM(M51:M52)</f>
        <v>0</v>
      </c>
      <c r="N53" s="1021">
        <f>SUM(N51:N52)</f>
        <v>2000</v>
      </c>
      <c r="O53" s="586"/>
    </row>
    <row r="54" spans="1:15" s="63" customFormat="1" ht="17.25">
      <c r="A54" s="1194">
        <v>47</v>
      </c>
      <c r="B54" s="70"/>
      <c r="C54" s="1197"/>
      <c r="D54" s="76" t="s">
        <v>221</v>
      </c>
      <c r="E54" s="77"/>
      <c r="F54" s="78">
        <v>7500</v>
      </c>
      <c r="G54" s="78">
        <v>8000</v>
      </c>
      <c r="H54" s="79">
        <v>8000</v>
      </c>
      <c r="I54" s="550"/>
      <c r="J54" s="84"/>
      <c r="K54" s="84"/>
      <c r="L54" s="84"/>
      <c r="M54" s="84"/>
      <c r="N54" s="85"/>
      <c r="O54" s="56"/>
    </row>
    <row r="55" spans="1:15" s="56" customFormat="1" ht="16.5">
      <c r="A55" s="1194">
        <v>48</v>
      </c>
      <c r="B55" s="854"/>
      <c r="C55" s="71"/>
      <c r="D55" s="871" t="s">
        <v>635</v>
      </c>
      <c r="E55" s="855"/>
      <c r="F55" s="856"/>
      <c r="G55" s="856"/>
      <c r="H55" s="857"/>
      <c r="I55" s="874">
        <f t="shared" si="0"/>
        <v>8000</v>
      </c>
      <c r="J55" s="84"/>
      <c r="K55" s="84"/>
      <c r="L55" s="84"/>
      <c r="M55" s="84"/>
      <c r="N55" s="85">
        <v>8000</v>
      </c>
      <c r="O55" s="63">
        <f>SUM(J55:N55)-I55</f>
        <v>0</v>
      </c>
    </row>
    <row r="56" spans="1:15" s="862" customFormat="1" ht="17.25">
      <c r="A56" s="1194">
        <v>49</v>
      </c>
      <c r="B56" s="858"/>
      <c r="C56" s="87"/>
      <c r="D56" s="872" t="s">
        <v>636</v>
      </c>
      <c r="E56" s="859"/>
      <c r="F56" s="860"/>
      <c r="G56" s="860"/>
      <c r="H56" s="861"/>
      <c r="I56" s="875">
        <f t="shared" si="0"/>
        <v>0</v>
      </c>
      <c r="J56" s="1018"/>
      <c r="K56" s="1018"/>
      <c r="L56" s="1018"/>
      <c r="M56" s="1018"/>
      <c r="N56" s="1019"/>
      <c r="O56" s="86"/>
    </row>
    <row r="57" spans="1:15" s="1110" customFormat="1" ht="17.25">
      <c r="A57" s="1194">
        <v>50</v>
      </c>
      <c r="B57" s="863"/>
      <c r="C57" s="864"/>
      <c r="D57" s="873" t="s">
        <v>637</v>
      </c>
      <c r="E57" s="866"/>
      <c r="F57" s="867"/>
      <c r="G57" s="867"/>
      <c r="H57" s="868"/>
      <c r="I57" s="550">
        <f t="shared" si="0"/>
        <v>8000</v>
      </c>
      <c r="J57" s="1020">
        <f>SUM(J55:J56)</f>
        <v>0</v>
      </c>
      <c r="K57" s="1020">
        <f>SUM(K55:K56)</f>
        <v>0</v>
      </c>
      <c r="L57" s="1020">
        <f>SUM(L55:L56)</f>
        <v>0</v>
      </c>
      <c r="M57" s="1020">
        <f>SUM(M55:M56)</f>
        <v>0</v>
      </c>
      <c r="N57" s="1021">
        <f>SUM(N55:N56)</f>
        <v>8000</v>
      </c>
      <c r="O57" s="586"/>
    </row>
    <row r="58" spans="1:15" s="63" customFormat="1" ht="17.25">
      <c r="A58" s="1194">
        <v>51</v>
      </c>
      <c r="B58" s="70"/>
      <c r="C58" s="1197"/>
      <c r="D58" s="76" t="s">
        <v>222</v>
      </c>
      <c r="E58" s="77"/>
      <c r="F58" s="78"/>
      <c r="G58" s="78">
        <v>2000</v>
      </c>
      <c r="H58" s="79"/>
      <c r="I58" s="550"/>
      <c r="J58" s="84"/>
      <c r="K58" s="84"/>
      <c r="L58" s="84"/>
      <c r="M58" s="84"/>
      <c r="N58" s="85"/>
      <c r="O58" s="56"/>
    </row>
    <row r="59" spans="1:15" s="56" customFormat="1" ht="16.5">
      <c r="A59" s="1194">
        <v>52</v>
      </c>
      <c r="B59" s="854"/>
      <c r="C59" s="71"/>
      <c r="D59" s="871" t="s">
        <v>635</v>
      </c>
      <c r="E59" s="855"/>
      <c r="F59" s="856"/>
      <c r="G59" s="856"/>
      <c r="H59" s="857"/>
      <c r="I59" s="874">
        <f t="shared" si="0"/>
        <v>2000</v>
      </c>
      <c r="J59" s="84"/>
      <c r="K59" s="84"/>
      <c r="L59" s="84">
        <v>2000</v>
      </c>
      <c r="M59" s="84"/>
      <c r="N59" s="85"/>
      <c r="O59" s="63">
        <f>SUM(J59:N59)-I59</f>
        <v>0</v>
      </c>
    </row>
    <row r="60" spans="1:15" s="862" customFormat="1" ht="17.25">
      <c r="A60" s="1194">
        <v>53</v>
      </c>
      <c r="B60" s="858"/>
      <c r="C60" s="87"/>
      <c r="D60" s="872" t="s">
        <v>961</v>
      </c>
      <c r="E60" s="859"/>
      <c r="F60" s="860"/>
      <c r="G60" s="860"/>
      <c r="H60" s="861"/>
      <c r="I60" s="875">
        <f t="shared" si="0"/>
        <v>2000</v>
      </c>
      <c r="J60" s="1018"/>
      <c r="K60" s="1018"/>
      <c r="L60" s="1018">
        <v>-2000</v>
      </c>
      <c r="M60" s="1018"/>
      <c r="N60" s="1019">
        <v>4000</v>
      </c>
      <c r="O60" s="86"/>
    </row>
    <row r="61" spans="1:15" s="1110" customFormat="1" ht="17.25">
      <c r="A61" s="1194">
        <v>54</v>
      </c>
      <c r="B61" s="863"/>
      <c r="C61" s="864"/>
      <c r="D61" s="873" t="s">
        <v>637</v>
      </c>
      <c r="E61" s="866"/>
      <c r="F61" s="867"/>
      <c r="G61" s="867"/>
      <c r="H61" s="868"/>
      <c r="I61" s="550">
        <f t="shared" si="0"/>
        <v>4000</v>
      </c>
      <c r="J61" s="1020">
        <f>SUM(J59:J60)</f>
        <v>0</v>
      </c>
      <c r="K61" s="1020">
        <f>SUM(K59:K60)</f>
        <v>0</v>
      </c>
      <c r="L61" s="1020">
        <f>SUM(L59:L60)</f>
        <v>0</v>
      </c>
      <c r="M61" s="1020">
        <f>SUM(M59:M60)</f>
        <v>0</v>
      </c>
      <c r="N61" s="1021">
        <f>SUM(N59:N60)</f>
        <v>4000</v>
      </c>
      <c r="O61" s="586"/>
    </row>
    <row r="62" spans="1:15" s="63" customFormat="1" ht="17.25">
      <c r="A62" s="1194">
        <v>55</v>
      </c>
      <c r="B62" s="70"/>
      <c r="C62" s="1197"/>
      <c r="D62" s="76" t="s">
        <v>223</v>
      </c>
      <c r="E62" s="77"/>
      <c r="F62" s="78"/>
      <c r="G62" s="78"/>
      <c r="H62" s="79"/>
      <c r="I62" s="550"/>
      <c r="J62" s="84"/>
      <c r="K62" s="84"/>
      <c r="L62" s="84"/>
      <c r="M62" s="84"/>
      <c r="N62" s="85"/>
      <c r="O62" s="56"/>
    </row>
    <row r="63" spans="1:15" s="56" customFormat="1" ht="16.5">
      <c r="A63" s="1194">
        <v>56</v>
      </c>
      <c r="B63" s="854"/>
      <c r="C63" s="71"/>
      <c r="D63" s="871" t="s">
        <v>635</v>
      </c>
      <c r="E63" s="855"/>
      <c r="F63" s="856"/>
      <c r="G63" s="856"/>
      <c r="H63" s="857"/>
      <c r="I63" s="874">
        <f t="shared" si="0"/>
        <v>5000</v>
      </c>
      <c r="J63" s="84"/>
      <c r="K63" s="84"/>
      <c r="L63" s="84">
        <v>5000</v>
      </c>
      <c r="M63" s="84"/>
      <c r="N63" s="85"/>
      <c r="O63" s="63">
        <f>SUM(J63:N63)-I63</f>
        <v>0</v>
      </c>
    </row>
    <row r="64" spans="1:15" s="862" customFormat="1" ht="17.25">
      <c r="A64" s="1194">
        <v>57</v>
      </c>
      <c r="B64" s="858"/>
      <c r="C64" s="87"/>
      <c r="D64" s="872" t="s">
        <v>959</v>
      </c>
      <c r="E64" s="859"/>
      <c r="F64" s="860"/>
      <c r="G64" s="860"/>
      <c r="H64" s="861"/>
      <c r="I64" s="875">
        <f t="shared" si="0"/>
        <v>0</v>
      </c>
      <c r="J64" s="1018"/>
      <c r="K64" s="1018"/>
      <c r="L64" s="1018">
        <v>-5000</v>
      </c>
      <c r="M64" s="1018"/>
      <c r="N64" s="1019">
        <v>5000</v>
      </c>
      <c r="O64" s="86"/>
    </row>
    <row r="65" spans="1:15" s="1110" customFormat="1" ht="17.25">
      <c r="A65" s="1194">
        <v>58</v>
      </c>
      <c r="B65" s="863"/>
      <c r="C65" s="864"/>
      <c r="D65" s="873" t="s">
        <v>637</v>
      </c>
      <c r="E65" s="866"/>
      <c r="F65" s="867"/>
      <c r="G65" s="867"/>
      <c r="H65" s="868"/>
      <c r="I65" s="550">
        <f t="shared" si="0"/>
        <v>5000</v>
      </c>
      <c r="J65" s="1020">
        <f>SUM(J63:J64)</f>
        <v>0</v>
      </c>
      <c r="K65" s="1020">
        <f>SUM(K63:K64)</f>
        <v>0</v>
      </c>
      <c r="L65" s="1020">
        <f>SUM(L63:L64)</f>
        <v>0</v>
      </c>
      <c r="M65" s="1020">
        <f>SUM(M63:M64)</f>
        <v>0</v>
      </c>
      <c r="N65" s="1021">
        <f>SUM(N63:N64)</f>
        <v>5000</v>
      </c>
      <c r="O65" s="586"/>
    </row>
    <row r="66" spans="1:15" s="63" customFormat="1" ht="17.25">
      <c r="A66" s="1194">
        <v>59</v>
      </c>
      <c r="B66" s="70"/>
      <c r="C66" s="71">
        <v>9</v>
      </c>
      <c r="D66" s="72" t="s">
        <v>224</v>
      </c>
      <c r="E66" s="71" t="s">
        <v>33</v>
      </c>
      <c r="F66" s="48">
        <v>2448</v>
      </c>
      <c r="G66" s="48">
        <v>3000</v>
      </c>
      <c r="H66" s="73">
        <v>7592</v>
      </c>
      <c r="I66" s="550"/>
      <c r="J66" s="1020"/>
      <c r="K66" s="1020"/>
      <c r="L66" s="1020"/>
      <c r="M66" s="1020"/>
      <c r="N66" s="1021"/>
      <c r="O66" s="586"/>
    </row>
    <row r="67" spans="1:15" s="56" customFormat="1" ht="16.5">
      <c r="A67" s="1194">
        <v>60</v>
      </c>
      <c r="B67" s="854"/>
      <c r="C67" s="71"/>
      <c r="D67" s="72" t="s">
        <v>635</v>
      </c>
      <c r="E67" s="855"/>
      <c r="F67" s="856"/>
      <c r="G67" s="856"/>
      <c r="H67" s="857"/>
      <c r="I67" s="874">
        <f t="shared" si="0"/>
        <v>3000</v>
      </c>
      <c r="J67" s="84">
        <v>200</v>
      </c>
      <c r="K67" s="84">
        <v>150</v>
      </c>
      <c r="L67" s="84">
        <v>2650</v>
      </c>
      <c r="M67" s="84"/>
      <c r="N67" s="85"/>
      <c r="O67" s="63">
        <f>SUM(J67:N67)-I67</f>
        <v>0</v>
      </c>
    </row>
    <row r="68" spans="1:15" s="862" customFormat="1" ht="17.25">
      <c r="A68" s="1194">
        <v>61</v>
      </c>
      <c r="B68" s="858"/>
      <c r="C68" s="87"/>
      <c r="D68" s="80" t="s">
        <v>707</v>
      </c>
      <c r="E68" s="859"/>
      <c r="F68" s="860"/>
      <c r="G68" s="860"/>
      <c r="H68" s="861"/>
      <c r="I68" s="875">
        <f t="shared" si="0"/>
        <v>2745</v>
      </c>
      <c r="J68" s="1018"/>
      <c r="K68" s="1018"/>
      <c r="L68" s="1018">
        <v>2745</v>
      </c>
      <c r="M68" s="1018"/>
      <c r="N68" s="1019"/>
      <c r="O68" s="86"/>
    </row>
    <row r="69" spans="1:15" s="1110" customFormat="1" ht="17.25">
      <c r="A69" s="1194">
        <v>62</v>
      </c>
      <c r="B69" s="863"/>
      <c r="C69" s="864"/>
      <c r="D69" s="865" t="s">
        <v>637</v>
      </c>
      <c r="E69" s="866"/>
      <c r="F69" s="867"/>
      <c r="G69" s="867"/>
      <c r="H69" s="868"/>
      <c r="I69" s="550">
        <f t="shared" si="0"/>
        <v>5745</v>
      </c>
      <c r="J69" s="1020">
        <f>SUM(J67:J68)</f>
        <v>200</v>
      </c>
      <c r="K69" s="1020">
        <f>SUM(K67:K68)</f>
        <v>150</v>
      </c>
      <c r="L69" s="1020">
        <f>SUM(L67:L68)</f>
        <v>5395</v>
      </c>
      <c r="M69" s="1020">
        <f>SUM(M67:M68)</f>
        <v>0</v>
      </c>
      <c r="N69" s="1021">
        <f>SUM(N67:N68)</f>
        <v>0</v>
      </c>
      <c r="O69" s="586"/>
    </row>
    <row r="70" spans="1:15" s="63" customFormat="1" ht="17.25">
      <c r="A70" s="1194">
        <v>63</v>
      </c>
      <c r="B70" s="70"/>
      <c r="C70" s="71">
        <v>10</v>
      </c>
      <c r="D70" s="72" t="s">
        <v>154</v>
      </c>
      <c r="E70" s="71" t="s">
        <v>33</v>
      </c>
      <c r="F70" s="48"/>
      <c r="G70" s="48">
        <v>1000</v>
      </c>
      <c r="H70" s="73"/>
      <c r="I70" s="550"/>
      <c r="J70" s="1020"/>
      <c r="K70" s="1020"/>
      <c r="L70" s="1020"/>
      <c r="M70" s="1020"/>
      <c r="N70" s="1021"/>
      <c r="O70" s="586"/>
    </row>
    <row r="71" spans="1:15" s="56" customFormat="1" ht="16.5">
      <c r="A71" s="1194">
        <v>64</v>
      </c>
      <c r="B71" s="854"/>
      <c r="C71" s="71"/>
      <c r="D71" s="72" t="s">
        <v>635</v>
      </c>
      <c r="E71" s="855"/>
      <c r="F71" s="856"/>
      <c r="G71" s="856"/>
      <c r="H71" s="857"/>
      <c r="I71" s="874">
        <f t="shared" si="0"/>
        <v>0</v>
      </c>
      <c r="J71" s="84"/>
      <c r="K71" s="84"/>
      <c r="L71" s="84"/>
      <c r="M71" s="84"/>
      <c r="N71" s="85"/>
      <c r="O71" s="63">
        <f>SUM(J71:N71)-I71</f>
        <v>0</v>
      </c>
    </row>
    <row r="72" spans="1:15" s="862" customFormat="1" ht="17.25">
      <c r="A72" s="1194">
        <v>65</v>
      </c>
      <c r="B72" s="858"/>
      <c r="C72" s="87"/>
      <c r="D72" s="80" t="s">
        <v>636</v>
      </c>
      <c r="E72" s="859"/>
      <c r="F72" s="860"/>
      <c r="G72" s="860"/>
      <c r="H72" s="861"/>
      <c r="I72" s="875">
        <f t="shared" si="0"/>
        <v>0</v>
      </c>
      <c r="J72" s="1018"/>
      <c r="K72" s="1018"/>
      <c r="L72" s="1018"/>
      <c r="M72" s="1018"/>
      <c r="N72" s="1019"/>
      <c r="O72" s="86"/>
    </row>
    <row r="73" spans="1:15" s="1110" customFormat="1" ht="17.25">
      <c r="A73" s="1194">
        <v>66</v>
      </c>
      <c r="B73" s="863"/>
      <c r="C73" s="864"/>
      <c r="D73" s="865" t="s">
        <v>637</v>
      </c>
      <c r="E73" s="866"/>
      <c r="F73" s="867"/>
      <c r="G73" s="867"/>
      <c r="H73" s="868"/>
      <c r="I73" s="550">
        <f t="shared" si="0"/>
        <v>0</v>
      </c>
      <c r="J73" s="1020">
        <f>SUM(J71:J72)</f>
        <v>0</v>
      </c>
      <c r="K73" s="1020">
        <f>SUM(K71:K72)</f>
        <v>0</v>
      </c>
      <c r="L73" s="1020">
        <f>SUM(L71:L72)</f>
        <v>0</v>
      </c>
      <c r="M73" s="1020">
        <f>SUM(M71:M72)</f>
        <v>0</v>
      </c>
      <c r="N73" s="1021">
        <f>SUM(N71:N72)</f>
        <v>0</v>
      </c>
      <c r="O73" s="586"/>
    </row>
    <row r="74" spans="1:15" s="63" customFormat="1" ht="17.25">
      <c r="A74" s="1194">
        <v>67</v>
      </c>
      <c r="B74" s="70"/>
      <c r="C74" s="71">
        <v>11</v>
      </c>
      <c r="D74" s="72" t="s">
        <v>225</v>
      </c>
      <c r="E74" s="71" t="s">
        <v>33</v>
      </c>
      <c r="F74" s="48"/>
      <c r="G74" s="48">
        <v>1000</v>
      </c>
      <c r="H74" s="73">
        <v>652</v>
      </c>
      <c r="I74" s="550"/>
      <c r="J74" s="1020"/>
      <c r="K74" s="1020"/>
      <c r="L74" s="1020"/>
      <c r="M74" s="1020"/>
      <c r="N74" s="1021"/>
      <c r="O74" s="586"/>
    </row>
    <row r="75" spans="1:15" s="56" customFormat="1" ht="16.5">
      <c r="A75" s="1194">
        <v>68</v>
      </c>
      <c r="B75" s="854"/>
      <c r="C75" s="71"/>
      <c r="D75" s="72" t="s">
        <v>635</v>
      </c>
      <c r="E75" s="855"/>
      <c r="F75" s="856"/>
      <c r="G75" s="856"/>
      <c r="H75" s="857"/>
      <c r="I75" s="874">
        <f t="shared" si="0"/>
        <v>1000</v>
      </c>
      <c r="J75" s="84"/>
      <c r="K75" s="84"/>
      <c r="L75" s="84">
        <v>1000</v>
      </c>
      <c r="M75" s="84"/>
      <c r="N75" s="85"/>
      <c r="O75" s="63">
        <f>SUM(J75:N75)-I75</f>
        <v>0</v>
      </c>
    </row>
    <row r="76" spans="1:15" s="862" customFormat="1" ht="17.25">
      <c r="A76" s="1194">
        <v>69</v>
      </c>
      <c r="B76" s="858"/>
      <c r="C76" s="87"/>
      <c r="D76" s="80" t="s">
        <v>707</v>
      </c>
      <c r="E76" s="859"/>
      <c r="F76" s="860"/>
      <c r="G76" s="860"/>
      <c r="H76" s="861"/>
      <c r="I76" s="875">
        <f aca="true" t="shared" si="1" ref="I76:I149">SUM(J76:N76)</f>
        <v>1139</v>
      </c>
      <c r="J76" s="1018"/>
      <c r="K76" s="1018"/>
      <c r="L76" s="1018">
        <v>1139</v>
      </c>
      <c r="M76" s="1018"/>
      <c r="N76" s="1019"/>
      <c r="O76" s="86"/>
    </row>
    <row r="77" spans="1:15" s="1110" customFormat="1" ht="17.25">
      <c r="A77" s="1194">
        <v>70</v>
      </c>
      <c r="B77" s="863"/>
      <c r="C77" s="864"/>
      <c r="D77" s="865" t="s">
        <v>637</v>
      </c>
      <c r="E77" s="866"/>
      <c r="F77" s="867"/>
      <c r="G77" s="867"/>
      <c r="H77" s="868"/>
      <c r="I77" s="550">
        <f t="shared" si="1"/>
        <v>2139</v>
      </c>
      <c r="J77" s="1020">
        <f>SUM(J75:J76)</f>
        <v>0</v>
      </c>
      <c r="K77" s="1020">
        <f>SUM(K75:K76)</f>
        <v>0</v>
      </c>
      <c r="L77" s="1020">
        <f>SUM(L75:L76)</f>
        <v>2139</v>
      </c>
      <c r="M77" s="1020">
        <f>SUM(M75:M76)</f>
        <v>0</v>
      </c>
      <c r="N77" s="1021">
        <f>SUM(N75:N76)</f>
        <v>0</v>
      </c>
      <c r="O77" s="586"/>
    </row>
    <row r="78" spans="1:15" s="63" customFormat="1" ht="17.25">
      <c r="A78" s="1194">
        <v>71</v>
      </c>
      <c r="B78" s="70"/>
      <c r="C78" s="71">
        <v>12</v>
      </c>
      <c r="D78" s="72" t="s">
        <v>226</v>
      </c>
      <c r="E78" s="71" t="s">
        <v>33</v>
      </c>
      <c r="F78" s="48"/>
      <c r="G78" s="48">
        <v>8000</v>
      </c>
      <c r="H78" s="73">
        <v>1077</v>
      </c>
      <c r="I78" s="550"/>
      <c r="J78" s="1020"/>
      <c r="K78" s="1020"/>
      <c r="L78" s="1020"/>
      <c r="M78" s="1020"/>
      <c r="N78" s="1021"/>
      <c r="O78" s="586"/>
    </row>
    <row r="79" spans="1:15" s="56" customFormat="1" ht="16.5">
      <c r="A79" s="1194">
        <v>72</v>
      </c>
      <c r="B79" s="854"/>
      <c r="C79" s="71"/>
      <c r="D79" s="72" t="s">
        <v>635</v>
      </c>
      <c r="E79" s="855"/>
      <c r="F79" s="856"/>
      <c r="G79" s="856"/>
      <c r="H79" s="857"/>
      <c r="I79" s="874">
        <f t="shared" si="1"/>
        <v>4000</v>
      </c>
      <c r="J79" s="84">
        <v>300</v>
      </c>
      <c r="K79" s="84">
        <v>200</v>
      </c>
      <c r="L79" s="84">
        <v>1500</v>
      </c>
      <c r="M79" s="84"/>
      <c r="N79" s="85">
        <v>2000</v>
      </c>
      <c r="O79" s="63">
        <f>SUM(J79:N79)-I79</f>
        <v>0</v>
      </c>
    </row>
    <row r="80" spans="1:15" s="862" customFormat="1" ht="17.25">
      <c r="A80" s="1194">
        <v>73</v>
      </c>
      <c r="B80" s="858"/>
      <c r="C80" s="87"/>
      <c r="D80" s="80" t="s">
        <v>710</v>
      </c>
      <c r="E80" s="859"/>
      <c r="F80" s="860"/>
      <c r="G80" s="860"/>
      <c r="H80" s="861"/>
      <c r="I80" s="875">
        <f t="shared" si="1"/>
        <v>-980</v>
      </c>
      <c r="J80" s="1018"/>
      <c r="K80" s="1018"/>
      <c r="L80" s="1018"/>
      <c r="M80" s="1018"/>
      <c r="N80" s="1019">
        <v>-980</v>
      </c>
      <c r="O80" s="86"/>
    </row>
    <row r="81" spans="1:15" s="862" customFormat="1" ht="17.25">
      <c r="A81" s="1194">
        <v>74</v>
      </c>
      <c r="B81" s="858"/>
      <c r="C81" s="87"/>
      <c r="D81" s="80" t="s">
        <v>711</v>
      </c>
      <c r="E81" s="859"/>
      <c r="F81" s="860"/>
      <c r="G81" s="860"/>
      <c r="H81" s="861"/>
      <c r="I81" s="875">
        <f t="shared" si="1"/>
        <v>-740</v>
      </c>
      <c r="J81" s="1018"/>
      <c r="K81" s="1018"/>
      <c r="L81" s="1018"/>
      <c r="M81" s="1018"/>
      <c r="N81" s="1019">
        <v>-740</v>
      </c>
      <c r="O81" s="86"/>
    </row>
    <row r="82" spans="1:15" s="862" customFormat="1" ht="17.25">
      <c r="A82" s="1194">
        <v>75</v>
      </c>
      <c r="B82" s="858"/>
      <c r="C82" s="87"/>
      <c r="D82" s="80" t="s">
        <v>712</v>
      </c>
      <c r="E82" s="859"/>
      <c r="F82" s="860"/>
      <c r="G82" s="860"/>
      <c r="H82" s="861"/>
      <c r="I82" s="875">
        <f t="shared" si="1"/>
        <v>-175</v>
      </c>
      <c r="J82" s="1018"/>
      <c r="K82" s="1018"/>
      <c r="L82" s="1018"/>
      <c r="M82" s="1018"/>
      <c r="N82" s="1019">
        <v>-175</v>
      </c>
      <c r="O82" s="86"/>
    </row>
    <row r="83" spans="1:15" s="862" customFormat="1" ht="17.25">
      <c r="A83" s="1194">
        <v>76</v>
      </c>
      <c r="B83" s="858"/>
      <c r="C83" s="87"/>
      <c r="D83" s="80" t="s">
        <v>744</v>
      </c>
      <c r="E83" s="859"/>
      <c r="F83" s="860"/>
      <c r="G83" s="860"/>
      <c r="H83" s="861"/>
      <c r="I83" s="875">
        <f t="shared" si="1"/>
        <v>-500</v>
      </c>
      <c r="J83" s="1018"/>
      <c r="K83" s="1018"/>
      <c r="L83" s="1018"/>
      <c r="M83" s="1018"/>
      <c r="N83" s="1019">
        <v>-500</v>
      </c>
      <c r="O83" s="86"/>
    </row>
    <row r="84" spans="1:15" s="862" customFormat="1" ht="17.25">
      <c r="A84" s="1194">
        <v>77</v>
      </c>
      <c r="B84" s="858"/>
      <c r="C84" s="87"/>
      <c r="D84" s="80" t="s">
        <v>704</v>
      </c>
      <c r="E84" s="859"/>
      <c r="F84" s="860"/>
      <c r="G84" s="860"/>
      <c r="H84" s="861"/>
      <c r="I84" s="875">
        <f t="shared" si="1"/>
        <v>1347</v>
      </c>
      <c r="J84" s="1018"/>
      <c r="K84" s="1018"/>
      <c r="L84" s="1018">
        <v>347</v>
      </c>
      <c r="M84" s="1018"/>
      <c r="N84" s="1040">
        <v>1000</v>
      </c>
      <c r="O84" s="86"/>
    </row>
    <row r="85" spans="1:15" s="1110" customFormat="1" ht="17.25">
      <c r="A85" s="1194">
        <v>78</v>
      </c>
      <c r="B85" s="863"/>
      <c r="C85" s="864"/>
      <c r="D85" s="865" t="s">
        <v>637</v>
      </c>
      <c r="E85" s="866"/>
      <c r="F85" s="867"/>
      <c r="G85" s="867"/>
      <c r="H85" s="868"/>
      <c r="I85" s="550">
        <f t="shared" si="1"/>
        <v>2952</v>
      </c>
      <c r="J85" s="1020">
        <f>SUM(J79:J84)</f>
        <v>300</v>
      </c>
      <c r="K85" s="1020">
        <f>SUM(K79:K84)</f>
        <v>200</v>
      </c>
      <c r="L85" s="1020">
        <f>SUM(L79:L84)</f>
        <v>1847</v>
      </c>
      <c r="M85" s="1020">
        <f>SUM(M79:M84)</f>
        <v>0</v>
      </c>
      <c r="N85" s="1020">
        <f>SUM(N79:N84)</f>
        <v>605</v>
      </c>
      <c r="O85" s="586"/>
    </row>
    <row r="86" spans="1:15" s="63" customFormat="1" ht="17.25">
      <c r="A86" s="1194">
        <v>79</v>
      </c>
      <c r="B86" s="70"/>
      <c r="C86" s="71">
        <v>13</v>
      </c>
      <c r="D86" s="72" t="s">
        <v>745</v>
      </c>
      <c r="E86" s="71" t="s">
        <v>33</v>
      </c>
      <c r="F86" s="48"/>
      <c r="G86" s="48"/>
      <c r="H86" s="73"/>
      <c r="I86" s="550"/>
      <c r="J86" s="1020"/>
      <c r="K86" s="1020"/>
      <c r="L86" s="1020"/>
      <c r="M86" s="1020"/>
      <c r="N86" s="1021"/>
      <c r="O86" s="586"/>
    </row>
    <row r="87" spans="1:15" s="862" customFormat="1" ht="17.25">
      <c r="A87" s="1194">
        <v>80</v>
      </c>
      <c r="B87" s="858"/>
      <c r="C87" s="87"/>
      <c r="D87" s="80" t="s">
        <v>666</v>
      </c>
      <c r="E87" s="859"/>
      <c r="F87" s="860"/>
      <c r="G87" s="860"/>
      <c r="H87" s="861"/>
      <c r="I87" s="875">
        <f t="shared" si="1"/>
        <v>500</v>
      </c>
      <c r="J87" s="1018"/>
      <c r="K87" s="1018"/>
      <c r="L87" s="1018"/>
      <c r="M87" s="1018"/>
      <c r="N87" s="1019">
        <v>500</v>
      </c>
      <c r="O87" s="86"/>
    </row>
    <row r="88" spans="1:15" s="1110" customFormat="1" ht="17.25">
      <c r="A88" s="1194">
        <v>81</v>
      </c>
      <c r="B88" s="863"/>
      <c r="C88" s="864"/>
      <c r="D88" s="865" t="s">
        <v>637</v>
      </c>
      <c r="E88" s="866"/>
      <c r="F88" s="867"/>
      <c r="G88" s="867"/>
      <c r="H88" s="868"/>
      <c r="I88" s="550">
        <f>SUM(I87)</f>
        <v>500</v>
      </c>
      <c r="J88" s="1020">
        <f>SUM(J87)</f>
        <v>0</v>
      </c>
      <c r="K88" s="1020">
        <f>SUM(K87)</f>
        <v>0</v>
      </c>
      <c r="L88" s="1020">
        <f>SUM(L87)</f>
        <v>0</v>
      </c>
      <c r="M88" s="1020">
        <f>SUM(M87)</f>
        <v>0</v>
      </c>
      <c r="N88" s="1021">
        <f>SUM(N87)</f>
        <v>500</v>
      </c>
      <c r="O88" s="586"/>
    </row>
    <row r="89" spans="1:15" s="63" customFormat="1" ht="17.25">
      <c r="A89" s="1194">
        <v>82</v>
      </c>
      <c r="B89" s="70"/>
      <c r="C89" s="71">
        <v>14</v>
      </c>
      <c r="D89" s="72" t="s">
        <v>227</v>
      </c>
      <c r="E89" s="71" t="s">
        <v>33</v>
      </c>
      <c r="F89" s="48"/>
      <c r="G89" s="48">
        <v>2000</v>
      </c>
      <c r="H89" s="73">
        <v>1654</v>
      </c>
      <c r="I89" s="550"/>
      <c r="J89" s="1020"/>
      <c r="K89" s="1020"/>
      <c r="L89" s="1020"/>
      <c r="M89" s="1020"/>
      <c r="N89" s="1021"/>
      <c r="O89" s="586"/>
    </row>
    <row r="90" spans="1:15" s="56" customFormat="1" ht="16.5">
      <c r="A90" s="1194">
        <v>83</v>
      </c>
      <c r="B90" s="854"/>
      <c r="C90" s="71"/>
      <c r="D90" s="72" t="s">
        <v>635</v>
      </c>
      <c r="E90" s="855"/>
      <c r="F90" s="856"/>
      <c r="G90" s="856"/>
      <c r="H90" s="857"/>
      <c r="I90" s="874">
        <f t="shared" si="1"/>
        <v>3000</v>
      </c>
      <c r="J90" s="84"/>
      <c r="K90" s="84"/>
      <c r="L90" s="84">
        <v>1000</v>
      </c>
      <c r="M90" s="84"/>
      <c r="N90" s="85">
        <v>2000</v>
      </c>
      <c r="O90" s="63">
        <f>SUM(J90:N90)-I90</f>
        <v>0</v>
      </c>
    </row>
    <row r="91" spans="1:15" s="862" customFormat="1" ht="17.25">
      <c r="A91" s="1194">
        <v>84</v>
      </c>
      <c r="B91" s="858"/>
      <c r="C91" s="87"/>
      <c r="D91" s="80" t="s">
        <v>636</v>
      </c>
      <c r="E91" s="859"/>
      <c r="F91" s="860"/>
      <c r="G91" s="860"/>
      <c r="H91" s="861"/>
      <c r="I91" s="875">
        <f t="shared" si="1"/>
        <v>0</v>
      </c>
      <c r="J91" s="1018"/>
      <c r="K91" s="1018"/>
      <c r="L91" s="1018"/>
      <c r="M91" s="1018"/>
      <c r="N91" s="1019"/>
      <c r="O91" s="86"/>
    </row>
    <row r="92" spans="1:15" s="1110" customFormat="1" ht="17.25">
      <c r="A92" s="1194">
        <v>85</v>
      </c>
      <c r="B92" s="863"/>
      <c r="C92" s="864"/>
      <c r="D92" s="865" t="s">
        <v>637</v>
      </c>
      <c r="E92" s="866"/>
      <c r="F92" s="867"/>
      <c r="G92" s="867"/>
      <c r="H92" s="868"/>
      <c r="I92" s="550">
        <f t="shared" si="1"/>
        <v>3000</v>
      </c>
      <c r="J92" s="1020">
        <f>SUM(J90:J91)</f>
        <v>0</v>
      </c>
      <c r="K92" s="1020">
        <f>SUM(K90:K91)</f>
        <v>0</v>
      </c>
      <c r="L92" s="1020">
        <f>SUM(L90:L91)</f>
        <v>1000</v>
      </c>
      <c r="M92" s="1020">
        <f>SUM(M90:M91)</f>
        <v>0</v>
      </c>
      <c r="N92" s="1021">
        <f>SUM(N90:N91)</f>
        <v>2000</v>
      </c>
      <c r="O92" s="586"/>
    </row>
    <row r="93" spans="1:15" s="63" customFormat="1" ht="17.25">
      <c r="A93" s="1194">
        <v>86</v>
      </c>
      <c r="B93" s="70"/>
      <c r="C93" s="71">
        <v>15</v>
      </c>
      <c r="D93" s="72" t="s">
        <v>228</v>
      </c>
      <c r="E93" s="71" t="s">
        <v>33</v>
      </c>
      <c r="F93" s="48"/>
      <c r="G93" s="48"/>
      <c r="H93" s="73"/>
      <c r="I93" s="550"/>
      <c r="J93" s="1020"/>
      <c r="K93" s="1020"/>
      <c r="L93" s="1020"/>
      <c r="M93" s="1020"/>
      <c r="N93" s="1021"/>
      <c r="O93" s="586"/>
    </row>
    <row r="94" spans="1:15" s="56" customFormat="1" ht="16.5">
      <c r="A94" s="1194">
        <v>87</v>
      </c>
      <c r="B94" s="854"/>
      <c r="C94" s="71"/>
      <c r="D94" s="72" t="s">
        <v>635</v>
      </c>
      <c r="E94" s="855"/>
      <c r="F94" s="856"/>
      <c r="G94" s="856"/>
      <c r="H94" s="857"/>
      <c r="I94" s="874">
        <f t="shared" si="1"/>
        <v>1000</v>
      </c>
      <c r="J94" s="84"/>
      <c r="K94" s="84"/>
      <c r="L94" s="84">
        <v>1000</v>
      </c>
      <c r="M94" s="84"/>
      <c r="N94" s="85"/>
      <c r="O94" s="63">
        <f>SUM(J94:N94)-I94</f>
        <v>0</v>
      </c>
    </row>
    <row r="95" spans="1:15" s="862" customFormat="1" ht="17.25">
      <c r="A95" s="1194">
        <v>88</v>
      </c>
      <c r="B95" s="858"/>
      <c r="C95" s="87"/>
      <c r="D95" s="80" t="s">
        <v>636</v>
      </c>
      <c r="E95" s="859"/>
      <c r="F95" s="860"/>
      <c r="G95" s="860"/>
      <c r="H95" s="861"/>
      <c r="I95" s="875">
        <f t="shared" si="1"/>
        <v>0</v>
      </c>
      <c r="J95" s="1018"/>
      <c r="K95" s="1018"/>
      <c r="L95" s="1018"/>
      <c r="M95" s="1018"/>
      <c r="N95" s="1019"/>
      <c r="O95" s="86"/>
    </row>
    <row r="96" spans="1:15" s="1110" customFormat="1" ht="17.25">
      <c r="A96" s="1194">
        <v>89</v>
      </c>
      <c r="B96" s="863"/>
      <c r="C96" s="864"/>
      <c r="D96" s="865" t="s">
        <v>637</v>
      </c>
      <c r="E96" s="866"/>
      <c r="F96" s="867"/>
      <c r="G96" s="867"/>
      <c r="H96" s="868"/>
      <c r="I96" s="550">
        <f t="shared" si="1"/>
        <v>1000</v>
      </c>
      <c r="J96" s="1020">
        <f>SUM(J94:J95)</f>
        <v>0</v>
      </c>
      <c r="K96" s="1020">
        <f>SUM(K94:K95)</f>
        <v>0</v>
      </c>
      <c r="L96" s="1020">
        <f>SUM(L94:L95)</f>
        <v>1000</v>
      </c>
      <c r="M96" s="1020">
        <f>SUM(M94:M95)</f>
        <v>0</v>
      </c>
      <c r="N96" s="1021">
        <f>SUM(N94:N95)</f>
        <v>0</v>
      </c>
      <c r="O96" s="586"/>
    </row>
    <row r="97" spans="1:15" s="63" customFormat="1" ht="17.25">
      <c r="A97" s="1194">
        <v>90</v>
      </c>
      <c r="B97" s="70"/>
      <c r="C97" s="71">
        <v>16</v>
      </c>
      <c r="D97" s="72" t="s">
        <v>229</v>
      </c>
      <c r="E97" s="71" t="s">
        <v>33</v>
      </c>
      <c r="F97" s="48"/>
      <c r="G97" s="48">
        <v>5000</v>
      </c>
      <c r="H97" s="73">
        <v>4583</v>
      </c>
      <c r="I97" s="550"/>
      <c r="J97" s="1020"/>
      <c r="K97" s="1020"/>
      <c r="L97" s="1020"/>
      <c r="M97" s="1020"/>
      <c r="N97" s="1021"/>
      <c r="O97" s="586"/>
    </row>
    <row r="98" spans="1:15" s="56" customFormat="1" ht="16.5">
      <c r="A98" s="1194">
        <v>91</v>
      </c>
      <c r="B98" s="854"/>
      <c r="C98" s="71"/>
      <c r="D98" s="72" t="s">
        <v>635</v>
      </c>
      <c r="E98" s="855"/>
      <c r="F98" s="856"/>
      <c r="G98" s="856"/>
      <c r="H98" s="857"/>
      <c r="I98" s="874">
        <f t="shared" si="1"/>
        <v>5000</v>
      </c>
      <c r="J98" s="84"/>
      <c r="K98" s="84"/>
      <c r="L98" s="84">
        <v>5000</v>
      </c>
      <c r="M98" s="84"/>
      <c r="N98" s="85"/>
      <c r="O98" s="63">
        <f>SUM(J98:N98)-I98</f>
        <v>0</v>
      </c>
    </row>
    <row r="99" spans="1:15" s="862" customFormat="1" ht="17.25">
      <c r="A99" s="1194">
        <v>92</v>
      </c>
      <c r="B99" s="858"/>
      <c r="C99" s="87"/>
      <c r="D99" s="80" t="s">
        <v>636</v>
      </c>
      <c r="E99" s="859"/>
      <c r="F99" s="860"/>
      <c r="G99" s="860"/>
      <c r="H99" s="861"/>
      <c r="I99" s="875">
        <f t="shared" si="1"/>
        <v>0</v>
      </c>
      <c r="J99" s="1018"/>
      <c r="K99" s="1018"/>
      <c r="L99" s="1018"/>
      <c r="M99" s="1018"/>
      <c r="N99" s="1019"/>
      <c r="O99" s="86"/>
    </row>
    <row r="100" spans="1:15" s="1110" customFormat="1" ht="17.25">
      <c r="A100" s="1194">
        <v>93</v>
      </c>
      <c r="B100" s="863"/>
      <c r="C100" s="864"/>
      <c r="D100" s="865" t="s">
        <v>637</v>
      </c>
      <c r="E100" s="866"/>
      <c r="F100" s="867"/>
      <c r="G100" s="867"/>
      <c r="H100" s="868"/>
      <c r="I100" s="550">
        <f t="shared" si="1"/>
        <v>5000</v>
      </c>
      <c r="J100" s="1020">
        <f>SUM(J98:J99)</f>
        <v>0</v>
      </c>
      <c r="K100" s="1020">
        <f>SUM(K98:K99)</f>
        <v>0</v>
      </c>
      <c r="L100" s="1020">
        <f>SUM(L98:L99)</f>
        <v>5000</v>
      </c>
      <c r="M100" s="1020">
        <f>SUM(M98:M99)</f>
        <v>0</v>
      </c>
      <c r="N100" s="1021">
        <f>SUM(N98:N99)</f>
        <v>0</v>
      </c>
      <c r="O100" s="586"/>
    </row>
    <row r="101" spans="1:15" s="63" customFormat="1" ht="17.25">
      <c r="A101" s="1194">
        <v>94</v>
      </c>
      <c r="B101" s="70"/>
      <c r="C101" s="71">
        <v>17</v>
      </c>
      <c r="D101" s="72" t="s">
        <v>230</v>
      </c>
      <c r="E101" s="71" t="s">
        <v>33</v>
      </c>
      <c r="F101" s="48"/>
      <c r="G101" s="48">
        <v>1000</v>
      </c>
      <c r="H101" s="73">
        <v>1000</v>
      </c>
      <c r="I101" s="550"/>
      <c r="J101" s="1020"/>
      <c r="K101" s="1020"/>
      <c r="L101" s="1020"/>
      <c r="M101" s="1020"/>
      <c r="N101" s="1021"/>
      <c r="O101" s="586"/>
    </row>
    <row r="102" spans="1:15" s="56" customFormat="1" ht="16.5">
      <c r="A102" s="1194">
        <v>95</v>
      </c>
      <c r="B102" s="854"/>
      <c r="C102" s="71"/>
      <c r="D102" s="72" t="s">
        <v>635</v>
      </c>
      <c r="E102" s="855"/>
      <c r="F102" s="856"/>
      <c r="G102" s="856"/>
      <c r="H102" s="857"/>
      <c r="I102" s="874">
        <f t="shared" si="1"/>
        <v>1000</v>
      </c>
      <c r="J102" s="84"/>
      <c r="K102" s="84"/>
      <c r="L102" s="84"/>
      <c r="M102" s="84"/>
      <c r="N102" s="85">
        <v>1000</v>
      </c>
      <c r="O102" s="63">
        <f>SUM(J102:N102)-I102</f>
        <v>0</v>
      </c>
    </row>
    <row r="103" spans="1:15" s="862" customFormat="1" ht="17.25">
      <c r="A103" s="1194">
        <v>96</v>
      </c>
      <c r="B103" s="858"/>
      <c r="C103" s="87"/>
      <c r="D103" s="80" t="s">
        <v>636</v>
      </c>
      <c r="E103" s="859"/>
      <c r="F103" s="860"/>
      <c r="G103" s="860"/>
      <c r="H103" s="861"/>
      <c r="I103" s="875">
        <f t="shared" si="1"/>
        <v>0</v>
      </c>
      <c r="J103" s="1018"/>
      <c r="K103" s="1018"/>
      <c r="L103" s="1018"/>
      <c r="M103" s="1018"/>
      <c r="N103" s="1019"/>
      <c r="O103" s="86"/>
    </row>
    <row r="104" spans="1:15" s="1110" customFormat="1" ht="17.25">
      <c r="A104" s="1194">
        <v>97</v>
      </c>
      <c r="B104" s="863"/>
      <c r="C104" s="864"/>
      <c r="D104" s="865" t="s">
        <v>637</v>
      </c>
      <c r="E104" s="866"/>
      <c r="F104" s="867"/>
      <c r="G104" s="867"/>
      <c r="H104" s="868"/>
      <c r="I104" s="550">
        <f t="shared" si="1"/>
        <v>1000</v>
      </c>
      <c r="J104" s="1020">
        <f>SUM(J102:J103)</f>
        <v>0</v>
      </c>
      <c r="K104" s="1020">
        <f>SUM(K102:K103)</f>
        <v>0</v>
      </c>
      <c r="L104" s="1020">
        <f>SUM(L102:L103)</f>
        <v>0</v>
      </c>
      <c r="M104" s="1020">
        <f>SUM(M102:M103)</f>
        <v>0</v>
      </c>
      <c r="N104" s="1021">
        <f>SUM(N102:N103)</f>
        <v>1000</v>
      </c>
      <c r="O104" s="586"/>
    </row>
    <row r="105" spans="1:15" s="63" customFormat="1" ht="17.25">
      <c r="A105" s="1194">
        <v>98</v>
      </c>
      <c r="B105" s="70"/>
      <c r="C105" s="71">
        <v>18</v>
      </c>
      <c r="D105" s="72" t="s">
        <v>231</v>
      </c>
      <c r="E105" s="71" t="s">
        <v>33</v>
      </c>
      <c r="F105" s="48">
        <v>1500</v>
      </c>
      <c r="G105" s="48">
        <v>2000</v>
      </c>
      <c r="H105" s="73">
        <v>2000</v>
      </c>
      <c r="I105" s="550"/>
      <c r="J105" s="1020"/>
      <c r="K105" s="1020"/>
      <c r="L105" s="1020"/>
      <c r="M105" s="1020"/>
      <c r="N105" s="1021"/>
      <c r="O105" s="586"/>
    </row>
    <row r="106" spans="1:15" s="56" customFormat="1" ht="16.5">
      <c r="A106" s="1194">
        <v>99</v>
      </c>
      <c r="B106" s="854"/>
      <c r="C106" s="71"/>
      <c r="D106" s="72" t="s">
        <v>635</v>
      </c>
      <c r="E106" s="855"/>
      <c r="F106" s="856"/>
      <c r="G106" s="856"/>
      <c r="H106" s="857"/>
      <c r="I106" s="874">
        <f t="shared" si="1"/>
        <v>0</v>
      </c>
      <c r="J106" s="84"/>
      <c r="K106" s="84"/>
      <c r="L106" s="84"/>
      <c r="M106" s="84"/>
      <c r="N106" s="85"/>
      <c r="O106" s="63">
        <f>SUM(J106:N106)-I106</f>
        <v>0</v>
      </c>
    </row>
    <row r="107" spans="1:15" s="862" customFormat="1" ht="17.25">
      <c r="A107" s="1194">
        <v>100</v>
      </c>
      <c r="B107" s="858"/>
      <c r="C107" s="87"/>
      <c r="D107" s="80" t="s">
        <v>636</v>
      </c>
      <c r="E107" s="859"/>
      <c r="F107" s="860"/>
      <c r="G107" s="860"/>
      <c r="H107" s="861"/>
      <c r="I107" s="875">
        <f t="shared" si="1"/>
        <v>0</v>
      </c>
      <c r="J107" s="1018"/>
      <c r="K107" s="1018"/>
      <c r="L107" s="1018"/>
      <c r="M107" s="1018"/>
      <c r="N107" s="1019"/>
      <c r="O107" s="86"/>
    </row>
    <row r="108" spans="1:15" s="1110" customFormat="1" ht="17.25">
      <c r="A108" s="1194">
        <v>101</v>
      </c>
      <c r="B108" s="863"/>
      <c r="C108" s="864"/>
      <c r="D108" s="865" t="s">
        <v>637</v>
      </c>
      <c r="E108" s="866"/>
      <c r="F108" s="867"/>
      <c r="G108" s="867"/>
      <c r="H108" s="868"/>
      <c r="I108" s="550">
        <f t="shared" si="1"/>
        <v>0</v>
      </c>
      <c r="J108" s="1020">
        <f>SUM(J106:J107)</f>
        <v>0</v>
      </c>
      <c r="K108" s="1020">
        <f>SUM(K106:K107)</f>
        <v>0</v>
      </c>
      <c r="L108" s="1020">
        <f>SUM(L106:L107)</f>
        <v>0</v>
      </c>
      <c r="M108" s="1020">
        <f>SUM(M106:M107)</f>
        <v>0</v>
      </c>
      <c r="N108" s="1021">
        <f>SUM(N106:N107)</f>
        <v>0</v>
      </c>
      <c r="O108" s="586"/>
    </row>
    <row r="109" spans="1:15" s="56" customFormat="1" ht="25.5" customHeight="1">
      <c r="A109" s="1194">
        <v>102</v>
      </c>
      <c r="B109" s="81"/>
      <c r="C109" s="77">
        <v>19</v>
      </c>
      <c r="D109" s="82" t="s">
        <v>555</v>
      </c>
      <c r="E109" s="77" t="s">
        <v>33</v>
      </c>
      <c r="F109" s="46">
        <f>SUM(F113:F129)</f>
        <v>30600</v>
      </c>
      <c r="G109" s="46">
        <f>SUM(G113:G129)</f>
        <v>32100</v>
      </c>
      <c r="H109" s="83">
        <f>SUM(H113:H129)</f>
        <v>39700</v>
      </c>
      <c r="I109" s="550"/>
      <c r="J109" s="74"/>
      <c r="K109" s="74"/>
      <c r="L109" s="74"/>
      <c r="M109" s="74"/>
      <c r="N109" s="75"/>
      <c r="O109" s="63"/>
    </row>
    <row r="110" spans="1:15" s="56" customFormat="1" ht="16.5">
      <c r="A110" s="1194">
        <v>103</v>
      </c>
      <c r="B110" s="854"/>
      <c r="C110" s="71"/>
      <c r="D110" s="72" t="s">
        <v>635</v>
      </c>
      <c r="E110" s="855"/>
      <c r="F110" s="856"/>
      <c r="G110" s="856"/>
      <c r="H110" s="857"/>
      <c r="I110" s="874">
        <f t="shared" si="1"/>
        <v>42300</v>
      </c>
      <c r="J110" s="84">
        <f>SUM(J114,J118,J122,J126,J130)</f>
        <v>0</v>
      </c>
      <c r="K110" s="84">
        <f>SUM(K114,K118,K122,K126,K130)</f>
        <v>0</v>
      </c>
      <c r="L110" s="84">
        <f>SUM(L114,L118,L122,L126,L130)</f>
        <v>0</v>
      </c>
      <c r="M110" s="84">
        <f>SUM(M114,M118,M122,M126,M130)</f>
        <v>0</v>
      </c>
      <c r="N110" s="85">
        <f>SUM(N114,N118,N122,N126,N130)</f>
        <v>42300</v>
      </c>
      <c r="O110" s="63">
        <f>SUM(J110:N110)-I110</f>
        <v>0</v>
      </c>
    </row>
    <row r="111" spans="1:15" s="862" customFormat="1" ht="17.25">
      <c r="A111" s="1194">
        <v>104</v>
      </c>
      <c r="B111" s="858"/>
      <c r="C111" s="87"/>
      <c r="D111" s="80" t="s">
        <v>636</v>
      </c>
      <c r="E111" s="859"/>
      <c r="F111" s="860"/>
      <c r="G111" s="860"/>
      <c r="H111" s="861"/>
      <c r="I111" s="875">
        <f t="shared" si="1"/>
        <v>0</v>
      </c>
      <c r="J111" s="1018">
        <f>SUM(J115,J119,J123,J127,J131)</f>
        <v>0</v>
      </c>
      <c r="K111" s="1018">
        <f>SUM(K115,K119,K123,K127,K131)</f>
        <v>0</v>
      </c>
      <c r="L111" s="1018">
        <f>SUM(L115,L119,L123,L127,L131)</f>
        <v>0</v>
      </c>
      <c r="M111" s="1018">
        <f>SUM(M115,M119,M123,M127,M131)</f>
        <v>0</v>
      </c>
      <c r="N111" s="1019">
        <f>SUM(N115,N119,N123,N127,N131)</f>
        <v>0</v>
      </c>
      <c r="O111" s="86"/>
    </row>
    <row r="112" spans="1:15" s="1110" customFormat="1" ht="17.25">
      <c r="A112" s="1194">
        <v>105</v>
      </c>
      <c r="B112" s="863"/>
      <c r="C112" s="864"/>
      <c r="D112" s="865" t="s">
        <v>637</v>
      </c>
      <c r="E112" s="866"/>
      <c r="F112" s="867"/>
      <c r="G112" s="867"/>
      <c r="H112" s="868"/>
      <c r="I112" s="550">
        <f t="shared" si="1"/>
        <v>42300</v>
      </c>
      <c r="J112" s="1020">
        <f>SUM(J110:J111)</f>
        <v>0</v>
      </c>
      <c r="K112" s="1020">
        <f>SUM(K110:K111)</f>
        <v>0</v>
      </c>
      <c r="L112" s="1020">
        <f>SUM(L110:L111)</f>
        <v>0</v>
      </c>
      <c r="M112" s="1020">
        <f>SUM(M110:M111)</f>
        <v>0</v>
      </c>
      <c r="N112" s="1021">
        <f>SUM(N110:N111)</f>
        <v>42300</v>
      </c>
      <c r="O112" s="586"/>
    </row>
    <row r="113" spans="1:15" s="63" customFormat="1" ht="17.25">
      <c r="A113" s="1194">
        <v>106</v>
      </c>
      <c r="B113" s="70"/>
      <c r="C113" s="1197"/>
      <c r="D113" s="76" t="s">
        <v>232</v>
      </c>
      <c r="E113" s="77"/>
      <c r="F113" s="78">
        <v>20600</v>
      </c>
      <c r="G113" s="78">
        <v>20600</v>
      </c>
      <c r="H113" s="79">
        <v>28200</v>
      </c>
      <c r="I113" s="550"/>
      <c r="J113" s="84"/>
      <c r="K113" s="84"/>
      <c r="L113" s="84"/>
      <c r="M113" s="84"/>
      <c r="N113" s="85"/>
      <c r="O113" s="56"/>
    </row>
    <row r="114" spans="1:15" s="56" customFormat="1" ht="16.5">
      <c r="A114" s="1194">
        <v>107</v>
      </c>
      <c r="B114" s="854"/>
      <c r="C114" s="71"/>
      <c r="D114" s="871" t="s">
        <v>635</v>
      </c>
      <c r="E114" s="855"/>
      <c r="F114" s="856"/>
      <c r="G114" s="856"/>
      <c r="H114" s="857"/>
      <c r="I114" s="874">
        <f t="shared" si="1"/>
        <v>28200</v>
      </c>
      <c r="J114" s="84"/>
      <c r="K114" s="84"/>
      <c r="L114" s="84"/>
      <c r="M114" s="84"/>
      <c r="N114" s="85">
        <v>28200</v>
      </c>
      <c r="O114" s="63">
        <f>SUM(J114:N114)-I114</f>
        <v>0</v>
      </c>
    </row>
    <row r="115" spans="1:15" s="862" customFormat="1" ht="17.25">
      <c r="A115" s="1194">
        <v>108</v>
      </c>
      <c r="B115" s="858"/>
      <c r="C115" s="87"/>
      <c r="D115" s="872" t="s">
        <v>636</v>
      </c>
      <c r="E115" s="859"/>
      <c r="F115" s="860"/>
      <c r="G115" s="860"/>
      <c r="H115" s="861"/>
      <c r="I115" s="875">
        <f t="shared" si="1"/>
        <v>0</v>
      </c>
      <c r="J115" s="1018"/>
      <c r="K115" s="1018"/>
      <c r="L115" s="1018"/>
      <c r="M115" s="1018"/>
      <c r="N115" s="1019"/>
      <c r="O115" s="86"/>
    </row>
    <row r="116" spans="1:15" s="1110" customFormat="1" ht="17.25">
      <c r="A116" s="1194">
        <v>109</v>
      </c>
      <c r="B116" s="863"/>
      <c r="C116" s="864"/>
      <c r="D116" s="873" t="s">
        <v>637</v>
      </c>
      <c r="E116" s="866"/>
      <c r="F116" s="867"/>
      <c r="G116" s="867"/>
      <c r="H116" s="868"/>
      <c r="I116" s="550">
        <f t="shared" si="1"/>
        <v>28200</v>
      </c>
      <c r="J116" s="1020">
        <f>SUM(J114:J115)</f>
        <v>0</v>
      </c>
      <c r="K116" s="1020">
        <f>SUM(K114:K115)</f>
        <v>0</v>
      </c>
      <c r="L116" s="1020">
        <f>SUM(L114:L115)</f>
        <v>0</v>
      </c>
      <c r="M116" s="1020">
        <f>SUM(M114:M115)</f>
        <v>0</v>
      </c>
      <c r="N116" s="1021">
        <f>SUM(N114:N115)</f>
        <v>28200</v>
      </c>
      <c r="O116" s="586"/>
    </row>
    <row r="117" spans="1:15" s="63" customFormat="1" ht="17.25">
      <c r="A117" s="1194">
        <v>110</v>
      </c>
      <c r="B117" s="70"/>
      <c r="C117" s="1197"/>
      <c r="D117" s="876" t="s">
        <v>233</v>
      </c>
      <c r="E117" s="77"/>
      <c r="F117" s="78">
        <v>4000</v>
      </c>
      <c r="G117" s="78">
        <v>4200</v>
      </c>
      <c r="H117" s="79">
        <v>4200</v>
      </c>
      <c r="I117" s="550"/>
      <c r="J117" s="84"/>
      <c r="K117" s="84"/>
      <c r="L117" s="84"/>
      <c r="M117" s="84"/>
      <c r="N117" s="85"/>
      <c r="O117" s="56"/>
    </row>
    <row r="118" spans="1:15" s="56" customFormat="1" ht="16.5">
      <c r="A118" s="1194">
        <v>111</v>
      </c>
      <c r="B118" s="854"/>
      <c r="C118" s="71"/>
      <c r="D118" s="871" t="s">
        <v>635</v>
      </c>
      <c r="E118" s="855"/>
      <c r="F118" s="856"/>
      <c r="G118" s="856"/>
      <c r="H118" s="857"/>
      <c r="I118" s="874">
        <f t="shared" si="1"/>
        <v>5600</v>
      </c>
      <c r="J118" s="84"/>
      <c r="K118" s="84"/>
      <c r="L118" s="84"/>
      <c r="M118" s="84"/>
      <c r="N118" s="85">
        <v>5600</v>
      </c>
      <c r="O118" s="63">
        <f>SUM(J118:N118)-I118</f>
        <v>0</v>
      </c>
    </row>
    <row r="119" spans="1:15" s="862" customFormat="1" ht="17.25">
      <c r="A119" s="1194">
        <v>112</v>
      </c>
      <c r="B119" s="858"/>
      <c r="C119" s="87"/>
      <c r="D119" s="872" t="s">
        <v>636</v>
      </c>
      <c r="E119" s="859"/>
      <c r="F119" s="860"/>
      <c r="G119" s="860"/>
      <c r="H119" s="861"/>
      <c r="I119" s="875">
        <f t="shared" si="1"/>
        <v>0</v>
      </c>
      <c r="J119" s="1018"/>
      <c r="K119" s="1018"/>
      <c r="L119" s="1018"/>
      <c r="M119" s="1018"/>
      <c r="N119" s="1019"/>
      <c r="O119" s="86"/>
    </row>
    <row r="120" spans="1:15" s="1110" customFormat="1" ht="17.25">
      <c r="A120" s="1194">
        <v>113</v>
      </c>
      <c r="B120" s="863"/>
      <c r="C120" s="864"/>
      <c r="D120" s="873" t="s">
        <v>637</v>
      </c>
      <c r="E120" s="866"/>
      <c r="F120" s="867"/>
      <c r="G120" s="867"/>
      <c r="H120" s="868"/>
      <c r="I120" s="550">
        <f t="shared" si="1"/>
        <v>5600</v>
      </c>
      <c r="J120" s="1020">
        <f>SUM(J118:J119)</f>
        <v>0</v>
      </c>
      <c r="K120" s="1020">
        <f>SUM(K118:K119)</f>
        <v>0</v>
      </c>
      <c r="L120" s="1020">
        <f>SUM(L118:L119)</f>
        <v>0</v>
      </c>
      <c r="M120" s="1020">
        <f>SUM(M118:M119)</f>
        <v>0</v>
      </c>
      <c r="N120" s="1021">
        <f>SUM(N118:N119)</f>
        <v>5600</v>
      </c>
      <c r="O120" s="586"/>
    </row>
    <row r="121" spans="1:15" s="63" customFormat="1" ht="17.25">
      <c r="A121" s="1194">
        <v>114</v>
      </c>
      <c r="B121" s="70"/>
      <c r="C121" s="1197"/>
      <c r="D121" s="876" t="s">
        <v>234</v>
      </c>
      <c r="E121" s="77"/>
      <c r="F121" s="78">
        <v>4000</v>
      </c>
      <c r="G121" s="78">
        <v>4500</v>
      </c>
      <c r="H121" s="79">
        <v>4500</v>
      </c>
      <c r="I121" s="550"/>
      <c r="J121" s="84"/>
      <c r="K121" s="84"/>
      <c r="L121" s="84"/>
      <c r="M121" s="84"/>
      <c r="N121" s="85"/>
      <c r="O121" s="56"/>
    </row>
    <row r="122" spans="1:15" s="56" customFormat="1" ht="16.5">
      <c r="A122" s="1194">
        <v>115</v>
      </c>
      <c r="B122" s="854"/>
      <c r="C122" s="71"/>
      <c r="D122" s="871" t="s">
        <v>635</v>
      </c>
      <c r="E122" s="855"/>
      <c r="F122" s="856"/>
      <c r="G122" s="856"/>
      <c r="H122" s="857"/>
      <c r="I122" s="874">
        <f t="shared" si="1"/>
        <v>4500</v>
      </c>
      <c r="J122" s="84"/>
      <c r="K122" s="84"/>
      <c r="L122" s="84"/>
      <c r="M122" s="84"/>
      <c r="N122" s="85">
        <v>4500</v>
      </c>
      <c r="O122" s="63">
        <f>SUM(J122:N122)-I122</f>
        <v>0</v>
      </c>
    </row>
    <row r="123" spans="1:15" s="862" customFormat="1" ht="17.25">
      <c r="A123" s="1194">
        <v>116</v>
      </c>
      <c r="B123" s="858"/>
      <c r="C123" s="87"/>
      <c r="D123" s="872" t="s">
        <v>636</v>
      </c>
      <c r="E123" s="859"/>
      <c r="F123" s="860"/>
      <c r="G123" s="860"/>
      <c r="H123" s="861"/>
      <c r="I123" s="875">
        <f t="shared" si="1"/>
        <v>0</v>
      </c>
      <c r="J123" s="1018"/>
      <c r="K123" s="1018"/>
      <c r="L123" s="1018"/>
      <c r="M123" s="1018"/>
      <c r="N123" s="1019"/>
      <c r="O123" s="86"/>
    </row>
    <row r="124" spans="1:15" s="1110" customFormat="1" ht="17.25">
      <c r="A124" s="1194">
        <v>117</v>
      </c>
      <c r="B124" s="863"/>
      <c r="C124" s="864"/>
      <c r="D124" s="873" t="s">
        <v>637</v>
      </c>
      <c r="E124" s="866"/>
      <c r="F124" s="867"/>
      <c r="G124" s="867"/>
      <c r="H124" s="868"/>
      <c r="I124" s="550">
        <f t="shared" si="1"/>
        <v>4500</v>
      </c>
      <c r="J124" s="1020">
        <f>SUM(J122:J123)</f>
        <v>0</v>
      </c>
      <c r="K124" s="1020">
        <f>SUM(K122:K123)</f>
        <v>0</v>
      </c>
      <c r="L124" s="1020">
        <f>SUM(L122:L123)</f>
        <v>0</v>
      </c>
      <c r="M124" s="1020">
        <f>SUM(M122:M123)</f>
        <v>0</v>
      </c>
      <c r="N124" s="1021">
        <f>SUM(N122:N123)</f>
        <v>4500</v>
      </c>
      <c r="O124" s="586"/>
    </row>
    <row r="125" spans="1:15" s="63" customFormat="1" ht="17.25">
      <c r="A125" s="1194">
        <v>118</v>
      </c>
      <c r="B125" s="70"/>
      <c r="C125" s="1197"/>
      <c r="D125" s="876" t="s">
        <v>235</v>
      </c>
      <c r="E125" s="77"/>
      <c r="F125" s="78">
        <v>2000</v>
      </c>
      <c r="G125" s="78">
        <v>2800</v>
      </c>
      <c r="H125" s="79">
        <v>2800</v>
      </c>
      <c r="I125" s="550"/>
      <c r="J125" s="84"/>
      <c r="K125" s="84"/>
      <c r="L125" s="84"/>
      <c r="M125" s="84"/>
      <c r="N125" s="85"/>
      <c r="O125" s="56"/>
    </row>
    <row r="126" spans="1:15" s="56" customFormat="1" ht="16.5">
      <c r="A126" s="1194">
        <v>119</v>
      </c>
      <c r="B126" s="854"/>
      <c r="C126" s="71"/>
      <c r="D126" s="871" t="s">
        <v>635</v>
      </c>
      <c r="E126" s="855"/>
      <c r="F126" s="856"/>
      <c r="G126" s="856"/>
      <c r="H126" s="857"/>
      <c r="I126" s="874">
        <f t="shared" si="1"/>
        <v>3000</v>
      </c>
      <c r="J126" s="84"/>
      <c r="K126" s="84"/>
      <c r="L126" s="84"/>
      <c r="M126" s="84"/>
      <c r="N126" s="85">
        <v>3000</v>
      </c>
      <c r="O126" s="63">
        <f>SUM(J126:N126)-I126</f>
        <v>0</v>
      </c>
    </row>
    <row r="127" spans="1:15" s="862" customFormat="1" ht="17.25">
      <c r="A127" s="1194">
        <v>120</v>
      </c>
      <c r="B127" s="858"/>
      <c r="C127" s="87"/>
      <c r="D127" s="872" t="s">
        <v>636</v>
      </c>
      <c r="E127" s="859"/>
      <c r="F127" s="860"/>
      <c r="G127" s="860"/>
      <c r="H127" s="861"/>
      <c r="I127" s="875">
        <f t="shared" si="1"/>
        <v>0</v>
      </c>
      <c r="J127" s="1018"/>
      <c r="K127" s="1018"/>
      <c r="L127" s="1018"/>
      <c r="M127" s="1018"/>
      <c r="N127" s="1019"/>
      <c r="O127" s="86"/>
    </row>
    <row r="128" spans="1:15" s="1110" customFormat="1" ht="17.25">
      <c r="A128" s="1194">
        <v>121</v>
      </c>
      <c r="B128" s="863"/>
      <c r="C128" s="864"/>
      <c r="D128" s="873" t="s">
        <v>637</v>
      </c>
      <c r="E128" s="866"/>
      <c r="F128" s="867"/>
      <c r="G128" s="867"/>
      <c r="H128" s="868"/>
      <c r="I128" s="550">
        <f t="shared" si="1"/>
        <v>3000</v>
      </c>
      <c r="J128" s="1020">
        <f>SUM(J126:J127)</f>
        <v>0</v>
      </c>
      <c r="K128" s="1020">
        <f>SUM(K126:K127)</f>
        <v>0</v>
      </c>
      <c r="L128" s="1020">
        <f>SUM(L126:L127)</f>
        <v>0</v>
      </c>
      <c r="M128" s="1020">
        <f>SUM(M126:M127)</f>
        <v>0</v>
      </c>
      <c r="N128" s="1021">
        <f>SUM(N126:N127)</f>
        <v>3000</v>
      </c>
      <c r="O128" s="586"/>
    </row>
    <row r="129" spans="1:15" s="63" customFormat="1" ht="17.25">
      <c r="A129" s="1194">
        <v>122</v>
      </c>
      <c r="B129" s="70"/>
      <c r="C129" s="1197"/>
      <c r="D129" s="876" t="s">
        <v>236</v>
      </c>
      <c r="E129" s="77"/>
      <c r="F129" s="78"/>
      <c r="G129" s="78"/>
      <c r="H129" s="79"/>
      <c r="I129" s="550"/>
      <c r="J129" s="84"/>
      <c r="K129" s="84"/>
      <c r="L129" s="84"/>
      <c r="M129" s="84"/>
      <c r="N129" s="85"/>
      <c r="O129" s="56"/>
    </row>
    <row r="130" spans="1:15" s="56" customFormat="1" ht="16.5">
      <c r="A130" s="1194">
        <v>123</v>
      </c>
      <c r="B130" s="854"/>
      <c r="C130" s="71"/>
      <c r="D130" s="871" t="s">
        <v>635</v>
      </c>
      <c r="E130" s="855"/>
      <c r="F130" s="856"/>
      <c r="G130" s="856"/>
      <c r="H130" s="857"/>
      <c r="I130" s="874">
        <f t="shared" si="1"/>
        <v>1000</v>
      </c>
      <c r="J130" s="84"/>
      <c r="K130" s="84"/>
      <c r="L130" s="84"/>
      <c r="M130" s="84"/>
      <c r="N130" s="85">
        <v>1000</v>
      </c>
      <c r="O130" s="63">
        <f>SUM(J130:N130)-I130</f>
        <v>0</v>
      </c>
    </row>
    <row r="131" spans="1:15" s="862" customFormat="1" ht="17.25">
      <c r="A131" s="1194">
        <v>124</v>
      </c>
      <c r="B131" s="858"/>
      <c r="C131" s="87"/>
      <c r="D131" s="872" t="s">
        <v>636</v>
      </c>
      <c r="E131" s="859"/>
      <c r="F131" s="860"/>
      <c r="G131" s="860"/>
      <c r="H131" s="861"/>
      <c r="I131" s="875">
        <f t="shared" si="1"/>
        <v>0</v>
      </c>
      <c r="J131" s="1018"/>
      <c r="K131" s="1018"/>
      <c r="L131" s="1018"/>
      <c r="M131" s="1018"/>
      <c r="N131" s="1019"/>
      <c r="O131" s="86"/>
    </row>
    <row r="132" spans="1:15" s="1110" customFormat="1" ht="17.25">
      <c r="A132" s="1194">
        <v>125</v>
      </c>
      <c r="B132" s="863"/>
      <c r="C132" s="864"/>
      <c r="D132" s="873" t="s">
        <v>637</v>
      </c>
      <c r="E132" s="866"/>
      <c r="F132" s="867"/>
      <c r="G132" s="867"/>
      <c r="H132" s="868"/>
      <c r="I132" s="550">
        <f t="shared" si="1"/>
        <v>1000</v>
      </c>
      <c r="J132" s="1020">
        <f>SUM(J130:J131)</f>
        <v>0</v>
      </c>
      <c r="K132" s="1020">
        <f>SUM(K130:K131)</f>
        <v>0</v>
      </c>
      <c r="L132" s="1020">
        <f>SUM(L130:L131)</f>
        <v>0</v>
      </c>
      <c r="M132" s="1020">
        <f>SUM(M130:M131)</f>
        <v>0</v>
      </c>
      <c r="N132" s="1021">
        <f>SUM(N130:N131)</f>
        <v>1000</v>
      </c>
      <c r="O132" s="586"/>
    </row>
    <row r="133" spans="1:15" s="63" customFormat="1" ht="17.25">
      <c r="A133" s="1194">
        <v>126</v>
      </c>
      <c r="B133" s="70"/>
      <c r="C133" s="71">
        <v>20</v>
      </c>
      <c r="D133" s="72" t="s">
        <v>237</v>
      </c>
      <c r="E133" s="71" t="s">
        <v>33</v>
      </c>
      <c r="F133" s="48">
        <v>1500</v>
      </c>
      <c r="G133" s="48">
        <v>1500</v>
      </c>
      <c r="H133" s="73">
        <v>1500</v>
      </c>
      <c r="I133" s="550"/>
      <c r="J133" s="1020"/>
      <c r="K133" s="1020"/>
      <c r="L133" s="1020"/>
      <c r="M133" s="1020"/>
      <c r="N133" s="1021"/>
      <c r="O133" s="586"/>
    </row>
    <row r="134" spans="1:15" s="56" customFormat="1" ht="16.5">
      <c r="A134" s="1194">
        <v>127</v>
      </c>
      <c r="B134" s="854"/>
      <c r="C134" s="71"/>
      <c r="D134" s="72" t="s">
        <v>635</v>
      </c>
      <c r="E134" s="855"/>
      <c r="F134" s="856"/>
      <c r="G134" s="856"/>
      <c r="H134" s="857"/>
      <c r="I134" s="874">
        <f t="shared" si="1"/>
        <v>5000</v>
      </c>
      <c r="J134" s="84"/>
      <c r="K134" s="84"/>
      <c r="L134" s="84"/>
      <c r="M134" s="84"/>
      <c r="N134" s="85">
        <v>5000</v>
      </c>
      <c r="O134" s="63">
        <f>SUM(J134:N134)-I134</f>
        <v>0</v>
      </c>
    </row>
    <row r="135" spans="1:15" s="862" customFormat="1" ht="17.25">
      <c r="A135" s="1194">
        <v>128</v>
      </c>
      <c r="B135" s="858"/>
      <c r="C135" s="87"/>
      <c r="D135" s="80" t="s">
        <v>746</v>
      </c>
      <c r="E135" s="859"/>
      <c r="F135" s="860"/>
      <c r="G135" s="860"/>
      <c r="H135" s="861"/>
      <c r="I135" s="875">
        <f>SUM(J135:N135)</f>
        <v>-5000</v>
      </c>
      <c r="J135" s="1018"/>
      <c r="K135" s="1018"/>
      <c r="L135" s="1018"/>
      <c r="M135" s="1018"/>
      <c r="N135" s="1019">
        <v>-5000</v>
      </c>
      <c r="O135" s="86"/>
    </row>
    <row r="136" spans="1:15" s="1110" customFormat="1" ht="17.25">
      <c r="A136" s="1194">
        <v>129</v>
      </c>
      <c r="B136" s="863"/>
      <c r="C136" s="864"/>
      <c r="D136" s="865" t="s">
        <v>637</v>
      </c>
      <c r="E136" s="866"/>
      <c r="F136" s="867"/>
      <c r="G136" s="867"/>
      <c r="H136" s="868"/>
      <c r="I136" s="550">
        <f t="shared" si="1"/>
        <v>0</v>
      </c>
      <c r="J136" s="1020">
        <f>SUM(J134:J135)</f>
        <v>0</v>
      </c>
      <c r="K136" s="1020">
        <f>SUM(K134:K135)</f>
        <v>0</v>
      </c>
      <c r="L136" s="1020">
        <f>SUM(L134:L135)</f>
        <v>0</v>
      </c>
      <c r="M136" s="1020">
        <f>SUM(M134:M135)</f>
        <v>0</v>
      </c>
      <c r="N136" s="1021">
        <f>SUM(N134:N135)</f>
        <v>0</v>
      </c>
      <c r="O136" s="586"/>
    </row>
    <row r="137" spans="1:15" s="63" customFormat="1" ht="17.25">
      <c r="A137" s="1194">
        <v>130</v>
      </c>
      <c r="B137" s="70"/>
      <c r="C137" s="71">
        <v>21</v>
      </c>
      <c r="D137" s="72" t="s">
        <v>748</v>
      </c>
      <c r="E137" s="71" t="s">
        <v>33</v>
      </c>
      <c r="F137" s="48"/>
      <c r="G137" s="48"/>
      <c r="H137" s="73"/>
      <c r="I137" s="550"/>
      <c r="J137" s="1020"/>
      <c r="K137" s="1020"/>
      <c r="L137" s="1020"/>
      <c r="M137" s="1020"/>
      <c r="N137" s="1021"/>
      <c r="O137" s="586"/>
    </row>
    <row r="138" spans="1:15" s="862" customFormat="1" ht="17.25">
      <c r="A138" s="1194">
        <v>131</v>
      </c>
      <c r="B138" s="858"/>
      <c r="C138" s="87"/>
      <c r="D138" s="80" t="s">
        <v>746</v>
      </c>
      <c r="E138" s="859"/>
      <c r="F138" s="860"/>
      <c r="G138" s="860"/>
      <c r="H138" s="861"/>
      <c r="I138" s="875">
        <f t="shared" si="1"/>
        <v>5000</v>
      </c>
      <c r="J138" s="1018"/>
      <c r="K138" s="1018"/>
      <c r="L138" s="1018"/>
      <c r="M138" s="1018"/>
      <c r="N138" s="1019">
        <v>5000</v>
      </c>
      <c r="O138" s="86"/>
    </row>
    <row r="139" spans="1:15" s="1110" customFormat="1" ht="17.25">
      <c r="A139" s="1194">
        <v>132</v>
      </c>
      <c r="B139" s="863"/>
      <c r="C139" s="864"/>
      <c r="D139" s="865" t="s">
        <v>637</v>
      </c>
      <c r="E139" s="866"/>
      <c r="F139" s="867"/>
      <c r="G139" s="867"/>
      <c r="H139" s="868"/>
      <c r="I139" s="550">
        <f t="shared" si="1"/>
        <v>5000</v>
      </c>
      <c r="J139" s="1020">
        <f>SUM(J138)</f>
        <v>0</v>
      </c>
      <c r="K139" s="1020">
        <f>SUM(K138)</f>
        <v>0</v>
      </c>
      <c r="L139" s="1020">
        <f>SUM(L138)</f>
        <v>0</v>
      </c>
      <c r="M139" s="1020">
        <f>SUM(M138)</f>
        <v>0</v>
      </c>
      <c r="N139" s="1021">
        <f>SUM(N138)</f>
        <v>5000</v>
      </c>
      <c r="O139" s="586"/>
    </row>
    <row r="140" spans="1:15" s="63" customFormat="1" ht="17.25">
      <c r="A140" s="1194">
        <v>133</v>
      </c>
      <c r="B140" s="70"/>
      <c r="C140" s="71">
        <v>22</v>
      </c>
      <c r="D140" s="72" t="s">
        <v>238</v>
      </c>
      <c r="E140" s="71" t="s">
        <v>33</v>
      </c>
      <c r="F140" s="48">
        <v>1500</v>
      </c>
      <c r="G140" s="48">
        <v>1500</v>
      </c>
      <c r="H140" s="73">
        <v>1500</v>
      </c>
      <c r="I140" s="550"/>
      <c r="J140" s="1020"/>
      <c r="K140" s="1020"/>
      <c r="L140" s="1020"/>
      <c r="M140" s="1020"/>
      <c r="N140" s="1021"/>
      <c r="O140" s="586"/>
    </row>
    <row r="141" spans="1:15" s="56" customFormat="1" ht="16.5">
      <c r="A141" s="1194">
        <v>134</v>
      </c>
      <c r="B141" s="854"/>
      <c r="C141" s="71"/>
      <c r="D141" s="72" t="s">
        <v>635</v>
      </c>
      <c r="E141" s="855"/>
      <c r="F141" s="856"/>
      <c r="G141" s="856"/>
      <c r="H141" s="857"/>
      <c r="I141" s="874">
        <f t="shared" si="1"/>
        <v>1500</v>
      </c>
      <c r="J141" s="84"/>
      <c r="K141" s="84"/>
      <c r="L141" s="84"/>
      <c r="M141" s="84"/>
      <c r="N141" s="85">
        <v>1500</v>
      </c>
      <c r="O141" s="63">
        <f>SUM(J141:N141)-I141</f>
        <v>0</v>
      </c>
    </row>
    <row r="142" spans="1:15" s="862" customFormat="1" ht="17.25">
      <c r="A142" s="1194">
        <v>135</v>
      </c>
      <c r="B142" s="858"/>
      <c r="C142" s="87"/>
      <c r="D142" s="80" t="s">
        <v>636</v>
      </c>
      <c r="E142" s="859"/>
      <c r="F142" s="860"/>
      <c r="G142" s="860"/>
      <c r="H142" s="861"/>
      <c r="I142" s="875">
        <f t="shared" si="1"/>
        <v>0</v>
      </c>
      <c r="J142" s="1018"/>
      <c r="K142" s="1018"/>
      <c r="L142" s="1018"/>
      <c r="M142" s="1018"/>
      <c r="N142" s="1019"/>
      <c r="O142" s="86"/>
    </row>
    <row r="143" spans="1:15" s="1110" customFormat="1" ht="17.25">
      <c r="A143" s="1194">
        <v>136</v>
      </c>
      <c r="B143" s="863"/>
      <c r="C143" s="864"/>
      <c r="D143" s="865" t="s">
        <v>637</v>
      </c>
      <c r="E143" s="866"/>
      <c r="F143" s="867"/>
      <c r="G143" s="867"/>
      <c r="H143" s="868"/>
      <c r="I143" s="550">
        <f t="shared" si="1"/>
        <v>1500</v>
      </c>
      <c r="J143" s="1020">
        <f>SUM(J141:J142)</f>
        <v>0</v>
      </c>
      <c r="K143" s="1020">
        <f>SUM(K141:K142)</f>
        <v>0</v>
      </c>
      <c r="L143" s="1020">
        <f>SUM(L141:L142)</f>
        <v>0</v>
      </c>
      <c r="M143" s="1020">
        <f>SUM(M141:M142)</f>
        <v>0</v>
      </c>
      <c r="N143" s="1021">
        <f>SUM(N141:N142)</f>
        <v>1500</v>
      </c>
      <c r="O143" s="586"/>
    </row>
    <row r="144" spans="1:15" s="63" customFormat="1" ht="17.25">
      <c r="A144" s="1194">
        <v>137</v>
      </c>
      <c r="B144" s="70"/>
      <c r="C144" s="71">
        <v>23</v>
      </c>
      <c r="D144" s="72" t="s">
        <v>239</v>
      </c>
      <c r="E144" s="71" t="s">
        <v>33</v>
      </c>
      <c r="F144" s="48"/>
      <c r="G144" s="48">
        <v>2000</v>
      </c>
      <c r="H144" s="73">
        <v>2000</v>
      </c>
      <c r="I144" s="550"/>
      <c r="J144" s="1020"/>
      <c r="K144" s="1020"/>
      <c r="L144" s="1020"/>
      <c r="M144" s="1020"/>
      <c r="N144" s="1021"/>
      <c r="O144" s="586"/>
    </row>
    <row r="145" spans="1:15" s="56" customFormat="1" ht="16.5">
      <c r="A145" s="1194">
        <v>138</v>
      </c>
      <c r="B145" s="854"/>
      <c r="C145" s="71"/>
      <c r="D145" s="72" t="s">
        <v>635</v>
      </c>
      <c r="E145" s="855"/>
      <c r="F145" s="856"/>
      <c r="G145" s="856"/>
      <c r="H145" s="857"/>
      <c r="I145" s="874">
        <f t="shared" si="1"/>
        <v>2000</v>
      </c>
      <c r="J145" s="84"/>
      <c r="K145" s="84"/>
      <c r="L145" s="84"/>
      <c r="M145" s="84"/>
      <c r="N145" s="85">
        <v>2000</v>
      </c>
      <c r="O145" s="63">
        <f>SUM(J145:N145)-I145</f>
        <v>0</v>
      </c>
    </row>
    <row r="146" spans="1:15" s="862" customFormat="1" ht="17.25">
      <c r="A146" s="1194">
        <v>139</v>
      </c>
      <c r="B146" s="858"/>
      <c r="C146" s="87"/>
      <c r="D146" s="80" t="s">
        <v>636</v>
      </c>
      <c r="E146" s="859"/>
      <c r="F146" s="860"/>
      <c r="G146" s="860"/>
      <c r="H146" s="861"/>
      <c r="I146" s="875">
        <f t="shared" si="1"/>
        <v>0</v>
      </c>
      <c r="J146" s="1018"/>
      <c r="K146" s="1018"/>
      <c r="L146" s="1018"/>
      <c r="M146" s="1018"/>
      <c r="N146" s="1019"/>
      <c r="O146" s="86"/>
    </row>
    <row r="147" spans="1:15" s="1110" customFormat="1" ht="17.25">
      <c r="A147" s="1194">
        <v>140</v>
      </c>
      <c r="B147" s="863"/>
      <c r="C147" s="864"/>
      <c r="D147" s="865" t="s">
        <v>637</v>
      </c>
      <c r="E147" s="866"/>
      <c r="F147" s="867"/>
      <c r="G147" s="867"/>
      <c r="H147" s="868"/>
      <c r="I147" s="550">
        <f t="shared" si="1"/>
        <v>2000</v>
      </c>
      <c r="J147" s="1020">
        <f>SUM(J145:J146)</f>
        <v>0</v>
      </c>
      <c r="K147" s="1020">
        <f>SUM(K145:K146)</f>
        <v>0</v>
      </c>
      <c r="L147" s="1020">
        <f>SUM(L145:L146)</f>
        <v>0</v>
      </c>
      <c r="M147" s="1020">
        <f>SUM(M145:M146)</f>
        <v>0</v>
      </c>
      <c r="N147" s="1021">
        <f>SUM(N145:N146)</f>
        <v>2000</v>
      </c>
      <c r="O147" s="586"/>
    </row>
    <row r="148" spans="1:15" s="63" customFormat="1" ht="17.25">
      <c r="A148" s="1194">
        <v>141</v>
      </c>
      <c r="B148" s="70"/>
      <c r="C148" s="71">
        <v>24</v>
      </c>
      <c r="D148" s="72" t="s">
        <v>240</v>
      </c>
      <c r="E148" s="71" t="s">
        <v>33</v>
      </c>
      <c r="F148" s="48"/>
      <c r="G148" s="48"/>
      <c r="H148" s="73"/>
      <c r="I148" s="550"/>
      <c r="J148" s="1020"/>
      <c r="K148" s="1020"/>
      <c r="L148" s="1020"/>
      <c r="M148" s="1020"/>
      <c r="N148" s="1021"/>
      <c r="O148" s="586"/>
    </row>
    <row r="149" spans="1:15" s="56" customFormat="1" ht="16.5">
      <c r="A149" s="1194">
        <v>142</v>
      </c>
      <c r="B149" s="854"/>
      <c r="C149" s="71"/>
      <c r="D149" s="72" t="s">
        <v>635</v>
      </c>
      <c r="E149" s="855"/>
      <c r="F149" s="856"/>
      <c r="G149" s="856"/>
      <c r="H149" s="857"/>
      <c r="I149" s="874">
        <f t="shared" si="1"/>
        <v>2000</v>
      </c>
      <c r="J149" s="84"/>
      <c r="K149" s="84"/>
      <c r="L149" s="84"/>
      <c r="M149" s="84"/>
      <c r="N149" s="85">
        <v>2000</v>
      </c>
      <c r="O149" s="63">
        <f>SUM(J149:N149)-I149</f>
        <v>0</v>
      </c>
    </row>
    <row r="150" spans="1:15" s="862" customFormat="1" ht="17.25">
      <c r="A150" s="1194">
        <v>143</v>
      </c>
      <c r="B150" s="858"/>
      <c r="C150" s="87"/>
      <c r="D150" s="80" t="s">
        <v>746</v>
      </c>
      <c r="E150" s="859"/>
      <c r="F150" s="860"/>
      <c r="G150" s="860"/>
      <c r="H150" s="861"/>
      <c r="I150" s="875">
        <f aca="true" t="shared" si="2" ref="I150:I217">SUM(J150:N150)</f>
        <v>-2000</v>
      </c>
      <c r="J150" s="1018"/>
      <c r="K150" s="1018"/>
      <c r="L150" s="1018"/>
      <c r="M150" s="1018"/>
      <c r="N150" s="1019">
        <v>-2000</v>
      </c>
      <c r="O150" s="86"/>
    </row>
    <row r="151" spans="1:15" s="1110" customFormat="1" ht="17.25">
      <c r="A151" s="1194">
        <v>144</v>
      </c>
      <c r="B151" s="863"/>
      <c r="C151" s="864"/>
      <c r="D151" s="865" t="s">
        <v>637</v>
      </c>
      <c r="E151" s="866"/>
      <c r="F151" s="867"/>
      <c r="G151" s="867"/>
      <c r="H151" s="868"/>
      <c r="I151" s="550">
        <f t="shared" si="2"/>
        <v>0</v>
      </c>
      <c r="J151" s="1020">
        <f>SUM(J149:J150)</f>
        <v>0</v>
      </c>
      <c r="K151" s="1020">
        <f>SUM(K149:K150)</f>
        <v>0</v>
      </c>
      <c r="L151" s="1020">
        <f>SUM(L149:L150)</f>
        <v>0</v>
      </c>
      <c r="M151" s="1020">
        <f>SUM(M149:M150)</f>
        <v>0</v>
      </c>
      <c r="N151" s="1021">
        <f>SUM(N149:N150)</f>
        <v>0</v>
      </c>
      <c r="O151" s="586"/>
    </row>
    <row r="152" spans="1:15" s="63" customFormat="1" ht="33">
      <c r="A152" s="1194">
        <v>145</v>
      </c>
      <c r="B152" s="70"/>
      <c r="C152" s="71">
        <v>25</v>
      </c>
      <c r="D152" s="72" t="s">
        <v>747</v>
      </c>
      <c r="E152" s="71" t="s">
        <v>33</v>
      </c>
      <c r="F152" s="48"/>
      <c r="G152" s="48"/>
      <c r="H152" s="73"/>
      <c r="I152" s="550"/>
      <c r="J152" s="1020"/>
      <c r="K152" s="1020"/>
      <c r="L152" s="1020"/>
      <c r="M152" s="1020"/>
      <c r="N152" s="1021"/>
      <c r="O152" s="586"/>
    </row>
    <row r="153" spans="1:15" s="862" customFormat="1" ht="17.25">
      <c r="A153" s="1194">
        <v>146</v>
      </c>
      <c r="B153" s="858"/>
      <c r="C153" s="87"/>
      <c r="D153" s="80" t="s">
        <v>738</v>
      </c>
      <c r="E153" s="859"/>
      <c r="F153" s="860"/>
      <c r="G153" s="860"/>
      <c r="H153" s="861"/>
      <c r="I153" s="875">
        <f>SUM(J153:N153)</f>
        <v>2000</v>
      </c>
      <c r="J153" s="1018"/>
      <c r="K153" s="1018"/>
      <c r="L153" s="1018"/>
      <c r="M153" s="1018"/>
      <c r="N153" s="1019">
        <v>2000</v>
      </c>
      <c r="O153" s="86"/>
    </row>
    <row r="154" spans="1:15" s="1110" customFormat="1" ht="17.25">
      <c r="A154" s="1194">
        <v>147</v>
      </c>
      <c r="B154" s="863"/>
      <c r="C154" s="864"/>
      <c r="D154" s="865" t="s">
        <v>637</v>
      </c>
      <c r="E154" s="866"/>
      <c r="F154" s="867"/>
      <c r="G154" s="867"/>
      <c r="H154" s="868"/>
      <c r="I154" s="550">
        <f>SUM(I153)</f>
        <v>2000</v>
      </c>
      <c r="J154" s="1020">
        <f>SUM(J153)</f>
        <v>0</v>
      </c>
      <c r="K154" s="1020">
        <f>SUM(K153)</f>
        <v>0</v>
      </c>
      <c r="L154" s="1020">
        <f>SUM(L153)</f>
        <v>0</v>
      </c>
      <c r="M154" s="1020">
        <f>SUM(M153)</f>
        <v>0</v>
      </c>
      <c r="N154" s="1021">
        <f>SUM(N153)</f>
        <v>2000</v>
      </c>
      <c r="O154" s="586"/>
    </row>
    <row r="155" spans="1:15" s="56" customFormat="1" ht="19.5" customHeight="1">
      <c r="A155" s="1194">
        <v>148</v>
      </c>
      <c r="B155" s="81"/>
      <c r="C155" s="77">
        <v>26</v>
      </c>
      <c r="D155" s="82" t="s">
        <v>241</v>
      </c>
      <c r="E155" s="77" t="s">
        <v>33</v>
      </c>
      <c r="F155" s="46"/>
      <c r="G155" s="46"/>
      <c r="H155" s="83"/>
      <c r="I155" s="550"/>
      <c r="J155" s="1020"/>
      <c r="K155" s="1020"/>
      <c r="L155" s="1020"/>
      <c r="M155" s="1020"/>
      <c r="N155" s="1021"/>
      <c r="O155" s="1110"/>
    </row>
    <row r="156" spans="1:15" s="56" customFormat="1" ht="16.5">
      <c r="A156" s="1194">
        <v>149</v>
      </c>
      <c r="B156" s="854"/>
      <c r="C156" s="71"/>
      <c r="D156" s="72" t="s">
        <v>635</v>
      </c>
      <c r="E156" s="855"/>
      <c r="F156" s="856"/>
      <c r="G156" s="856"/>
      <c r="H156" s="857"/>
      <c r="I156" s="874">
        <f t="shared" si="2"/>
        <v>2000</v>
      </c>
      <c r="J156" s="84"/>
      <c r="K156" s="84"/>
      <c r="L156" s="84">
        <v>2000</v>
      </c>
      <c r="M156" s="84"/>
      <c r="N156" s="85"/>
      <c r="O156" s="63">
        <f>SUM(J156:N156)-I156</f>
        <v>0</v>
      </c>
    </row>
    <row r="157" spans="1:15" s="862" customFormat="1" ht="17.25">
      <c r="A157" s="1194">
        <v>150</v>
      </c>
      <c r="B157" s="858"/>
      <c r="C157" s="87"/>
      <c r="D157" s="80" t="s">
        <v>636</v>
      </c>
      <c r="E157" s="859"/>
      <c r="F157" s="860"/>
      <c r="G157" s="860"/>
      <c r="H157" s="861"/>
      <c r="I157" s="875">
        <f t="shared" si="2"/>
        <v>0</v>
      </c>
      <c r="J157" s="1018"/>
      <c r="K157" s="1018"/>
      <c r="L157" s="1018"/>
      <c r="M157" s="1018"/>
      <c r="N157" s="1019"/>
      <c r="O157" s="86"/>
    </row>
    <row r="158" spans="1:15" s="1110" customFormat="1" ht="17.25">
      <c r="A158" s="1194">
        <v>151</v>
      </c>
      <c r="B158" s="863"/>
      <c r="C158" s="864"/>
      <c r="D158" s="865" t="s">
        <v>637</v>
      </c>
      <c r="E158" s="866"/>
      <c r="F158" s="867"/>
      <c r="G158" s="867"/>
      <c r="H158" s="868"/>
      <c r="I158" s="550">
        <f t="shared" si="2"/>
        <v>2000</v>
      </c>
      <c r="J158" s="1020">
        <f>SUM(J156:J157)</f>
        <v>0</v>
      </c>
      <c r="K158" s="1020">
        <f>SUM(K156:K157)</f>
        <v>0</v>
      </c>
      <c r="L158" s="1020">
        <f>SUM(L156:L157)</f>
        <v>2000</v>
      </c>
      <c r="M158" s="1020">
        <f>SUM(M156:M157)</f>
        <v>0</v>
      </c>
      <c r="N158" s="1021">
        <f>SUM(N156:N157)</f>
        <v>0</v>
      </c>
      <c r="O158" s="586"/>
    </row>
    <row r="159" spans="1:15" s="56" customFormat="1" ht="19.5" customHeight="1">
      <c r="A159" s="1194">
        <v>152</v>
      </c>
      <c r="B159" s="81"/>
      <c r="C159" s="77">
        <v>27</v>
      </c>
      <c r="D159" s="82" t="s">
        <v>242</v>
      </c>
      <c r="E159" s="77" t="s">
        <v>33</v>
      </c>
      <c r="F159" s="46">
        <v>209038</v>
      </c>
      <c r="G159" s="46">
        <v>213000</v>
      </c>
      <c r="H159" s="83">
        <v>206719</v>
      </c>
      <c r="I159" s="550"/>
      <c r="J159" s="1020"/>
      <c r="K159" s="1020"/>
      <c r="L159" s="1020"/>
      <c r="M159" s="1020"/>
      <c r="N159" s="1021"/>
      <c r="O159" s="1110"/>
    </row>
    <row r="160" spans="1:15" s="56" customFormat="1" ht="16.5">
      <c r="A160" s="1194">
        <v>153</v>
      </c>
      <c r="B160" s="854"/>
      <c r="C160" s="71"/>
      <c r="D160" s="72" t="s">
        <v>635</v>
      </c>
      <c r="E160" s="855"/>
      <c r="F160" s="856"/>
      <c r="G160" s="856"/>
      <c r="H160" s="857"/>
      <c r="I160" s="874">
        <f t="shared" si="2"/>
        <v>213500</v>
      </c>
      <c r="J160" s="84">
        <v>345</v>
      </c>
      <c r="K160" s="84">
        <v>93</v>
      </c>
      <c r="L160" s="84">
        <v>59590</v>
      </c>
      <c r="M160" s="84"/>
      <c r="N160" s="85">
        <v>153472</v>
      </c>
      <c r="O160" s="63">
        <f>SUM(J160:N160)-I160</f>
        <v>0</v>
      </c>
    </row>
    <row r="161" spans="1:15" s="862" customFormat="1" ht="17.25">
      <c r="A161" s="1194">
        <v>154</v>
      </c>
      <c r="B161" s="858"/>
      <c r="C161" s="87"/>
      <c r="D161" s="80" t="s">
        <v>707</v>
      </c>
      <c r="E161" s="859"/>
      <c r="F161" s="860"/>
      <c r="G161" s="860"/>
      <c r="H161" s="861"/>
      <c r="I161" s="875">
        <f t="shared" si="2"/>
        <v>2077</v>
      </c>
      <c r="J161" s="1018"/>
      <c r="K161" s="1018"/>
      <c r="L161" s="1018"/>
      <c r="M161" s="1018"/>
      <c r="N161" s="1019">
        <v>2077</v>
      </c>
      <c r="O161" s="86"/>
    </row>
    <row r="162" spans="1:15" s="1110" customFormat="1" ht="17.25">
      <c r="A162" s="1194">
        <v>155</v>
      </c>
      <c r="B162" s="863"/>
      <c r="C162" s="864"/>
      <c r="D162" s="865" t="s">
        <v>637</v>
      </c>
      <c r="E162" s="866"/>
      <c r="F162" s="867"/>
      <c r="G162" s="867"/>
      <c r="H162" s="868"/>
      <c r="I162" s="550">
        <f t="shared" si="2"/>
        <v>215577</v>
      </c>
      <c r="J162" s="1020">
        <f>SUM(J160:J161)</f>
        <v>345</v>
      </c>
      <c r="K162" s="1020">
        <f>SUM(K160:K161)</f>
        <v>93</v>
      </c>
      <c r="L162" s="1020">
        <f>SUM(L160:L161)</f>
        <v>59590</v>
      </c>
      <c r="M162" s="1020">
        <f>SUM(M160:M161)</f>
        <v>0</v>
      </c>
      <c r="N162" s="1021">
        <f>SUM(N160:N161)</f>
        <v>155549</v>
      </c>
      <c r="O162" s="586"/>
    </row>
    <row r="163" spans="1:15" s="56" customFormat="1" ht="19.5" customHeight="1">
      <c r="A163" s="1194">
        <v>156</v>
      </c>
      <c r="B163" s="81"/>
      <c r="C163" s="77">
        <v>28</v>
      </c>
      <c r="D163" s="82" t="s">
        <v>243</v>
      </c>
      <c r="E163" s="77" t="s">
        <v>31</v>
      </c>
      <c r="F163" s="46">
        <v>13000</v>
      </c>
      <c r="G163" s="46">
        <v>13600</v>
      </c>
      <c r="H163" s="83">
        <v>13500</v>
      </c>
      <c r="I163" s="550"/>
      <c r="J163" s="1020"/>
      <c r="K163" s="1020"/>
      <c r="L163" s="1020"/>
      <c r="M163" s="1020"/>
      <c r="N163" s="1021"/>
      <c r="O163" s="1110"/>
    </row>
    <row r="164" spans="1:15" s="56" customFormat="1" ht="16.5">
      <c r="A164" s="1194">
        <v>157</v>
      </c>
      <c r="B164" s="854"/>
      <c r="C164" s="71"/>
      <c r="D164" s="72" t="s">
        <v>635</v>
      </c>
      <c r="E164" s="855"/>
      <c r="F164" s="856"/>
      <c r="G164" s="856"/>
      <c r="H164" s="857"/>
      <c r="I164" s="874">
        <f t="shared" si="2"/>
        <v>13600</v>
      </c>
      <c r="J164" s="84"/>
      <c r="K164" s="84"/>
      <c r="L164" s="84">
        <v>13000</v>
      </c>
      <c r="M164" s="84"/>
      <c r="N164" s="85">
        <v>600</v>
      </c>
      <c r="O164" s="63">
        <f>SUM(J164:N164)-I164</f>
        <v>0</v>
      </c>
    </row>
    <row r="165" spans="1:15" s="862" customFormat="1" ht="17.25">
      <c r="A165" s="1194">
        <v>158</v>
      </c>
      <c r="B165" s="858"/>
      <c r="C165" s="87"/>
      <c r="D165" s="80" t="s">
        <v>707</v>
      </c>
      <c r="E165" s="859"/>
      <c r="F165" s="860"/>
      <c r="G165" s="860"/>
      <c r="H165" s="861"/>
      <c r="I165" s="875">
        <f t="shared" si="2"/>
        <v>100</v>
      </c>
      <c r="J165" s="1018"/>
      <c r="K165" s="1018"/>
      <c r="L165" s="1018">
        <v>100</v>
      </c>
      <c r="M165" s="1018"/>
      <c r="N165" s="1019"/>
      <c r="O165" s="86"/>
    </row>
    <row r="166" spans="1:15" s="1110" customFormat="1" ht="17.25">
      <c r="A166" s="1194">
        <v>159</v>
      </c>
      <c r="B166" s="863"/>
      <c r="C166" s="864"/>
      <c r="D166" s="865" t="s">
        <v>637</v>
      </c>
      <c r="E166" s="866"/>
      <c r="F166" s="867"/>
      <c r="G166" s="867"/>
      <c r="H166" s="868"/>
      <c r="I166" s="550">
        <f t="shared" si="2"/>
        <v>13700</v>
      </c>
      <c r="J166" s="1020">
        <f>SUM(J164:J165)</f>
        <v>0</v>
      </c>
      <c r="K166" s="1020">
        <f>SUM(K164:K165)</f>
        <v>0</v>
      </c>
      <c r="L166" s="1020">
        <f>SUM(L164:L165)</f>
        <v>13100</v>
      </c>
      <c r="M166" s="1020">
        <f>SUM(M164:M165)</f>
        <v>0</v>
      </c>
      <c r="N166" s="1021">
        <f>SUM(N164:N165)</f>
        <v>600</v>
      </c>
      <c r="O166" s="586"/>
    </row>
    <row r="167" spans="1:15" s="56" customFormat="1" ht="19.5" customHeight="1">
      <c r="A167" s="1194">
        <v>160</v>
      </c>
      <c r="B167" s="81"/>
      <c r="C167" s="77">
        <v>29</v>
      </c>
      <c r="D167" s="82" t="s">
        <v>244</v>
      </c>
      <c r="E167" s="77" t="s">
        <v>31</v>
      </c>
      <c r="F167" s="46">
        <v>2076</v>
      </c>
      <c r="G167" s="46">
        <v>4000</v>
      </c>
      <c r="H167" s="83">
        <v>5898</v>
      </c>
      <c r="I167" s="550"/>
      <c r="J167" s="1020"/>
      <c r="K167" s="1020"/>
      <c r="L167" s="1020"/>
      <c r="M167" s="1020"/>
      <c r="N167" s="1021"/>
      <c r="O167" s="1110"/>
    </row>
    <row r="168" spans="1:15" s="56" customFormat="1" ht="16.5">
      <c r="A168" s="1194">
        <v>161</v>
      </c>
      <c r="B168" s="854"/>
      <c r="C168" s="71"/>
      <c r="D168" s="72" t="s">
        <v>635</v>
      </c>
      <c r="E168" s="855"/>
      <c r="F168" s="856"/>
      <c r="G168" s="856"/>
      <c r="H168" s="857"/>
      <c r="I168" s="874">
        <f t="shared" si="2"/>
        <v>4000</v>
      </c>
      <c r="J168" s="84">
        <v>100</v>
      </c>
      <c r="K168" s="84">
        <v>77</v>
      </c>
      <c r="L168" s="84">
        <v>3823</v>
      </c>
      <c r="M168" s="84"/>
      <c r="N168" s="85"/>
      <c r="O168" s="63">
        <f>SUM(J168:N168)-I168</f>
        <v>0</v>
      </c>
    </row>
    <row r="169" spans="1:15" s="862" customFormat="1" ht="17.25">
      <c r="A169" s="1194">
        <v>162</v>
      </c>
      <c r="B169" s="858"/>
      <c r="C169" s="87"/>
      <c r="D169" s="80" t="s">
        <v>707</v>
      </c>
      <c r="E169" s="859"/>
      <c r="F169" s="860"/>
      <c r="G169" s="860"/>
      <c r="H169" s="861"/>
      <c r="I169" s="875">
        <f t="shared" si="2"/>
        <v>1102</v>
      </c>
      <c r="J169" s="1018"/>
      <c r="K169" s="1018"/>
      <c r="L169" s="1018">
        <v>1102</v>
      </c>
      <c r="M169" s="1018"/>
      <c r="N169" s="1019"/>
      <c r="O169" s="86"/>
    </row>
    <row r="170" spans="1:15" s="1110" customFormat="1" ht="17.25">
      <c r="A170" s="1194">
        <v>163</v>
      </c>
      <c r="B170" s="863"/>
      <c r="C170" s="864"/>
      <c r="D170" s="865" t="s">
        <v>637</v>
      </c>
      <c r="E170" s="866"/>
      <c r="F170" s="867"/>
      <c r="G170" s="867"/>
      <c r="H170" s="868"/>
      <c r="I170" s="550">
        <f t="shared" si="2"/>
        <v>5102</v>
      </c>
      <c r="J170" s="1020">
        <f>SUM(J168:J169)</f>
        <v>100</v>
      </c>
      <c r="K170" s="1020">
        <f>SUM(K168:K169)</f>
        <v>77</v>
      </c>
      <c r="L170" s="1020">
        <f>SUM(L168:L169)</f>
        <v>4925</v>
      </c>
      <c r="M170" s="1020">
        <f>SUM(M168:M169)</f>
        <v>0</v>
      </c>
      <c r="N170" s="1021">
        <f>SUM(N168:N169)</f>
        <v>0</v>
      </c>
      <c r="O170" s="586"/>
    </row>
    <row r="171" spans="1:15" s="56" customFormat="1" ht="19.5" customHeight="1">
      <c r="A171" s="1194">
        <v>164</v>
      </c>
      <c r="B171" s="81"/>
      <c r="C171" s="77">
        <v>30</v>
      </c>
      <c r="D171" s="82" t="s">
        <v>245</v>
      </c>
      <c r="E171" s="77" t="s">
        <v>31</v>
      </c>
      <c r="F171" s="46">
        <v>940</v>
      </c>
      <c r="G171" s="46">
        <v>2000</v>
      </c>
      <c r="H171" s="83">
        <v>1587</v>
      </c>
      <c r="I171" s="550"/>
      <c r="J171" s="1020"/>
      <c r="K171" s="1020"/>
      <c r="L171" s="1020"/>
      <c r="M171" s="1020"/>
      <c r="N171" s="1021"/>
      <c r="O171" s="1110"/>
    </row>
    <row r="172" spans="1:15" s="56" customFormat="1" ht="16.5">
      <c r="A172" s="1194">
        <v>165</v>
      </c>
      <c r="B172" s="854"/>
      <c r="C172" s="71"/>
      <c r="D172" s="72" t="s">
        <v>635</v>
      </c>
      <c r="E172" s="855"/>
      <c r="F172" s="856"/>
      <c r="G172" s="856"/>
      <c r="H172" s="857"/>
      <c r="I172" s="874">
        <f t="shared" si="2"/>
        <v>2000</v>
      </c>
      <c r="J172" s="84"/>
      <c r="K172" s="84"/>
      <c r="L172" s="84">
        <v>2000</v>
      </c>
      <c r="M172" s="84"/>
      <c r="N172" s="85"/>
      <c r="O172" s="63">
        <f>SUM(J172:N172)-I172</f>
        <v>0</v>
      </c>
    </row>
    <row r="173" spans="1:15" s="862" customFormat="1" ht="17.25">
      <c r="A173" s="1194">
        <v>166</v>
      </c>
      <c r="B173" s="858"/>
      <c r="C173" s="87"/>
      <c r="D173" s="80" t="s">
        <v>707</v>
      </c>
      <c r="E173" s="859"/>
      <c r="F173" s="860"/>
      <c r="G173" s="860"/>
      <c r="H173" s="861"/>
      <c r="I173" s="875">
        <f t="shared" si="2"/>
        <v>1093</v>
      </c>
      <c r="J173" s="1018"/>
      <c r="K173" s="1018"/>
      <c r="L173" s="1018">
        <v>1093</v>
      </c>
      <c r="M173" s="1018"/>
      <c r="N173" s="1019"/>
      <c r="O173" s="86"/>
    </row>
    <row r="174" spans="1:15" s="1110" customFormat="1" ht="17.25">
      <c r="A174" s="1194">
        <v>167</v>
      </c>
      <c r="B174" s="863"/>
      <c r="C174" s="864"/>
      <c r="D174" s="865" t="s">
        <v>637</v>
      </c>
      <c r="E174" s="866"/>
      <c r="F174" s="867"/>
      <c r="G174" s="867"/>
      <c r="H174" s="868"/>
      <c r="I174" s="550">
        <f t="shared" si="2"/>
        <v>3093</v>
      </c>
      <c r="J174" s="1020">
        <f>SUM(J172:J173)</f>
        <v>0</v>
      </c>
      <c r="K174" s="1020">
        <f>SUM(K172:K173)</f>
        <v>0</v>
      </c>
      <c r="L174" s="1020">
        <f>SUM(L172:L173)</f>
        <v>3093</v>
      </c>
      <c r="M174" s="1020">
        <f>SUM(M172:M173)</f>
        <v>0</v>
      </c>
      <c r="N174" s="1021">
        <f>SUM(N172:N173)</f>
        <v>0</v>
      </c>
      <c r="O174" s="586"/>
    </row>
    <row r="175" spans="1:15" s="56" customFormat="1" ht="19.5" customHeight="1">
      <c r="A175" s="1194">
        <v>168</v>
      </c>
      <c r="B175" s="81"/>
      <c r="C175" s="77">
        <v>31</v>
      </c>
      <c r="D175" s="82" t="s">
        <v>17</v>
      </c>
      <c r="E175" s="77" t="s">
        <v>33</v>
      </c>
      <c r="F175" s="46">
        <v>24833</v>
      </c>
      <c r="G175" s="46">
        <v>25000</v>
      </c>
      <c r="H175" s="83">
        <v>22917</v>
      </c>
      <c r="I175" s="550"/>
      <c r="J175" s="1020"/>
      <c r="K175" s="1020"/>
      <c r="L175" s="1020"/>
      <c r="M175" s="1020"/>
      <c r="N175" s="1021"/>
      <c r="O175" s="1110"/>
    </row>
    <row r="176" spans="1:15" s="56" customFormat="1" ht="16.5">
      <c r="A176" s="1194">
        <v>169</v>
      </c>
      <c r="B176" s="854"/>
      <c r="C176" s="71"/>
      <c r="D176" s="72" t="s">
        <v>635</v>
      </c>
      <c r="E176" s="855"/>
      <c r="F176" s="856"/>
      <c r="G176" s="856"/>
      <c r="H176" s="857"/>
      <c r="I176" s="874">
        <f t="shared" si="2"/>
        <v>25000</v>
      </c>
      <c r="J176" s="84"/>
      <c r="K176" s="84"/>
      <c r="L176" s="84">
        <v>25000</v>
      </c>
      <c r="M176" s="84"/>
      <c r="N176" s="85"/>
      <c r="O176" s="63">
        <f>SUM(J176:N176)-I176</f>
        <v>0</v>
      </c>
    </row>
    <row r="177" spans="1:15" s="862" customFormat="1" ht="17.25">
      <c r="A177" s="1194">
        <v>170</v>
      </c>
      <c r="B177" s="858"/>
      <c r="C177" s="87"/>
      <c r="D177" s="80" t="s">
        <v>707</v>
      </c>
      <c r="E177" s="859"/>
      <c r="F177" s="860"/>
      <c r="G177" s="860"/>
      <c r="H177" s="861"/>
      <c r="I177" s="875">
        <f t="shared" si="2"/>
        <v>2083</v>
      </c>
      <c r="J177" s="1018"/>
      <c r="K177" s="1018"/>
      <c r="L177" s="1018">
        <v>2083</v>
      </c>
      <c r="M177" s="1018"/>
      <c r="N177" s="1019"/>
      <c r="O177" s="86"/>
    </row>
    <row r="178" spans="1:15" s="1110" customFormat="1" ht="17.25">
      <c r="A178" s="1194">
        <v>171</v>
      </c>
      <c r="B178" s="863"/>
      <c r="C178" s="864"/>
      <c r="D178" s="865" t="s">
        <v>637</v>
      </c>
      <c r="E178" s="866"/>
      <c r="F178" s="867"/>
      <c r="G178" s="867"/>
      <c r="H178" s="868"/>
      <c r="I178" s="550">
        <f t="shared" si="2"/>
        <v>27083</v>
      </c>
      <c r="J178" s="1020">
        <f>SUM(J176:J177)</f>
        <v>0</v>
      </c>
      <c r="K178" s="1020">
        <f>SUM(K176:K177)</f>
        <v>0</v>
      </c>
      <c r="L178" s="1020">
        <f>SUM(L176:L177)</f>
        <v>27083</v>
      </c>
      <c r="M178" s="1020">
        <f>SUM(M176:M177)</f>
        <v>0</v>
      </c>
      <c r="N178" s="1021">
        <f>SUM(N176:N177)</f>
        <v>0</v>
      </c>
      <c r="O178" s="586"/>
    </row>
    <row r="179" spans="1:15" s="56" customFormat="1" ht="19.5" customHeight="1">
      <c r="A179" s="1194">
        <v>172</v>
      </c>
      <c r="B179" s="81"/>
      <c r="C179" s="77">
        <v>32</v>
      </c>
      <c r="D179" s="82" t="s">
        <v>246</v>
      </c>
      <c r="E179" s="77" t="s">
        <v>33</v>
      </c>
      <c r="F179" s="46"/>
      <c r="G179" s="46">
        <v>2000</v>
      </c>
      <c r="H179" s="83"/>
      <c r="I179" s="550"/>
      <c r="J179" s="1020"/>
      <c r="K179" s="1020"/>
      <c r="L179" s="1020"/>
      <c r="M179" s="1020"/>
      <c r="N179" s="1021"/>
      <c r="O179" s="1110"/>
    </row>
    <row r="180" spans="1:15" s="56" customFormat="1" ht="16.5">
      <c r="A180" s="1194">
        <v>173</v>
      </c>
      <c r="B180" s="854"/>
      <c r="C180" s="71"/>
      <c r="D180" s="72" t="s">
        <v>635</v>
      </c>
      <c r="E180" s="855"/>
      <c r="F180" s="856"/>
      <c r="G180" s="856"/>
      <c r="H180" s="857"/>
      <c r="I180" s="874">
        <f t="shared" si="2"/>
        <v>3000</v>
      </c>
      <c r="J180" s="84"/>
      <c r="K180" s="84"/>
      <c r="L180" s="84">
        <v>2000</v>
      </c>
      <c r="M180" s="84"/>
      <c r="N180" s="85">
        <v>1000</v>
      </c>
      <c r="O180" s="63">
        <f>SUM(J180:N180)-I180</f>
        <v>0</v>
      </c>
    </row>
    <row r="181" spans="1:15" s="862" customFormat="1" ht="17.25">
      <c r="A181" s="1194">
        <v>174</v>
      </c>
      <c r="B181" s="858"/>
      <c r="C181" s="87"/>
      <c r="D181" s="80" t="s">
        <v>717</v>
      </c>
      <c r="E181" s="859"/>
      <c r="F181" s="860"/>
      <c r="G181" s="860"/>
      <c r="H181" s="861"/>
      <c r="I181" s="875">
        <f t="shared" si="2"/>
        <v>-200</v>
      </c>
      <c r="J181" s="1018"/>
      <c r="K181" s="1018"/>
      <c r="L181" s="1018">
        <v>-200</v>
      </c>
      <c r="M181" s="1018"/>
      <c r="N181" s="1019"/>
      <c r="O181" s="86"/>
    </row>
    <row r="182" spans="1:15" s="862" customFormat="1" ht="17.25">
      <c r="A182" s="1194">
        <v>175</v>
      </c>
      <c r="B182" s="858"/>
      <c r="C182" s="87"/>
      <c r="D182" s="80" t="s">
        <v>712</v>
      </c>
      <c r="E182" s="859"/>
      <c r="F182" s="860"/>
      <c r="G182" s="860"/>
      <c r="H182" s="861"/>
      <c r="I182" s="875">
        <f t="shared" si="2"/>
        <v>-100</v>
      </c>
      <c r="J182" s="1018"/>
      <c r="K182" s="1018"/>
      <c r="L182" s="1018">
        <v>-100</v>
      </c>
      <c r="M182" s="1018"/>
      <c r="N182" s="1019"/>
      <c r="O182" s="86"/>
    </row>
    <row r="183" spans="1:15" s="1110" customFormat="1" ht="17.25">
      <c r="A183" s="1194">
        <v>176</v>
      </c>
      <c r="B183" s="863"/>
      <c r="C183" s="864"/>
      <c r="D183" s="865" t="s">
        <v>637</v>
      </c>
      <c r="E183" s="866"/>
      <c r="F183" s="867"/>
      <c r="G183" s="867"/>
      <c r="H183" s="868"/>
      <c r="I183" s="550">
        <f t="shared" si="2"/>
        <v>2700</v>
      </c>
      <c r="J183" s="1020">
        <f>SUM(J180:J182)</f>
        <v>0</v>
      </c>
      <c r="K183" s="1020">
        <f>SUM(K180:K182)</f>
        <v>0</v>
      </c>
      <c r="L183" s="1020">
        <f>SUM(L180:L182)</f>
        <v>1700</v>
      </c>
      <c r="M183" s="1020">
        <f>SUM(M180:M182)</f>
        <v>0</v>
      </c>
      <c r="N183" s="1038">
        <f>SUM(N180:N182)</f>
        <v>1000</v>
      </c>
      <c r="O183" s="586"/>
    </row>
    <row r="184" spans="1:15" s="56" customFormat="1" ht="25.5" customHeight="1">
      <c r="A184" s="1194">
        <v>177</v>
      </c>
      <c r="B184" s="81"/>
      <c r="C184" s="77">
        <v>33</v>
      </c>
      <c r="D184" s="82" t="s">
        <v>247</v>
      </c>
      <c r="E184" s="77" t="s">
        <v>33</v>
      </c>
      <c r="F184" s="46">
        <f>SUM(F188:F204)</f>
        <v>6740</v>
      </c>
      <c r="G184" s="46">
        <f>SUM(G188:G204)</f>
        <v>10500</v>
      </c>
      <c r="H184" s="83">
        <f>SUM(H188:H204)</f>
        <v>8250</v>
      </c>
      <c r="I184" s="550"/>
      <c r="J184" s="74"/>
      <c r="K184" s="74"/>
      <c r="L184" s="74"/>
      <c r="M184" s="74"/>
      <c r="N184" s="75"/>
      <c r="O184" s="63"/>
    </row>
    <row r="185" spans="1:15" s="56" customFormat="1" ht="16.5">
      <c r="A185" s="1194">
        <v>178</v>
      </c>
      <c r="B185" s="854"/>
      <c r="C185" s="71"/>
      <c r="D185" s="72" t="s">
        <v>635</v>
      </c>
      <c r="E185" s="855"/>
      <c r="F185" s="856"/>
      <c r="G185" s="856"/>
      <c r="H185" s="857"/>
      <c r="I185" s="874">
        <f t="shared" si="2"/>
        <v>10000</v>
      </c>
      <c r="J185" s="84">
        <f>SUM(J189,J193,J197,J201,J205)</f>
        <v>0</v>
      </c>
      <c r="K185" s="84">
        <f>SUM(K189,K193,K197,K201,K205)</f>
        <v>0</v>
      </c>
      <c r="L185" s="84">
        <f>SUM(L189,L193,L197,L201,L205)</f>
        <v>2000</v>
      </c>
      <c r="M185" s="84">
        <f>SUM(M189,M193,M197,M201,M205)</f>
        <v>0</v>
      </c>
      <c r="N185" s="85">
        <f>SUM(N189,N193,N197,N201,N205)</f>
        <v>8000</v>
      </c>
      <c r="O185" s="63">
        <f>SUM(J185:N185)-I185</f>
        <v>0</v>
      </c>
    </row>
    <row r="186" spans="1:15" s="862" customFormat="1" ht="17.25">
      <c r="A186" s="1194">
        <v>179</v>
      </c>
      <c r="B186" s="858"/>
      <c r="C186" s="87"/>
      <c r="D186" s="80" t="s">
        <v>636</v>
      </c>
      <c r="E186" s="859"/>
      <c r="F186" s="860"/>
      <c r="G186" s="860"/>
      <c r="H186" s="861"/>
      <c r="I186" s="875">
        <f t="shared" si="2"/>
        <v>-2500</v>
      </c>
      <c r="J186" s="1018">
        <f>SUM(J190,J194,J198,J202,J206)</f>
        <v>0</v>
      </c>
      <c r="K186" s="1018">
        <f>SUM(K190,K194,K198,K202,K206)</f>
        <v>0</v>
      </c>
      <c r="L186" s="1018">
        <f>SUM(L190,L194,L198,L202,L206)</f>
        <v>0</v>
      </c>
      <c r="M186" s="1018">
        <f>SUM(M190,M194,M198,M202,M206)</f>
        <v>0</v>
      </c>
      <c r="N186" s="1019">
        <f>SUM(N190,N194,N198,N202,N206)</f>
        <v>-2500</v>
      </c>
      <c r="O186" s="86"/>
    </row>
    <row r="187" spans="1:15" s="1110" customFormat="1" ht="17.25">
      <c r="A187" s="1194">
        <v>180</v>
      </c>
      <c r="B187" s="863"/>
      <c r="C187" s="864"/>
      <c r="D187" s="865" t="s">
        <v>637</v>
      </c>
      <c r="E187" s="866"/>
      <c r="F187" s="867"/>
      <c r="G187" s="867"/>
      <c r="H187" s="868"/>
      <c r="I187" s="550">
        <f t="shared" si="2"/>
        <v>7500</v>
      </c>
      <c r="J187" s="1020">
        <f>SUM(J185:J186)</f>
        <v>0</v>
      </c>
      <c r="K187" s="1020">
        <f>SUM(K185:K186)</f>
        <v>0</v>
      </c>
      <c r="L187" s="1020">
        <f>SUM(L185:L186)</f>
        <v>2000</v>
      </c>
      <c r="M187" s="1020">
        <f>SUM(M185:M186)</f>
        <v>0</v>
      </c>
      <c r="N187" s="1021">
        <f>SUM(N185:N186)</f>
        <v>5500</v>
      </c>
      <c r="O187" s="586"/>
    </row>
    <row r="188" spans="1:15" s="63" customFormat="1" ht="17.25">
      <c r="A188" s="1194">
        <v>181</v>
      </c>
      <c r="B188" s="70"/>
      <c r="C188" s="1197"/>
      <c r="D188" s="877" t="s">
        <v>643</v>
      </c>
      <c r="E188" s="77"/>
      <c r="F188" s="78"/>
      <c r="G188" s="78">
        <v>2500</v>
      </c>
      <c r="H188" s="79"/>
      <c r="I188" s="550"/>
      <c r="J188" s="84"/>
      <c r="K188" s="84"/>
      <c r="L188" s="84"/>
      <c r="M188" s="84"/>
      <c r="N188" s="85"/>
      <c r="O188" s="56"/>
    </row>
    <row r="189" spans="1:15" s="56" customFormat="1" ht="16.5">
      <c r="A189" s="1194">
        <v>182</v>
      </c>
      <c r="B189" s="854"/>
      <c r="C189" s="71"/>
      <c r="D189" s="871" t="s">
        <v>635</v>
      </c>
      <c r="E189" s="855"/>
      <c r="F189" s="856"/>
      <c r="G189" s="856"/>
      <c r="H189" s="857"/>
      <c r="I189" s="874">
        <f t="shared" si="2"/>
        <v>2500</v>
      </c>
      <c r="J189" s="84"/>
      <c r="K189" s="84"/>
      <c r="L189" s="84"/>
      <c r="M189" s="84"/>
      <c r="N189" s="85">
        <v>2500</v>
      </c>
      <c r="O189" s="63">
        <f>SUM(J189:N189)-I189</f>
        <v>0</v>
      </c>
    </row>
    <row r="190" spans="1:15" s="862" customFormat="1" ht="17.25">
      <c r="A190" s="1194">
        <v>183</v>
      </c>
      <c r="B190" s="858"/>
      <c r="C190" s="87"/>
      <c r="D190" s="872" t="s">
        <v>716</v>
      </c>
      <c r="E190" s="859"/>
      <c r="F190" s="860"/>
      <c r="G190" s="860"/>
      <c r="H190" s="861"/>
      <c r="I190" s="875">
        <f t="shared" si="2"/>
        <v>-2500</v>
      </c>
      <c r="J190" s="1018"/>
      <c r="K190" s="1018"/>
      <c r="L190" s="1018"/>
      <c r="M190" s="1018"/>
      <c r="N190" s="1019">
        <v>-2500</v>
      </c>
      <c r="O190" s="86"/>
    </row>
    <row r="191" spans="1:15" s="1110" customFormat="1" ht="17.25">
      <c r="A191" s="1194">
        <v>184</v>
      </c>
      <c r="B191" s="863"/>
      <c r="C191" s="864"/>
      <c r="D191" s="873" t="s">
        <v>637</v>
      </c>
      <c r="E191" s="866"/>
      <c r="F191" s="867"/>
      <c r="G191" s="867"/>
      <c r="H191" s="868"/>
      <c r="I191" s="550">
        <f t="shared" si="2"/>
        <v>0</v>
      </c>
      <c r="J191" s="1020">
        <f>SUM(J189:J190)</f>
        <v>0</v>
      </c>
      <c r="K191" s="1020">
        <f>SUM(K189:K190)</f>
        <v>0</v>
      </c>
      <c r="L191" s="1020">
        <f>SUM(L189:L190)</f>
        <v>0</v>
      </c>
      <c r="M191" s="1020">
        <f>SUM(M189:M190)</f>
        <v>0</v>
      </c>
      <c r="N191" s="1021">
        <f>SUM(N189:N190)</f>
        <v>0</v>
      </c>
      <c r="O191" s="586"/>
    </row>
    <row r="192" spans="1:15" s="63" customFormat="1" ht="17.25">
      <c r="A192" s="1194">
        <v>185</v>
      </c>
      <c r="B192" s="70"/>
      <c r="C192" s="1197"/>
      <c r="D192" s="876" t="s">
        <v>639</v>
      </c>
      <c r="E192" s="77"/>
      <c r="F192" s="78">
        <v>5240</v>
      </c>
      <c r="G192" s="78">
        <v>6000</v>
      </c>
      <c r="H192" s="79">
        <v>6250</v>
      </c>
      <c r="I192" s="550"/>
      <c r="J192" s="84"/>
      <c r="K192" s="84"/>
      <c r="L192" s="84"/>
      <c r="M192" s="84"/>
      <c r="N192" s="85"/>
      <c r="O192" s="56"/>
    </row>
    <row r="193" spans="1:15" s="56" customFormat="1" ht="16.5">
      <c r="A193" s="1194">
        <v>186</v>
      </c>
      <c r="B193" s="854"/>
      <c r="C193" s="71"/>
      <c r="D193" s="871" t="s">
        <v>635</v>
      </c>
      <c r="E193" s="855"/>
      <c r="F193" s="856"/>
      <c r="G193" s="856"/>
      <c r="H193" s="857"/>
      <c r="I193" s="874">
        <f t="shared" si="2"/>
        <v>5000</v>
      </c>
      <c r="J193" s="84"/>
      <c r="K193" s="84"/>
      <c r="L193" s="84"/>
      <c r="M193" s="84"/>
      <c r="N193" s="85">
        <v>5000</v>
      </c>
      <c r="O193" s="63">
        <f>SUM(J193:N193)-I193</f>
        <v>0</v>
      </c>
    </row>
    <row r="194" spans="1:15" s="862" customFormat="1" ht="17.25">
      <c r="A194" s="1194">
        <v>187</v>
      </c>
      <c r="B194" s="858"/>
      <c r="C194" s="87"/>
      <c r="D194" s="872" t="s">
        <v>636</v>
      </c>
      <c r="E194" s="859"/>
      <c r="F194" s="860"/>
      <c r="G194" s="860"/>
      <c r="H194" s="861"/>
      <c r="I194" s="875">
        <f t="shared" si="2"/>
        <v>0</v>
      </c>
      <c r="J194" s="1018"/>
      <c r="K194" s="1018"/>
      <c r="L194" s="1018"/>
      <c r="M194" s="1018"/>
      <c r="N194" s="1019"/>
      <c r="O194" s="86"/>
    </row>
    <row r="195" spans="1:15" s="1110" customFormat="1" ht="17.25">
      <c r="A195" s="1194">
        <v>188</v>
      </c>
      <c r="B195" s="863"/>
      <c r="C195" s="864"/>
      <c r="D195" s="873" t="s">
        <v>637</v>
      </c>
      <c r="E195" s="866"/>
      <c r="F195" s="867"/>
      <c r="G195" s="867"/>
      <c r="H195" s="868"/>
      <c r="I195" s="550">
        <f t="shared" si="2"/>
        <v>5000</v>
      </c>
      <c r="J195" s="1020">
        <f>SUM(J193:J194)</f>
        <v>0</v>
      </c>
      <c r="K195" s="1020">
        <f>SUM(K193:K194)</f>
        <v>0</v>
      </c>
      <c r="L195" s="1020">
        <f>SUM(L193:L194)</f>
        <v>0</v>
      </c>
      <c r="M195" s="1020">
        <f>SUM(M193:M194)</f>
        <v>0</v>
      </c>
      <c r="N195" s="1021">
        <f>SUM(N193:N194)</f>
        <v>5000</v>
      </c>
      <c r="O195" s="586"/>
    </row>
    <row r="196" spans="1:15" s="63" customFormat="1" ht="17.25">
      <c r="A196" s="1194">
        <v>189</v>
      </c>
      <c r="B196" s="70"/>
      <c r="C196" s="1197"/>
      <c r="D196" s="876" t="s">
        <v>640</v>
      </c>
      <c r="E196" s="77"/>
      <c r="F196" s="78">
        <v>500</v>
      </c>
      <c r="G196" s="78">
        <v>500</v>
      </c>
      <c r="H196" s="79">
        <v>500</v>
      </c>
      <c r="I196" s="550"/>
      <c r="J196" s="84"/>
      <c r="K196" s="84"/>
      <c r="L196" s="84"/>
      <c r="M196" s="84"/>
      <c r="N196" s="85"/>
      <c r="O196" s="56"/>
    </row>
    <row r="197" spans="1:15" s="56" customFormat="1" ht="16.5">
      <c r="A197" s="1194">
        <v>190</v>
      </c>
      <c r="B197" s="854"/>
      <c r="C197" s="71"/>
      <c r="D197" s="871" t="s">
        <v>635</v>
      </c>
      <c r="E197" s="855"/>
      <c r="F197" s="856"/>
      <c r="G197" s="856"/>
      <c r="H197" s="857"/>
      <c r="I197" s="874">
        <f t="shared" si="2"/>
        <v>500</v>
      </c>
      <c r="J197" s="84"/>
      <c r="K197" s="84"/>
      <c r="L197" s="84">
        <v>500</v>
      </c>
      <c r="M197" s="84"/>
      <c r="N197" s="85"/>
      <c r="O197" s="63">
        <f>SUM(J197:N197)-I197</f>
        <v>0</v>
      </c>
    </row>
    <row r="198" spans="1:15" s="862" customFormat="1" ht="17.25">
      <c r="A198" s="1194">
        <v>191</v>
      </c>
      <c r="B198" s="858"/>
      <c r="C198" s="87"/>
      <c r="D198" s="872" t="s">
        <v>636</v>
      </c>
      <c r="E198" s="859"/>
      <c r="F198" s="860"/>
      <c r="G198" s="860"/>
      <c r="H198" s="861"/>
      <c r="I198" s="875">
        <f t="shared" si="2"/>
        <v>0</v>
      </c>
      <c r="J198" s="1018"/>
      <c r="K198" s="1018"/>
      <c r="L198" s="1018"/>
      <c r="M198" s="1018"/>
      <c r="N198" s="1019"/>
      <c r="O198" s="86"/>
    </row>
    <row r="199" spans="1:15" s="1110" customFormat="1" ht="17.25">
      <c r="A199" s="1194">
        <v>192</v>
      </c>
      <c r="B199" s="863"/>
      <c r="C199" s="864"/>
      <c r="D199" s="873" t="s">
        <v>637</v>
      </c>
      <c r="E199" s="866"/>
      <c r="F199" s="867"/>
      <c r="G199" s="867"/>
      <c r="H199" s="868"/>
      <c r="I199" s="550">
        <f t="shared" si="2"/>
        <v>500</v>
      </c>
      <c r="J199" s="1020">
        <f>SUM(J197:J198)</f>
        <v>0</v>
      </c>
      <c r="K199" s="1020">
        <f>SUM(K197:K198)</f>
        <v>0</v>
      </c>
      <c r="L199" s="1020">
        <f>SUM(L197:L198)</f>
        <v>500</v>
      </c>
      <c r="M199" s="1020">
        <f>SUM(M197:M198)</f>
        <v>0</v>
      </c>
      <c r="N199" s="1021">
        <f>SUM(N197:N198)</f>
        <v>0</v>
      </c>
      <c r="O199" s="586"/>
    </row>
    <row r="200" spans="1:15" s="63" customFormat="1" ht="17.25">
      <c r="A200" s="1194">
        <v>193</v>
      </c>
      <c r="B200" s="70"/>
      <c r="C200" s="1197"/>
      <c r="D200" s="876" t="s">
        <v>641</v>
      </c>
      <c r="E200" s="77"/>
      <c r="F200" s="78"/>
      <c r="G200" s="78">
        <v>500</v>
      </c>
      <c r="H200" s="79">
        <v>500</v>
      </c>
      <c r="I200" s="550"/>
      <c r="J200" s="84"/>
      <c r="K200" s="84"/>
      <c r="L200" s="84"/>
      <c r="M200" s="84"/>
      <c r="N200" s="85"/>
      <c r="O200" s="56"/>
    </row>
    <row r="201" spans="1:15" s="56" customFormat="1" ht="16.5">
      <c r="A201" s="1194">
        <v>194</v>
      </c>
      <c r="B201" s="854"/>
      <c r="C201" s="71"/>
      <c r="D201" s="871" t="s">
        <v>635</v>
      </c>
      <c r="E201" s="855"/>
      <c r="F201" s="856"/>
      <c r="G201" s="856"/>
      <c r="H201" s="857"/>
      <c r="I201" s="874">
        <f t="shared" si="2"/>
        <v>500</v>
      </c>
      <c r="J201" s="84"/>
      <c r="K201" s="84"/>
      <c r="L201" s="84"/>
      <c r="M201" s="84"/>
      <c r="N201" s="85">
        <v>500</v>
      </c>
      <c r="O201" s="63">
        <f>SUM(J201:N201)-I201</f>
        <v>0</v>
      </c>
    </row>
    <row r="202" spans="1:15" s="862" customFormat="1" ht="17.25">
      <c r="A202" s="1194">
        <v>195</v>
      </c>
      <c r="B202" s="858"/>
      <c r="C202" s="87"/>
      <c r="D202" s="872" t="s">
        <v>636</v>
      </c>
      <c r="E202" s="859"/>
      <c r="F202" s="860"/>
      <c r="G202" s="860"/>
      <c r="H202" s="861"/>
      <c r="I202" s="875">
        <f t="shared" si="2"/>
        <v>0</v>
      </c>
      <c r="J202" s="1018"/>
      <c r="K202" s="1018"/>
      <c r="L202" s="1018"/>
      <c r="M202" s="1018"/>
      <c r="N202" s="1019"/>
      <c r="O202" s="86"/>
    </row>
    <row r="203" spans="1:15" s="1110" customFormat="1" ht="17.25">
      <c r="A203" s="1194">
        <v>196</v>
      </c>
      <c r="B203" s="863"/>
      <c r="C203" s="864"/>
      <c r="D203" s="873" t="s">
        <v>637</v>
      </c>
      <c r="E203" s="866"/>
      <c r="F203" s="867"/>
      <c r="G203" s="867"/>
      <c r="H203" s="868"/>
      <c r="I203" s="550">
        <f t="shared" si="2"/>
        <v>500</v>
      </c>
      <c r="J203" s="1020">
        <f>SUM(J201:J202)</f>
        <v>0</v>
      </c>
      <c r="K203" s="1020">
        <f>SUM(K201:K202)</f>
        <v>0</v>
      </c>
      <c r="L203" s="1020">
        <f>SUM(L201:L202)</f>
        <v>0</v>
      </c>
      <c r="M203" s="1020">
        <f>SUM(M201:M202)</f>
        <v>0</v>
      </c>
      <c r="N203" s="1021">
        <f>SUM(N201:N202)</f>
        <v>500</v>
      </c>
      <c r="O203" s="586"/>
    </row>
    <row r="204" spans="1:15" s="63" customFormat="1" ht="17.25">
      <c r="A204" s="1194">
        <v>197</v>
      </c>
      <c r="B204" s="70"/>
      <c r="C204" s="1197"/>
      <c r="D204" s="876" t="s">
        <v>642</v>
      </c>
      <c r="E204" s="77"/>
      <c r="F204" s="78">
        <v>1000</v>
      </c>
      <c r="G204" s="78">
        <v>1000</v>
      </c>
      <c r="H204" s="79">
        <v>1000</v>
      </c>
      <c r="I204" s="550"/>
      <c r="J204" s="84"/>
      <c r="K204" s="84"/>
      <c r="L204" s="84"/>
      <c r="M204" s="84"/>
      <c r="N204" s="85"/>
      <c r="O204" s="56"/>
    </row>
    <row r="205" spans="1:15" s="56" customFormat="1" ht="16.5">
      <c r="A205" s="1194">
        <v>198</v>
      </c>
      <c r="B205" s="854"/>
      <c r="C205" s="71"/>
      <c r="D205" s="871" t="s">
        <v>635</v>
      </c>
      <c r="E205" s="855"/>
      <c r="F205" s="856"/>
      <c r="G205" s="856"/>
      <c r="H205" s="857"/>
      <c r="I205" s="874">
        <f t="shared" si="2"/>
        <v>1500</v>
      </c>
      <c r="J205" s="84"/>
      <c r="K205" s="84"/>
      <c r="L205" s="84">
        <v>1500</v>
      </c>
      <c r="M205" s="84"/>
      <c r="N205" s="85"/>
      <c r="O205" s="63">
        <f>SUM(J205:N205)-I205</f>
        <v>0</v>
      </c>
    </row>
    <row r="206" spans="1:15" s="862" customFormat="1" ht="17.25">
      <c r="A206" s="1194">
        <v>199</v>
      </c>
      <c r="B206" s="858"/>
      <c r="C206" s="87"/>
      <c r="D206" s="872" t="s">
        <v>636</v>
      </c>
      <c r="E206" s="859"/>
      <c r="F206" s="860"/>
      <c r="G206" s="860"/>
      <c r="H206" s="861"/>
      <c r="I206" s="875">
        <f t="shared" si="2"/>
        <v>0</v>
      </c>
      <c r="J206" s="1018"/>
      <c r="K206" s="1018"/>
      <c r="L206" s="1018"/>
      <c r="M206" s="1018"/>
      <c r="N206" s="1019"/>
      <c r="O206" s="86"/>
    </row>
    <row r="207" spans="1:15" s="1110" customFormat="1" ht="17.25">
      <c r="A207" s="1194">
        <v>200</v>
      </c>
      <c r="B207" s="863"/>
      <c r="C207" s="864"/>
      <c r="D207" s="873" t="s">
        <v>637</v>
      </c>
      <c r="E207" s="866"/>
      <c r="F207" s="867"/>
      <c r="G207" s="867"/>
      <c r="H207" s="868"/>
      <c r="I207" s="550">
        <f t="shared" si="2"/>
        <v>1500</v>
      </c>
      <c r="J207" s="1020">
        <f>SUM(J205:J206)</f>
        <v>0</v>
      </c>
      <c r="K207" s="1020">
        <f>SUM(K205:K206)</f>
        <v>0</v>
      </c>
      <c r="L207" s="1020">
        <f>SUM(L205:L206)</f>
        <v>1500</v>
      </c>
      <c r="M207" s="1020">
        <f>SUM(M205:M206)</f>
        <v>0</v>
      </c>
      <c r="N207" s="1021">
        <f>SUM(N205:N206)</f>
        <v>0</v>
      </c>
      <c r="O207" s="586"/>
    </row>
    <row r="208" spans="1:15" s="63" customFormat="1" ht="17.25">
      <c r="A208" s="1194">
        <v>201</v>
      </c>
      <c r="B208" s="70"/>
      <c r="C208" s="71">
        <v>34</v>
      </c>
      <c r="D208" s="72" t="s">
        <v>562</v>
      </c>
      <c r="E208" s="71" t="s">
        <v>248</v>
      </c>
      <c r="F208" s="48">
        <v>10585</v>
      </c>
      <c r="G208" s="48">
        <v>11000</v>
      </c>
      <c r="H208" s="73">
        <v>8313</v>
      </c>
      <c r="I208" s="550"/>
      <c r="J208" s="1020"/>
      <c r="K208" s="1020"/>
      <c r="L208" s="1020"/>
      <c r="M208" s="1020"/>
      <c r="N208" s="1021"/>
      <c r="O208" s="586"/>
    </row>
    <row r="209" spans="1:15" s="56" customFormat="1" ht="16.5">
      <c r="A209" s="1194">
        <v>202</v>
      </c>
      <c r="B209" s="854"/>
      <c r="C209" s="71"/>
      <c r="D209" s="72" t="s">
        <v>635</v>
      </c>
      <c r="E209" s="855"/>
      <c r="F209" s="856"/>
      <c r="G209" s="856"/>
      <c r="H209" s="857"/>
      <c r="I209" s="874">
        <f t="shared" si="2"/>
        <v>10000</v>
      </c>
      <c r="J209" s="84"/>
      <c r="K209" s="84"/>
      <c r="L209" s="84"/>
      <c r="M209" s="84">
        <v>10000</v>
      </c>
      <c r="N209" s="85"/>
      <c r="O209" s="63">
        <f>SUM(J209:N209)-I209</f>
        <v>0</v>
      </c>
    </row>
    <row r="210" spans="1:15" s="862" customFormat="1" ht="17.25">
      <c r="A210" s="1194">
        <v>203</v>
      </c>
      <c r="B210" s="858"/>
      <c r="C210" s="87"/>
      <c r="D210" s="80" t="s">
        <v>636</v>
      </c>
      <c r="E210" s="859"/>
      <c r="F210" s="860"/>
      <c r="G210" s="860"/>
      <c r="H210" s="861"/>
      <c r="I210" s="875">
        <f t="shared" si="2"/>
        <v>0</v>
      </c>
      <c r="J210" s="1018"/>
      <c r="K210" s="1018"/>
      <c r="L210" s="1018"/>
      <c r="M210" s="1018"/>
      <c r="N210" s="1019"/>
      <c r="O210" s="86"/>
    </row>
    <row r="211" spans="1:15" s="1110" customFormat="1" ht="17.25">
      <c r="A211" s="1194">
        <v>204</v>
      </c>
      <c r="B211" s="863"/>
      <c r="C211" s="864"/>
      <c r="D211" s="865" t="s">
        <v>637</v>
      </c>
      <c r="E211" s="866"/>
      <c r="F211" s="867"/>
      <c r="G211" s="867"/>
      <c r="H211" s="868"/>
      <c r="I211" s="550">
        <f t="shared" si="2"/>
        <v>10000</v>
      </c>
      <c r="J211" s="1020">
        <f>SUM(J209:J210)</f>
        <v>0</v>
      </c>
      <c r="K211" s="1020">
        <f>SUM(K209:K210)</f>
        <v>0</v>
      </c>
      <c r="L211" s="1020">
        <f>SUM(L209:L210)</f>
        <v>0</v>
      </c>
      <c r="M211" s="1020">
        <f>SUM(M209:M210)</f>
        <v>10000</v>
      </c>
      <c r="N211" s="1021">
        <f>SUM(N209:N210)</f>
        <v>0</v>
      </c>
      <c r="O211" s="586"/>
    </row>
    <row r="212" spans="1:15" s="63" customFormat="1" ht="17.25">
      <c r="A212" s="1194">
        <v>205</v>
      </c>
      <c r="B212" s="70"/>
      <c r="C212" s="71">
        <v>35</v>
      </c>
      <c r="D212" s="72" t="s">
        <v>249</v>
      </c>
      <c r="E212" s="71" t="s">
        <v>248</v>
      </c>
      <c r="F212" s="48">
        <v>100</v>
      </c>
      <c r="G212" s="48">
        <v>300</v>
      </c>
      <c r="H212" s="73">
        <v>60</v>
      </c>
      <c r="I212" s="550"/>
      <c r="J212" s="1020"/>
      <c r="K212" s="1020"/>
      <c r="L212" s="1020"/>
      <c r="M212" s="1020"/>
      <c r="N212" s="1021"/>
      <c r="O212" s="586"/>
    </row>
    <row r="213" spans="1:15" s="56" customFormat="1" ht="16.5">
      <c r="A213" s="1194">
        <v>206</v>
      </c>
      <c r="B213" s="854"/>
      <c r="C213" s="71"/>
      <c r="D213" s="72" t="s">
        <v>635</v>
      </c>
      <c r="E213" s="855"/>
      <c r="F213" s="856"/>
      <c r="G213" s="856"/>
      <c r="H213" s="857"/>
      <c r="I213" s="874">
        <f t="shared" si="2"/>
        <v>200</v>
      </c>
      <c r="J213" s="84"/>
      <c r="K213" s="84"/>
      <c r="L213" s="84"/>
      <c r="M213" s="84">
        <v>200</v>
      </c>
      <c r="N213" s="85"/>
      <c r="O213" s="63">
        <f>SUM(J213:N213)-I213</f>
        <v>0</v>
      </c>
    </row>
    <row r="214" spans="1:15" s="862" customFormat="1" ht="17.25">
      <c r="A214" s="1194">
        <v>207</v>
      </c>
      <c r="B214" s="858"/>
      <c r="C214" s="87"/>
      <c r="D214" s="80" t="s">
        <v>636</v>
      </c>
      <c r="E214" s="859"/>
      <c r="F214" s="860"/>
      <c r="G214" s="860"/>
      <c r="H214" s="861"/>
      <c r="I214" s="875">
        <f t="shared" si="2"/>
        <v>0</v>
      </c>
      <c r="J214" s="1018"/>
      <c r="K214" s="1018"/>
      <c r="L214" s="1018"/>
      <c r="M214" s="1018"/>
      <c r="N214" s="1019"/>
      <c r="O214" s="86"/>
    </row>
    <row r="215" spans="1:15" s="1079" customFormat="1" ht="15">
      <c r="A215" s="1194">
        <v>208</v>
      </c>
      <c r="B215" s="1075"/>
      <c r="C215" s="1198"/>
      <c r="D215" s="1076" t="s">
        <v>637</v>
      </c>
      <c r="E215" s="1077"/>
      <c r="F215" s="1078"/>
      <c r="G215" s="1078"/>
      <c r="H215" s="1080"/>
      <c r="I215" s="1054">
        <f t="shared" si="2"/>
        <v>200</v>
      </c>
      <c r="J215" s="1055">
        <f>SUM(J213:J214)</f>
        <v>0</v>
      </c>
      <c r="K215" s="1055">
        <f>SUM(K213:K214)</f>
        <v>0</v>
      </c>
      <c r="L215" s="1055">
        <f>SUM(L213:L214)</f>
        <v>0</v>
      </c>
      <c r="M215" s="1055">
        <f>SUM(M213:M214)</f>
        <v>200</v>
      </c>
      <c r="N215" s="1056">
        <f>SUM(N213:N214)</f>
        <v>0</v>
      </c>
      <c r="O215" s="1057"/>
    </row>
    <row r="216" spans="1:15" s="1058" customFormat="1" ht="15">
      <c r="A216" s="1194">
        <v>209</v>
      </c>
      <c r="B216" s="1050"/>
      <c r="C216" s="1052">
        <v>36</v>
      </c>
      <c r="D216" s="1051" t="s">
        <v>569</v>
      </c>
      <c r="E216" s="1052" t="s">
        <v>248</v>
      </c>
      <c r="F216" s="1053">
        <v>540</v>
      </c>
      <c r="G216" s="1053">
        <v>600</v>
      </c>
      <c r="H216" s="1081">
        <v>547</v>
      </c>
      <c r="I216" s="1054"/>
      <c r="J216" s="1055"/>
      <c r="K216" s="1055"/>
      <c r="L216" s="1055"/>
      <c r="M216" s="1055"/>
      <c r="N216" s="1056"/>
      <c r="O216" s="1057"/>
    </row>
    <row r="217" spans="1:15" s="1065" customFormat="1" ht="15">
      <c r="A217" s="1194">
        <v>210</v>
      </c>
      <c r="B217" s="1059"/>
      <c r="C217" s="1052"/>
      <c r="D217" s="1051" t="s">
        <v>635</v>
      </c>
      <c r="E217" s="1060"/>
      <c r="F217" s="1061"/>
      <c r="G217" s="1061"/>
      <c r="H217" s="1082"/>
      <c r="I217" s="1062">
        <f t="shared" si="2"/>
        <v>3290</v>
      </c>
      <c r="J217" s="1063"/>
      <c r="K217" s="1063"/>
      <c r="L217" s="1063"/>
      <c r="M217" s="1063">
        <v>3290</v>
      </c>
      <c r="N217" s="1064"/>
      <c r="O217" s="1058">
        <f>SUM(J217:N217)-I217</f>
        <v>0</v>
      </c>
    </row>
    <row r="218" spans="1:15" s="1074" customFormat="1" ht="15">
      <c r="A218" s="1194">
        <v>211</v>
      </c>
      <c r="B218" s="1066"/>
      <c r="C218" s="1199"/>
      <c r="D218" s="1067" t="s">
        <v>636</v>
      </c>
      <c r="E218" s="1068"/>
      <c r="F218" s="1069"/>
      <c r="G218" s="1069"/>
      <c r="H218" s="1083"/>
      <c r="I218" s="1070">
        <f aca="true" t="shared" si="3" ref="I218:I284">SUM(J218:N218)</f>
        <v>0</v>
      </c>
      <c r="J218" s="1071"/>
      <c r="K218" s="1071"/>
      <c r="L218" s="1071"/>
      <c r="M218" s="1071"/>
      <c r="N218" s="1072"/>
      <c r="O218" s="1073"/>
    </row>
    <row r="219" spans="1:15" s="1079" customFormat="1" ht="15">
      <c r="A219" s="1194">
        <v>212</v>
      </c>
      <c r="B219" s="1075"/>
      <c r="C219" s="1198"/>
      <c r="D219" s="1076" t="s">
        <v>637</v>
      </c>
      <c r="E219" s="1077"/>
      <c r="F219" s="1078"/>
      <c r="G219" s="1078"/>
      <c r="H219" s="1080"/>
      <c r="I219" s="1054">
        <f t="shared" si="3"/>
        <v>3290</v>
      </c>
      <c r="J219" s="1055">
        <f>SUM(J217:J218)</f>
        <v>0</v>
      </c>
      <c r="K219" s="1055">
        <f>SUM(K217:K218)</f>
        <v>0</v>
      </c>
      <c r="L219" s="1055">
        <f>SUM(L217:L218)</f>
        <v>0</v>
      </c>
      <c r="M219" s="1055">
        <f>SUM(M217:M218)</f>
        <v>3290</v>
      </c>
      <c r="N219" s="1056">
        <f>SUM(N217:N218)</f>
        <v>0</v>
      </c>
      <c r="O219" s="1057"/>
    </row>
    <row r="220" spans="1:15" s="1058" customFormat="1" ht="15">
      <c r="A220" s="1194">
        <v>213</v>
      </c>
      <c r="B220" s="1050"/>
      <c r="C220" s="1052">
        <v>37</v>
      </c>
      <c r="D220" s="1051" t="s">
        <v>250</v>
      </c>
      <c r="E220" s="1052" t="s">
        <v>248</v>
      </c>
      <c r="F220" s="1053">
        <v>144043</v>
      </c>
      <c r="G220" s="1053">
        <v>150000</v>
      </c>
      <c r="H220" s="1081">
        <v>92993</v>
      </c>
      <c r="I220" s="1054"/>
      <c r="J220" s="1055"/>
      <c r="K220" s="1055"/>
      <c r="L220" s="1055"/>
      <c r="M220" s="1055"/>
      <c r="N220" s="1056"/>
      <c r="O220" s="1057"/>
    </row>
    <row r="221" spans="1:15" s="1065" customFormat="1" ht="15">
      <c r="A221" s="1194">
        <v>214</v>
      </c>
      <c r="B221" s="1059"/>
      <c r="C221" s="1052"/>
      <c r="D221" s="1051" t="s">
        <v>635</v>
      </c>
      <c r="E221" s="1060"/>
      <c r="F221" s="1061"/>
      <c r="G221" s="1061"/>
      <c r="H221" s="1082"/>
      <c r="I221" s="1062">
        <f t="shared" si="3"/>
        <v>34250</v>
      </c>
      <c r="J221" s="1063"/>
      <c r="K221" s="1063"/>
      <c r="L221" s="1063"/>
      <c r="M221" s="1063">
        <v>34250</v>
      </c>
      <c r="N221" s="1064"/>
      <c r="O221" s="1058">
        <f>SUM(J221:N221)-I221</f>
        <v>0</v>
      </c>
    </row>
    <row r="222" spans="1:15" s="1074" customFormat="1" ht="15">
      <c r="A222" s="1194">
        <v>215</v>
      </c>
      <c r="B222" s="1066"/>
      <c r="C222" s="1199"/>
      <c r="D222" s="1067" t="s">
        <v>636</v>
      </c>
      <c r="E222" s="1068"/>
      <c r="F222" s="1069"/>
      <c r="G222" s="1069"/>
      <c r="H222" s="1083"/>
      <c r="I222" s="1070">
        <f t="shared" si="3"/>
        <v>0</v>
      </c>
      <c r="J222" s="1071"/>
      <c r="K222" s="1071"/>
      <c r="L222" s="1071"/>
      <c r="M222" s="1071"/>
      <c r="N222" s="1072"/>
      <c r="O222" s="1073"/>
    </row>
    <row r="223" spans="1:15" s="1079" customFormat="1" ht="15">
      <c r="A223" s="1194">
        <v>216</v>
      </c>
      <c r="B223" s="1075"/>
      <c r="C223" s="1198"/>
      <c r="D223" s="1076" t="s">
        <v>637</v>
      </c>
      <c r="E223" s="1077"/>
      <c r="F223" s="1078"/>
      <c r="G223" s="1078"/>
      <c r="H223" s="1080"/>
      <c r="I223" s="1054">
        <f t="shared" si="3"/>
        <v>34250</v>
      </c>
      <c r="J223" s="1055">
        <f>SUM(J221:J222)</f>
        <v>0</v>
      </c>
      <c r="K223" s="1055">
        <f>SUM(K221:K222)</f>
        <v>0</v>
      </c>
      <c r="L223" s="1055">
        <f>SUM(L221:L222)</f>
        <v>0</v>
      </c>
      <c r="M223" s="1055">
        <f>SUM(M221:M222)</f>
        <v>34250</v>
      </c>
      <c r="N223" s="1056">
        <f>SUM(N221:N222)</f>
        <v>0</v>
      </c>
      <c r="O223" s="1057"/>
    </row>
    <row r="224" spans="1:15" s="1058" customFormat="1" ht="15">
      <c r="A224" s="1194">
        <v>217</v>
      </c>
      <c r="B224" s="1050"/>
      <c r="C224" s="1052">
        <v>38</v>
      </c>
      <c r="D224" s="1051" t="s">
        <v>570</v>
      </c>
      <c r="E224" s="1052" t="s">
        <v>248</v>
      </c>
      <c r="F224" s="1053">
        <v>38728</v>
      </c>
      <c r="G224" s="1053">
        <v>40000</v>
      </c>
      <c r="H224" s="1081">
        <v>27355</v>
      </c>
      <c r="I224" s="1054"/>
      <c r="J224" s="1055"/>
      <c r="K224" s="1055"/>
      <c r="L224" s="1055"/>
      <c r="M224" s="1055"/>
      <c r="N224" s="1056"/>
      <c r="O224" s="1057"/>
    </row>
    <row r="225" spans="1:15" s="1065" customFormat="1" ht="15">
      <c r="A225" s="1194">
        <v>218</v>
      </c>
      <c r="B225" s="1059"/>
      <c r="C225" s="1052"/>
      <c r="D225" s="1051" t="s">
        <v>635</v>
      </c>
      <c r="E225" s="1060"/>
      <c r="F225" s="1061"/>
      <c r="G225" s="1061"/>
      <c r="H225" s="1082"/>
      <c r="I225" s="1062">
        <f t="shared" si="3"/>
        <v>20900</v>
      </c>
      <c r="J225" s="1063"/>
      <c r="K225" s="1063"/>
      <c r="L225" s="1063"/>
      <c r="M225" s="1063">
        <v>20900</v>
      </c>
      <c r="N225" s="1064"/>
      <c r="O225" s="1058">
        <f>SUM(J225:N225)-I225</f>
        <v>0</v>
      </c>
    </row>
    <row r="226" spans="1:15" s="1074" customFormat="1" ht="15">
      <c r="A226" s="1194">
        <v>219</v>
      </c>
      <c r="B226" s="1066"/>
      <c r="C226" s="1199"/>
      <c r="D226" s="1067" t="s">
        <v>636</v>
      </c>
      <c r="E226" s="1068"/>
      <c r="F226" s="1069"/>
      <c r="G226" s="1069"/>
      <c r="H226" s="1083"/>
      <c r="I226" s="1070">
        <f t="shared" si="3"/>
        <v>0</v>
      </c>
      <c r="J226" s="1071"/>
      <c r="K226" s="1071"/>
      <c r="L226" s="1071"/>
      <c r="M226" s="1071"/>
      <c r="N226" s="1072"/>
      <c r="O226" s="1073"/>
    </row>
    <row r="227" spans="1:15" s="1079" customFormat="1" ht="15">
      <c r="A227" s="1194">
        <v>220</v>
      </c>
      <c r="B227" s="1075"/>
      <c r="C227" s="1198"/>
      <c r="D227" s="1076" t="s">
        <v>637</v>
      </c>
      <c r="E227" s="1077"/>
      <c r="F227" s="1078"/>
      <c r="G227" s="1078"/>
      <c r="H227" s="1080"/>
      <c r="I227" s="1054">
        <f t="shared" si="3"/>
        <v>20900</v>
      </c>
      <c r="J227" s="1055">
        <f>SUM(J225:J226)</f>
        <v>0</v>
      </c>
      <c r="K227" s="1055">
        <f>SUM(K225:K226)</f>
        <v>0</v>
      </c>
      <c r="L227" s="1055">
        <f>SUM(L225:L226)</f>
        <v>0</v>
      </c>
      <c r="M227" s="1055">
        <f>SUM(M225:M226)</f>
        <v>20900</v>
      </c>
      <c r="N227" s="1056">
        <f>SUM(N225:N226)</f>
        <v>0</v>
      </c>
      <c r="O227" s="1057"/>
    </row>
    <row r="228" spans="1:15" s="1058" customFormat="1" ht="15">
      <c r="A228" s="1194">
        <v>221</v>
      </c>
      <c r="B228" s="1050"/>
      <c r="C228" s="1052">
        <v>39</v>
      </c>
      <c r="D228" s="1051" t="s">
        <v>571</v>
      </c>
      <c r="E228" s="1052" t="s">
        <v>248</v>
      </c>
      <c r="F228" s="1053">
        <v>40173</v>
      </c>
      <c r="G228" s="1053">
        <v>42000</v>
      </c>
      <c r="H228" s="1081">
        <v>40859</v>
      </c>
      <c r="I228" s="1054"/>
      <c r="J228" s="1055"/>
      <c r="K228" s="1055"/>
      <c r="L228" s="1055"/>
      <c r="M228" s="1055"/>
      <c r="N228" s="1056"/>
      <c r="O228" s="1057"/>
    </row>
    <row r="229" spans="1:15" s="1065" customFormat="1" ht="15">
      <c r="A229" s="1194">
        <v>222</v>
      </c>
      <c r="B229" s="1059"/>
      <c r="C229" s="1052"/>
      <c r="D229" s="1051" t="s">
        <v>635</v>
      </c>
      <c r="E229" s="1060"/>
      <c r="F229" s="1061"/>
      <c r="G229" s="1061"/>
      <c r="H229" s="1082"/>
      <c r="I229" s="1062">
        <f t="shared" si="3"/>
        <v>11000</v>
      </c>
      <c r="J229" s="1063"/>
      <c r="K229" s="1063"/>
      <c r="L229" s="1063"/>
      <c r="M229" s="1063">
        <v>11000</v>
      </c>
      <c r="N229" s="1064"/>
      <c r="O229" s="1058">
        <f>SUM(J229:N229)-I229</f>
        <v>0</v>
      </c>
    </row>
    <row r="230" spans="1:15" s="1074" customFormat="1" ht="15">
      <c r="A230" s="1194">
        <v>223</v>
      </c>
      <c r="B230" s="1066"/>
      <c r="C230" s="1199"/>
      <c r="D230" s="1067" t="s">
        <v>636</v>
      </c>
      <c r="E230" s="1068"/>
      <c r="F230" s="1069"/>
      <c r="G230" s="1069"/>
      <c r="H230" s="1083"/>
      <c r="I230" s="1070">
        <f t="shared" si="3"/>
        <v>0</v>
      </c>
      <c r="J230" s="1071"/>
      <c r="K230" s="1071"/>
      <c r="L230" s="1071"/>
      <c r="M230" s="1071"/>
      <c r="N230" s="1072"/>
      <c r="O230" s="1073"/>
    </row>
    <row r="231" spans="1:15" s="1079" customFormat="1" ht="15">
      <c r="A231" s="1194">
        <v>224</v>
      </c>
      <c r="B231" s="1075"/>
      <c r="C231" s="1198"/>
      <c r="D231" s="1076" t="s">
        <v>637</v>
      </c>
      <c r="E231" s="1077"/>
      <c r="F231" s="1078"/>
      <c r="G231" s="1078"/>
      <c r="H231" s="1080"/>
      <c r="I231" s="1054">
        <f t="shared" si="3"/>
        <v>11000</v>
      </c>
      <c r="J231" s="1055">
        <f>SUM(J229:J230)</f>
        <v>0</v>
      </c>
      <c r="K231" s="1055">
        <f>SUM(K229:K230)</f>
        <v>0</v>
      </c>
      <c r="L231" s="1055">
        <f>SUM(L229:L230)</f>
        <v>0</v>
      </c>
      <c r="M231" s="1055">
        <f>SUM(M229:M230)</f>
        <v>11000</v>
      </c>
      <c r="N231" s="1056">
        <f>SUM(N229:N230)</f>
        <v>0</v>
      </c>
      <c r="O231" s="1057"/>
    </row>
    <row r="232" spans="1:15" s="1058" customFormat="1" ht="15">
      <c r="A232" s="1194">
        <v>225</v>
      </c>
      <c r="B232" s="1050"/>
      <c r="C232" s="1052">
        <v>40</v>
      </c>
      <c r="D232" s="1051" t="s">
        <v>572</v>
      </c>
      <c r="E232" s="1052" t="s">
        <v>31</v>
      </c>
      <c r="F232" s="1053">
        <v>2604</v>
      </c>
      <c r="G232" s="1053">
        <v>3000</v>
      </c>
      <c r="H232" s="1081">
        <v>1547</v>
      </c>
      <c r="I232" s="1054"/>
      <c r="J232" s="1055"/>
      <c r="K232" s="1055"/>
      <c r="L232" s="1055"/>
      <c r="M232" s="1055"/>
      <c r="N232" s="1056"/>
      <c r="O232" s="1057"/>
    </row>
    <row r="233" spans="1:15" s="1065" customFormat="1" ht="15">
      <c r="A233" s="1194">
        <v>226</v>
      </c>
      <c r="B233" s="1059"/>
      <c r="C233" s="1052"/>
      <c r="D233" s="1051" t="s">
        <v>635</v>
      </c>
      <c r="E233" s="1060"/>
      <c r="F233" s="1061"/>
      <c r="G233" s="1061"/>
      <c r="H233" s="1082"/>
      <c r="I233" s="1062">
        <f t="shared" si="3"/>
        <v>2000</v>
      </c>
      <c r="J233" s="1063"/>
      <c r="K233" s="1063"/>
      <c r="L233" s="1063"/>
      <c r="M233" s="1063">
        <v>2000</v>
      </c>
      <c r="N233" s="1064"/>
      <c r="O233" s="1058">
        <f>SUM(J233:N233)-I233</f>
        <v>0</v>
      </c>
    </row>
    <row r="234" spans="1:15" s="1074" customFormat="1" ht="15">
      <c r="A234" s="1194">
        <v>227</v>
      </c>
      <c r="B234" s="1066"/>
      <c r="C234" s="1199"/>
      <c r="D234" s="1067" t="s">
        <v>636</v>
      </c>
      <c r="E234" s="1068"/>
      <c r="F234" s="1069"/>
      <c r="G234" s="1069"/>
      <c r="H234" s="1083"/>
      <c r="I234" s="1070">
        <f t="shared" si="3"/>
        <v>0</v>
      </c>
      <c r="J234" s="1071"/>
      <c r="K234" s="1071"/>
      <c r="L234" s="1071"/>
      <c r="M234" s="1071"/>
      <c r="N234" s="1072"/>
      <c r="O234" s="1073"/>
    </row>
    <row r="235" spans="1:15" s="1079" customFormat="1" ht="15">
      <c r="A235" s="1194">
        <v>228</v>
      </c>
      <c r="B235" s="1075"/>
      <c r="C235" s="1198"/>
      <c r="D235" s="1076" t="s">
        <v>637</v>
      </c>
      <c r="E235" s="1077"/>
      <c r="F235" s="1078"/>
      <c r="G235" s="1078"/>
      <c r="H235" s="1080"/>
      <c r="I235" s="1054">
        <f t="shared" si="3"/>
        <v>2000</v>
      </c>
      <c r="J235" s="1055">
        <f>SUM(J233:J234)</f>
        <v>0</v>
      </c>
      <c r="K235" s="1055">
        <f>SUM(K233:K234)</f>
        <v>0</v>
      </c>
      <c r="L235" s="1055">
        <f>SUM(L233:L234)</f>
        <v>0</v>
      </c>
      <c r="M235" s="1055">
        <f>SUM(M233:M234)</f>
        <v>2000</v>
      </c>
      <c r="N235" s="1056">
        <f>SUM(N233:N234)</f>
        <v>0</v>
      </c>
      <c r="O235" s="1057"/>
    </row>
    <row r="236" spans="1:15" s="1058" customFormat="1" ht="15">
      <c r="A236" s="1194">
        <v>229</v>
      </c>
      <c r="B236" s="1050"/>
      <c r="C236" s="1052">
        <v>41</v>
      </c>
      <c r="D236" s="1051" t="s">
        <v>563</v>
      </c>
      <c r="E236" s="1052" t="s">
        <v>31</v>
      </c>
      <c r="F236" s="1053">
        <v>4905</v>
      </c>
      <c r="G236" s="1053"/>
      <c r="H236" s="1081"/>
      <c r="I236" s="1054"/>
      <c r="J236" s="1055"/>
      <c r="K236" s="1055"/>
      <c r="L236" s="1055"/>
      <c r="M236" s="1055"/>
      <c r="N236" s="1056"/>
      <c r="O236" s="1057"/>
    </row>
    <row r="237" spans="1:15" s="1065" customFormat="1" ht="15">
      <c r="A237" s="1194">
        <v>230</v>
      </c>
      <c r="B237" s="1059"/>
      <c r="C237" s="1052"/>
      <c r="D237" s="1051" t="s">
        <v>635</v>
      </c>
      <c r="E237" s="1060"/>
      <c r="F237" s="1061"/>
      <c r="G237" s="1061"/>
      <c r="H237" s="1082"/>
      <c r="I237" s="1062">
        <f t="shared" si="3"/>
        <v>0</v>
      </c>
      <c r="J237" s="1063"/>
      <c r="K237" s="1063"/>
      <c r="L237" s="1063"/>
      <c r="M237" s="1063"/>
      <c r="N237" s="1064"/>
      <c r="O237" s="1058">
        <f>SUM(J237:N237)-I237</f>
        <v>0</v>
      </c>
    </row>
    <row r="238" spans="1:15" s="1074" customFormat="1" ht="15">
      <c r="A238" s="1194">
        <v>231</v>
      </c>
      <c r="B238" s="1066"/>
      <c r="C238" s="1199"/>
      <c r="D238" s="1067" t="s">
        <v>636</v>
      </c>
      <c r="E238" s="1068"/>
      <c r="F238" s="1069"/>
      <c r="G238" s="1069"/>
      <c r="H238" s="1083"/>
      <c r="I238" s="1070">
        <f t="shared" si="3"/>
        <v>0</v>
      </c>
      <c r="J238" s="1071"/>
      <c r="K238" s="1071"/>
      <c r="L238" s="1071"/>
      <c r="M238" s="1071"/>
      <c r="N238" s="1072"/>
      <c r="O238" s="1073"/>
    </row>
    <row r="239" spans="1:15" s="1079" customFormat="1" ht="15">
      <c r="A239" s="1194">
        <v>232</v>
      </c>
      <c r="B239" s="1075"/>
      <c r="C239" s="1198"/>
      <c r="D239" s="1076" t="s">
        <v>637</v>
      </c>
      <c r="E239" s="1077"/>
      <c r="F239" s="1078"/>
      <c r="G239" s="1078"/>
      <c r="H239" s="1080"/>
      <c r="I239" s="1054">
        <f t="shared" si="3"/>
        <v>0</v>
      </c>
      <c r="J239" s="1055">
        <f>SUM(J237:J238)</f>
        <v>0</v>
      </c>
      <c r="K239" s="1055">
        <f>SUM(K237:K238)</f>
        <v>0</v>
      </c>
      <c r="L239" s="1055">
        <f>SUM(L237:L238)</f>
        <v>0</v>
      </c>
      <c r="M239" s="1055">
        <f>SUM(M237:M238)</f>
        <v>0</v>
      </c>
      <c r="N239" s="1056">
        <f>SUM(N237:N238)</f>
        <v>0</v>
      </c>
      <c r="O239" s="1057"/>
    </row>
    <row r="240" spans="1:15" s="1058" customFormat="1" ht="15">
      <c r="A240" s="1194">
        <v>233</v>
      </c>
      <c r="B240" s="1050"/>
      <c r="C240" s="1052">
        <v>42</v>
      </c>
      <c r="D240" s="1051" t="s">
        <v>573</v>
      </c>
      <c r="E240" s="1052" t="s">
        <v>31</v>
      </c>
      <c r="F240" s="1053">
        <v>12688</v>
      </c>
      <c r="G240" s="1053"/>
      <c r="H240" s="1081"/>
      <c r="I240" s="1054"/>
      <c r="J240" s="1055"/>
      <c r="K240" s="1055"/>
      <c r="L240" s="1055"/>
      <c r="M240" s="1055"/>
      <c r="N240" s="1056"/>
      <c r="O240" s="1057"/>
    </row>
    <row r="241" spans="1:15" s="1065" customFormat="1" ht="15">
      <c r="A241" s="1194">
        <v>234</v>
      </c>
      <c r="B241" s="1059"/>
      <c r="C241" s="1052"/>
      <c r="D241" s="1051" t="s">
        <v>635</v>
      </c>
      <c r="E241" s="1060"/>
      <c r="F241" s="1061"/>
      <c r="G241" s="1061"/>
      <c r="H241" s="1082"/>
      <c r="I241" s="1062">
        <f t="shared" si="3"/>
        <v>0</v>
      </c>
      <c r="J241" s="1063"/>
      <c r="K241" s="1063"/>
      <c r="L241" s="1063"/>
      <c r="M241" s="1063"/>
      <c r="N241" s="1064"/>
      <c r="O241" s="1058">
        <f>SUM(J241:N241)-I241</f>
        <v>0</v>
      </c>
    </row>
    <row r="242" spans="1:15" s="1074" customFormat="1" ht="15">
      <c r="A242" s="1194">
        <v>235</v>
      </c>
      <c r="B242" s="1066"/>
      <c r="C242" s="1199"/>
      <c r="D242" s="1067" t="s">
        <v>636</v>
      </c>
      <c r="E242" s="1068"/>
      <c r="F242" s="1069"/>
      <c r="G242" s="1069"/>
      <c r="H242" s="1083"/>
      <c r="I242" s="1070">
        <f t="shared" si="3"/>
        <v>0</v>
      </c>
      <c r="J242" s="1071"/>
      <c r="K242" s="1071"/>
      <c r="L242" s="1071"/>
      <c r="M242" s="1071"/>
      <c r="N242" s="1072"/>
      <c r="O242" s="1073"/>
    </row>
    <row r="243" spans="1:15" s="1079" customFormat="1" ht="15">
      <c r="A243" s="1194">
        <v>236</v>
      </c>
      <c r="B243" s="1075"/>
      <c r="C243" s="1198"/>
      <c r="D243" s="1076" t="s">
        <v>637</v>
      </c>
      <c r="E243" s="1077"/>
      <c r="F243" s="1078"/>
      <c r="G243" s="1078"/>
      <c r="H243" s="1080"/>
      <c r="I243" s="1054">
        <f t="shared" si="3"/>
        <v>0</v>
      </c>
      <c r="J243" s="1055">
        <f>SUM(J241:J242)</f>
        <v>0</v>
      </c>
      <c r="K243" s="1055">
        <f>SUM(K241:K242)</f>
        <v>0</v>
      </c>
      <c r="L243" s="1055">
        <f>SUM(L241:L242)</f>
        <v>0</v>
      </c>
      <c r="M243" s="1055">
        <f>SUM(M241:M242)</f>
        <v>0</v>
      </c>
      <c r="N243" s="1056">
        <f>SUM(N241:N242)</f>
        <v>0</v>
      </c>
      <c r="O243" s="1057"/>
    </row>
    <row r="244" spans="1:15" s="1058" customFormat="1" ht="15">
      <c r="A244" s="1194">
        <v>237</v>
      </c>
      <c r="B244" s="1050"/>
      <c r="C244" s="1052">
        <v>43</v>
      </c>
      <c r="D244" s="1051" t="s">
        <v>574</v>
      </c>
      <c r="E244" s="1052" t="s">
        <v>31</v>
      </c>
      <c r="F244" s="1053"/>
      <c r="G244" s="1053">
        <v>28000</v>
      </c>
      <c r="H244" s="1081">
        <v>15878</v>
      </c>
      <c r="I244" s="1054"/>
      <c r="J244" s="1055"/>
      <c r="K244" s="1055"/>
      <c r="L244" s="1055"/>
      <c r="M244" s="1055"/>
      <c r="N244" s="1056"/>
      <c r="O244" s="1057"/>
    </row>
    <row r="245" spans="1:15" s="1065" customFormat="1" ht="15">
      <c r="A245" s="1194">
        <v>238</v>
      </c>
      <c r="B245" s="1059"/>
      <c r="C245" s="1052"/>
      <c r="D245" s="1051" t="s">
        <v>635</v>
      </c>
      <c r="E245" s="1060"/>
      <c r="F245" s="1061"/>
      <c r="G245" s="1061"/>
      <c r="H245" s="1082"/>
      <c r="I245" s="1062">
        <f t="shared" si="3"/>
        <v>12000</v>
      </c>
      <c r="J245" s="1063"/>
      <c r="K245" s="1063"/>
      <c r="L245" s="1063"/>
      <c r="M245" s="1063">
        <v>12000</v>
      </c>
      <c r="N245" s="1064"/>
      <c r="O245" s="1058">
        <f>SUM(J245:N245)-I245</f>
        <v>0</v>
      </c>
    </row>
    <row r="246" spans="1:15" s="1074" customFormat="1" ht="15">
      <c r="A246" s="1194">
        <v>239</v>
      </c>
      <c r="B246" s="1066"/>
      <c r="C246" s="1199"/>
      <c r="D246" s="1067" t="s">
        <v>636</v>
      </c>
      <c r="E246" s="1068"/>
      <c r="F246" s="1069"/>
      <c r="G246" s="1069"/>
      <c r="H246" s="1083"/>
      <c r="I246" s="1070">
        <f t="shared" si="3"/>
        <v>0</v>
      </c>
      <c r="J246" s="1071"/>
      <c r="K246" s="1071"/>
      <c r="L246" s="1071"/>
      <c r="M246" s="1071"/>
      <c r="N246" s="1072"/>
      <c r="O246" s="1073"/>
    </row>
    <row r="247" spans="1:15" s="1079" customFormat="1" ht="15">
      <c r="A247" s="1194">
        <v>240</v>
      </c>
      <c r="B247" s="1075"/>
      <c r="C247" s="1198"/>
      <c r="D247" s="1076" t="s">
        <v>637</v>
      </c>
      <c r="E247" s="1077"/>
      <c r="F247" s="1078"/>
      <c r="G247" s="1078"/>
      <c r="H247" s="1080"/>
      <c r="I247" s="1054">
        <f t="shared" si="3"/>
        <v>12000</v>
      </c>
      <c r="J247" s="1055">
        <f>SUM(J245:J246)</f>
        <v>0</v>
      </c>
      <c r="K247" s="1055">
        <f>SUM(K245:K246)</f>
        <v>0</v>
      </c>
      <c r="L247" s="1055">
        <f>SUM(L245:L246)</f>
        <v>0</v>
      </c>
      <c r="M247" s="1055">
        <f>SUM(M245:M246)</f>
        <v>12000</v>
      </c>
      <c r="N247" s="1056">
        <f>SUM(N245:N246)</f>
        <v>0</v>
      </c>
      <c r="O247" s="1057"/>
    </row>
    <row r="248" spans="1:15" s="1058" customFormat="1" ht="15">
      <c r="A248" s="1194">
        <v>241</v>
      </c>
      <c r="B248" s="1050"/>
      <c r="C248" s="1052">
        <v>44</v>
      </c>
      <c r="D248" s="1051" t="s">
        <v>251</v>
      </c>
      <c r="E248" s="1052" t="s">
        <v>31</v>
      </c>
      <c r="F248" s="1053"/>
      <c r="G248" s="1053">
        <v>1000</v>
      </c>
      <c r="H248" s="1081">
        <v>773</v>
      </c>
      <c r="I248" s="1054"/>
      <c r="J248" s="1055"/>
      <c r="K248" s="1055"/>
      <c r="L248" s="1055"/>
      <c r="M248" s="1055"/>
      <c r="N248" s="1056"/>
      <c r="O248" s="1057"/>
    </row>
    <row r="249" spans="1:15" s="1065" customFormat="1" ht="15">
      <c r="A249" s="1194">
        <v>242</v>
      </c>
      <c r="B249" s="1059"/>
      <c r="C249" s="1052"/>
      <c r="D249" s="1051" t="s">
        <v>635</v>
      </c>
      <c r="E249" s="1060"/>
      <c r="F249" s="1061"/>
      <c r="G249" s="1061"/>
      <c r="H249" s="1082"/>
      <c r="I249" s="1062">
        <f t="shared" si="3"/>
        <v>4800</v>
      </c>
      <c r="J249" s="1063"/>
      <c r="K249" s="1063"/>
      <c r="L249" s="1063"/>
      <c r="M249" s="1063">
        <v>4800</v>
      </c>
      <c r="N249" s="1064"/>
      <c r="O249" s="1058">
        <f>SUM(J249:N249)-I249</f>
        <v>0</v>
      </c>
    </row>
    <row r="250" spans="1:15" s="1074" customFormat="1" ht="15">
      <c r="A250" s="1194">
        <v>243</v>
      </c>
      <c r="B250" s="1066"/>
      <c r="C250" s="1199"/>
      <c r="D250" s="1067" t="s">
        <v>636</v>
      </c>
      <c r="E250" s="1068"/>
      <c r="F250" s="1069"/>
      <c r="G250" s="1069"/>
      <c r="H250" s="1083"/>
      <c r="I250" s="1070">
        <f t="shared" si="3"/>
        <v>0</v>
      </c>
      <c r="J250" s="1071"/>
      <c r="K250" s="1071"/>
      <c r="L250" s="1071"/>
      <c r="M250" s="1071"/>
      <c r="N250" s="1072"/>
      <c r="O250" s="1073"/>
    </row>
    <row r="251" spans="1:15" s="1079" customFormat="1" ht="15">
      <c r="A251" s="1194">
        <v>244</v>
      </c>
      <c r="B251" s="1075"/>
      <c r="C251" s="1198"/>
      <c r="D251" s="1076" t="s">
        <v>637</v>
      </c>
      <c r="E251" s="1077"/>
      <c r="F251" s="1078"/>
      <c r="G251" s="1078"/>
      <c r="H251" s="1080"/>
      <c r="I251" s="1054">
        <f t="shared" si="3"/>
        <v>4800</v>
      </c>
      <c r="J251" s="1055">
        <f>SUM(J249:J250)</f>
        <v>0</v>
      </c>
      <c r="K251" s="1055">
        <f>SUM(K249:K250)</f>
        <v>0</v>
      </c>
      <c r="L251" s="1055">
        <f>SUM(L249:L250)</f>
        <v>0</v>
      </c>
      <c r="M251" s="1055">
        <f>SUM(M249:M250)</f>
        <v>4800</v>
      </c>
      <c r="N251" s="1056">
        <f>SUM(N249:N250)</f>
        <v>0</v>
      </c>
      <c r="O251" s="1057"/>
    </row>
    <row r="252" spans="1:15" s="1058" customFormat="1" ht="15">
      <c r="A252" s="1194">
        <v>245</v>
      </c>
      <c r="B252" s="1050"/>
      <c r="C252" s="1052">
        <v>45</v>
      </c>
      <c r="D252" s="1051" t="s">
        <v>252</v>
      </c>
      <c r="E252" s="1052" t="s">
        <v>31</v>
      </c>
      <c r="F252" s="1053">
        <v>16993</v>
      </c>
      <c r="G252" s="1053">
        <v>46400</v>
      </c>
      <c r="H252" s="1081">
        <v>57444</v>
      </c>
      <c r="I252" s="1054"/>
      <c r="J252" s="1055"/>
      <c r="K252" s="1055"/>
      <c r="L252" s="1055"/>
      <c r="M252" s="1055"/>
      <c r="N252" s="1056"/>
      <c r="O252" s="1057"/>
    </row>
    <row r="253" spans="1:15" s="1065" customFormat="1" ht="15">
      <c r="A253" s="1194">
        <v>246</v>
      </c>
      <c r="B253" s="1059"/>
      <c r="C253" s="1052"/>
      <c r="D253" s="1051" t="s">
        <v>635</v>
      </c>
      <c r="E253" s="1060"/>
      <c r="F253" s="1061"/>
      <c r="G253" s="1061"/>
      <c r="H253" s="1082"/>
      <c r="I253" s="1062">
        <f t="shared" si="3"/>
        <v>16332</v>
      </c>
      <c r="J253" s="1063">
        <v>14389</v>
      </c>
      <c r="K253" s="1063">
        <v>1943</v>
      </c>
      <c r="L253" s="1063"/>
      <c r="M253" s="1063"/>
      <c r="N253" s="1064"/>
      <c r="O253" s="1058">
        <f>SUM(J253:N253)-I253</f>
        <v>0</v>
      </c>
    </row>
    <row r="254" spans="1:15" s="1074" customFormat="1" ht="15">
      <c r="A254" s="1194">
        <v>247</v>
      </c>
      <c r="B254" s="1066"/>
      <c r="C254" s="1199"/>
      <c r="D254" s="1067" t="s">
        <v>707</v>
      </c>
      <c r="E254" s="1068"/>
      <c r="F254" s="1069"/>
      <c r="G254" s="1069"/>
      <c r="H254" s="1083"/>
      <c r="I254" s="1070">
        <f t="shared" si="3"/>
        <v>659</v>
      </c>
      <c r="J254" s="1071">
        <v>659</v>
      </c>
      <c r="K254" s="1071"/>
      <c r="L254" s="1071"/>
      <c r="M254" s="1071"/>
      <c r="N254" s="1072"/>
      <c r="O254" s="1073"/>
    </row>
    <row r="255" spans="1:15" s="1079" customFormat="1" ht="15">
      <c r="A255" s="1194">
        <v>248</v>
      </c>
      <c r="B255" s="1075"/>
      <c r="C255" s="1198"/>
      <c r="D255" s="1076" t="s">
        <v>637</v>
      </c>
      <c r="E255" s="1077"/>
      <c r="F255" s="1078"/>
      <c r="G255" s="1078"/>
      <c r="H255" s="1080"/>
      <c r="I255" s="1054">
        <f t="shared" si="3"/>
        <v>16991</v>
      </c>
      <c r="J255" s="1055">
        <f>SUM(J253:J254)</f>
        <v>15048</v>
      </c>
      <c r="K255" s="1055">
        <f>SUM(K253:K254)</f>
        <v>1943</v>
      </c>
      <c r="L255" s="1055">
        <f>SUM(L253:L254)</f>
        <v>0</v>
      </c>
      <c r="M255" s="1055">
        <f>SUM(M253:M254)</f>
        <v>0</v>
      </c>
      <c r="N255" s="1056">
        <f>SUM(N253:N254)</f>
        <v>0</v>
      </c>
      <c r="O255" s="1057"/>
    </row>
    <row r="256" spans="1:15" s="1065" customFormat="1" ht="19.5" customHeight="1">
      <c r="A256" s="1194">
        <v>249</v>
      </c>
      <c r="B256" s="1204"/>
      <c r="C256" s="1205">
        <v>46</v>
      </c>
      <c r="D256" s="82" t="s">
        <v>253</v>
      </c>
      <c r="E256" s="1205" t="s">
        <v>33</v>
      </c>
      <c r="F256" s="1206"/>
      <c r="G256" s="1206"/>
      <c r="H256" s="1207"/>
      <c r="I256" s="1054"/>
      <c r="J256" s="1055"/>
      <c r="K256" s="1055"/>
      <c r="L256" s="1055"/>
      <c r="M256" s="1055"/>
      <c r="N256" s="1056"/>
      <c r="O256" s="1079"/>
    </row>
    <row r="257" spans="1:15" s="1065" customFormat="1" ht="16.5">
      <c r="A257" s="1194">
        <v>250</v>
      </c>
      <c r="B257" s="1059"/>
      <c r="C257" s="1052"/>
      <c r="D257" s="72" t="s">
        <v>635</v>
      </c>
      <c r="E257" s="1060"/>
      <c r="F257" s="1061"/>
      <c r="G257" s="1061"/>
      <c r="H257" s="1082"/>
      <c r="I257" s="1062">
        <f t="shared" si="3"/>
        <v>5000</v>
      </c>
      <c r="J257" s="1063"/>
      <c r="K257" s="1063"/>
      <c r="L257" s="1063"/>
      <c r="M257" s="1063">
        <v>5000</v>
      </c>
      <c r="N257" s="1064"/>
      <c r="O257" s="1058">
        <f>SUM(J257:N257)-I257</f>
        <v>0</v>
      </c>
    </row>
    <row r="258" spans="1:15" s="1074" customFormat="1" ht="17.25">
      <c r="A258" s="1194">
        <v>251</v>
      </c>
      <c r="B258" s="1066"/>
      <c r="C258" s="1199"/>
      <c r="D258" s="80" t="s">
        <v>636</v>
      </c>
      <c r="E258" s="1068"/>
      <c r="F258" s="1069"/>
      <c r="G258" s="1069"/>
      <c r="H258" s="1083"/>
      <c r="I258" s="1070">
        <f t="shared" si="3"/>
        <v>0</v>
      </c>
      <c r="J258" s="1071"/>
      <c r="K258" s="1071"/>
      <c r="L258" s="1071"/>
      <c r="M258" s="1071"/>
      <c r="N258" s="1072"/>
      <c r="O258" s="1073"/>
    </row>
    <row r="259" spans="1:15" s="1079" customFormat="1" ht="17.25">
      <c r="A259" s="1194">
        <v>252</v>
      </c>
      <c r="B259" s="1075"/>
      <c r="C259" s="1198"/>
      <c r="D259" s="865" t="s">
        <v>637</v>
      </c>
      <c r="E259" s="1077"/>
      <c r="F259" s="1078"/>
      <c r="G259" s="1078"/>
      <c r="H259" s="1080"/>
      <c r="I259" s="1054">
        <f t="shared" si="3"/>
        <v>5000</v>
      </c>
      <c r="J259" s="1055">
        <f>SUM(J257:J258)</f>
        <v>0</v>
      </c>
      <c r="K259" s="1055">
        <f>SUM(K257:K258)</f>
        <v>0</v>
      </c>
      <c r="L259" s="1055">
        <f>SUM(L257:L258)</f>
        <v>0</v>
      </c>
      <c r="M259" s="1055">
        <f>SUM(M257:M258)</f>
        <v>5000</v>
      </c>
      <c r="N259" s="1056">
        <f>SUM(N257:N258)</f>
        <v>0</v>
      </c>
      <c r="O259" s="1057"/>
    </row>
    <row r="260" spans="1:15" s="1065" customFormat="1" ht="19.5" customHeight="1">
      <c r="A260" s="1194">
        <v>253</v>
      </c>
      <c r="B260" s="1204"/>
      <c r="C260" s="1205">
        <v>47</v>
      </c>
      <c r="D260" s="82" t="s">
        <v>254</v>
      </c>
      <c r="E260" s="1205" t="s">
        <v>33</v>
      </c>
      <c r="F260" s="1206"/>
      <c r="G260" s="1206">
        <v>500</v>
      </c>
      <c r="H260" s="1207"/>
      <c r="I260" s="1054"/>
      <c r="J260" s="1055"/>
      <c r="K260" s="1055"/>
      <c r="L260" s="1055"/>
      <c r="M260" s="1055"/>
      <c r="N260" s="1056"/>
      <c r="O260" s="1079"/>
    </row>
    <row r="261" spans="1:15" s="56" customFormat="1" ht="16.5">
      <c r="A261" s="1194">
        <v>254</v>
      </c>
      <c r="B261" s="854"/>
      <c r="C261" s="71"/>
      <c r="D261" s="72" t="s">
        <v>635</v>
      </c>
      <c r="E261" s="855"/>
      <c r="F261" s="856"/>
      <c r="G261" s="856"/>
      <c r="H261" s="857"/>
      <c r="I261" s="874">
        <f t="shared" si="3"/>
        <v>500</v>
      </c>
      <c r="J261" s="84"/>
      <c r="K261" s="84"/>
      <c r="L261" s="84"/>
      <c r="M261" s="84">
        <v>500</v>
      </c>
      <c r="N261" s="85"/>
      <c r="O261" s="63">
        <f>SUM(J261:N261)-I261</f>
        <v>0</v>
      </c>
    </row>
    <row r="262" spans="1:15" s="862" customFormat="1" ht="17.25">
      <c r="A262" s="1194">
        <v>255</v>
      </c>
      <c r="B262" s="858"/>
      <c r="C262" s="87"/>
      <c r="D262" s="80" t="s">
        <v>636</v>
      </c>
      <c r="E262" s="859"/>
      <c r="F262" s="860"/>
      <c r="G262" s="860"/>
      <c r="H262" s="861"/>
      <c r="I262" s="875">
        <f t="shared" si="3"/>
        <v>0</v>
      </c>
      <c r="J262" s="1018"/>
      <c r="K262" s="1018"/>
      <c r="L262" s="1018"/>
      <c r="M262" s="1018"/>
      <c r="N262" s="1019"/>
      <c r="O262" s="86"/>
    </row>
    <row r="263" spans="1:15" s="1110" customFormat="1" ht="17.25">
      <c r="A263" s="1194">
        <v>256</v>
      </c>
      <c r="B263" s="863"/>
      <c r="C263" s="864"/>
      <c r="D263" s="865" t="s">
        <v>637</v>
      </c>
      <c r="E263" s="866"/>
      <c r="F263" s="867"/>
      <c r="G263" s="867"/>
      <c r="H263" s="868"/>
      <c r="I263" s="550">
        <f t="shared" si="3"/>
        <v>500</v>
      </c>
      <c r="J263" s="1020">
        <f>SUM(J261:J262)</f>
        <v>0</v>
      </c>
      <c r="K263" s="1020">
        <f>SUM(K261:K262)</f>
        <v>0</v>
      </c>
      <c r="L263" s="1020">
        <f>SUM(L261:L262)</f>
        <v>0</v>
      </c>
      <c r="M263" s="1020">
        <f>SUM(M261:M262)</f>
        <v>500</v>
      </c>
      <c r="N263" s="1021">
        <f>SUM(N261:N262)</f>
        <v>0</v>
      </c>
      <c r="O263" s="586"/>
    </row>
    <row r="264" spans="1:15" s="1065" customFormat="1" ht="19.5" customHeight="1">
      <c r="A264" s="1194">
        <v>257</v>
      </c>
      <c r="B264" s="1204"/>
      <c r="C264" s="1205">
        <v>48</v>
      </c>
      <c r="D264" s="82" t="s">
        <v>255</v>
      </c>
      <c r="E264" s="1205" t="s">
        <v>31</v>
      </c>
      <c r="F264" s="1206"/>
      <c r="G264" s="1206"/>
      <c r="H264" s="1207"/>
      <c r="I264" s="1054"/>
      <c r="J264" s="1055"/>
      <c r="K264" s="1055"/>
      <c r="L264" s="1055"/>
      <c r="M264" s="1055"/>
      <c r="N264" s="1056"/>
      <c r="O264" s="1079"/>
    </row>
    <row r="265" spans="1:15" s="56" customFormat="1" ht="16.5">
      <c r="A265" s="1194">
        <v>258</v>
      </c>
      <c r="B265" s="854"/>
      <c r="C265" s="71"/>
      <c r="D265" s="72" t="s">
        <v>635</v>
      </c>
      <c r="E265" s="855"/>
      <c r="F265" s="856"/>
      <c r="G265" s="856"/>
      <c r="H265" s="857"/>
      <c r="I265" s="874">
        <f t="shared" si="3"/>
        <v>18660</v>
      </c>
      <c r="J265" s="84"/>
      <c r="K265" s="84"/>
      <c r="L265" s="84"/>
      <c r="M265" s="84">
        <v>18660</v>
      </c>
      <c r="N265" s="85"/>
      <c r="O265" s="63">
        <f>SUM(J265:N265)-I265</f>
        <v>0</v>
      </c>
    </row>
    <row r="266" spans="1:15" s="862" customFormat="1" ht="17.25">
      <c r="A266" s="1194">
        <v>259</v>
      </c>
      <c r="B266" s="858"/>
      <c r="C266" s="87"/>
      <c r="D266" s="80" t="s">
        <v>636</v>
      </c>
      <c r="E266" s="859"/>
      <c r="F266" s="860"/>
      <c r="G266" s="860"/>
      <c r="H266" s="861"/>
      <c r="I266" s="875">
        <f t="shared" si="3"/>
        <v>0</v>
      </c>
      <c r="J266" s="1018"/>
      <c r="K266" s="1018"/>
      <c r="L266" s="1018"/>
      <c r="M266" s="1018"/>
      <c r="N266" s="1019"/>
      <c r="O266" s="86"/>
    </row>
    <row r="267" spans="1:15" s="1110" customFormat="1" ht="17.25">
      <c r="A267" s="1194">
        <v>260</v>
      </c>
      <c r="B267" s="863"/>
      <c r="C267" s="864"/>
      <c r="D267" s="865" t="s">
        <v>637</v>
      </c>
      <c r="E267" s="866"/>
      <c r="F267" s="867"/>
      <c r="G267" s="867"/>
      <c r="H267" s="868"/>
      <c r="I267" s="550">
        <f t="shared" si="3"/>
        <v>18660</v>
      </c>
      <c r="J267" s="1020">
        <f>SUM(J265:J266)</f>
        <v>0</v>
      </c>
      <c r="K267" s="1020">
        <f>SUM(K265:K266)</f>
        <v>0</v>
      </c>
      <c r="L267" s="1020">
        <f>SUM(L265:L266)</f>
        <v>0</v>
      </c>
      <c r="M267" s="1020">
        <f>SUM(M265:M266)</f>
        <v>18660</v>
      </c>
      <c r="N267" s="1021">
        <f>SUM(N265:N266)</f>
        <v>0</v>
      </c>
      <c r="O267" s="586"/>
    </row>
    <row r="268" spans="1:15" s="1065" customFormat="1" ht="16.5">
      <c r="A268" s="1194">
        <v>261</v>
      </c>
      <c r="B268" s="1204"/>
      <c r="C268" s="1205">
        <v>49</v>
      </c>
      <c r="D268" s="82" t="s">
        <v>256</v>
      </c>
      <c r="E268" s="1205" t="s">
        <v>31</v>
      </c>
      <c r="F268" s="1206">
        <v>10000</v>
      </c>
      <c r="G268" s="1206">
        <v>11000</v>
      </c>
      <c r="H268" s="1207">
        <v>11000</v>
      </c>
      <c r="I268" s="1054"/>
      <c r="J268" s="1055"/>
      <c r="K268" s="1055"/>
      <c r="L268" s="1055"/>
      <c r="M268" s="1055"/>
      <c r="N268" s="1056"/>
      <c r="O268" s="1079"/>
    </row>
    <row r="269" spans="1:15" s="56" customFormat="1" ht="16.5">
      <c r="A269" s="1194">
        <v>262</v>
      </c>
      <c r="B269" s="854"/>
      <c r="C269" s="71"/>
      <c r="D269" s="72" t="s">
        <v>635</v>
      </c>
      <c r="E269" s="855"/>
      <c r="F269" s="856"/>
      <c r="G269" s="856"/>
      <c r="H269" s="857"/>
      <c r="I269" s="874">
        <f t="shared" si="3"/>
        <v>11500</v>
      </c>
      <c r="J269" s="84"/>
      <c r="K269" s="84"/>
      <c r="L269" s="84"/>
      <c r="M269" s="84"/>
      <c r="N269" s="85">
        <v>11500</v>
      </c>
      <c r="O269" s="63">
        <f>SUM(J269:N269)-I269</f>
        <v>0</v>
      </c>
    </row>
    <row r="270" spans="1:15" s="862" customFormat="1" ht="17.25">
      <c r="A270" s="1194">
        <v>263</v>
      </c>
      <c r="B270" s="858"/>
      <c r="C270" s="87"/>
      <c r="D270" s="80" t="s">
        <v>636</v>
      </c>
      <c r="E270" s="859"/>
      <c r="F270" s="860"/>
      <c r="G270" s="860"/>
      <c r="H270" s="861"/>
      <c r="I270" s="875">
        <f t="shared" si="3"/>
        <v>0</v>
      </c>
      <c r="J270" s="1018"/>
      <c r="K270" s="1018"/>
      <c r="L270" s="1018"/>
      <c r="M270" s="1018"/>
      <c r="N270" s="1019"/>
      <c r="O270" s="86"/>
    </row>
    <row r="271" spans="1:15" s="1110" customFormat="1" ht="17.25">
      <c r="A271" s="1194">
        <v>264</v>
      </c>
      <c r="B271" s="863"/>
      <c r="C271" s="864"/>
      <c r="D271" s="865" t="s">
        <v>637</v>
      </c>
      <c r="E271" s="866"/>
      <c r="F271" s="867"/>
      <c r="G271" s="867"/>
      <c r="H271" s="868"/>
      <c r="I271" s="550">
        <f t="shared" si="3"/>
        <v>11500</v>
      </c>
      <c r="J271" s="1020">
        <f>SUM(J269:J270)</f>
        <v>0</v>
      </c>
      <c r="K271" s="1020">
        <f>SUM(K269:K270)</f>
        <v>0</v>
      </c>
      <c r="L271" s="1020">
        <f>SUM(L269:L270)</f>
        <v>0</v>
      </c>
      <c r="M271" s="1020">
        <f>SUM(M269:M270)</f>
        <v>0</v>
      </c>
      <c r="N271" s="1021">
        <f>SUM(N269:N270)</f>
        <v>11500</v>
      </c>
      <c r="O271" s="586"/>
    </row>
    <row r="272" spans="1:15" s="1065" customFormat="1" ht="16.5">
      <c r="A272" s="1194">
        <v>265</v>
      </c>
      <c r="B272" s="1204"/>
      <c r="C272" s="1205">
        <v>50</v>
      </c>
      <c r="D272" s="82" t="s">
        <v>257</v>
      </c>
      <c r="E272" s="1205" t="s">
        <v>31</v>
      </c>
      <c r="F272" s="1206">
        <v>54000</v>
      </c>
      <c r="G272" s="1206">
        <v>60000</v>
      </c>
      <c r="H272" s="1207">
        <v>60000</v>
      </c>
      <c r="I272" s="1054"/>
      <c r="J272" s="1055"/>
      <c r="K272" s="1055"/>
      <c r="L272" s="1055"/>
      <c r="M272" s="1055"/>
      <c r="N272" s="1056"/>
      <c r="O272" s="1079"/>
    </row>
    <row r="273" spans="1:15" s="56" customFormat="1" ht="16.5">
      <c r="A273" s="1194">
        <v>266</v>
      </c>
      <c r="B273" s="854"/>
      <c r="C273" s="71"/>
      <c r="D273" s="72" t="s">
        <v>635</v>
      </c>
      <c r="E273" s="855"/>
      <c r="F273" s="856"/>
      <c r="G273" s="856"/>
      <c r="H273" s="857"/>
      <c r="I273" s="874">
        <f t="shared" si="3"/>
        <v>60000</v>
      </c>
      <c r="J273" s="84"/>
      <c r="K273" s="84"/>
      <c r="L273" s="84"/>
      <c r="M273" s="84"/>
      <c r="N273" s="85">
        <v>60000</v>
      </c>
      <c r="O273" s="63">
        <f>SUM(J273:N273)-I273</f>
        <v>0</v>
      </c>
    </row>
    <row r="274" spans="1:15" s="862" customFormat="1" ht="17.25">
      <c r="A274" s="1194">
        <v>267</v>
      </c>
      <c r="B274" s="858"/>
      <c r="C274" s="87"/>
      <c r="D274" s="80" t="s">
        <v>636</v>
      </c>
      <c r="E274" s="859"/>
      <c r="F274" s="860"/>
      <c r="G274" s="860"/>
      <c r="H274" s="861"/>
      <c r="I274" s="875">
        <f t="shared" si="3"/>
        <v>0</v>
      </c>
      <c r="J274" s="1018"/>
      <c r="K274" s="1018"/>
      <c r="L274" s="1018"/>
      <c r="M274" s="1018"/>
      <c r="N274" s="1019"/>
      <c r="O274" s="86"/>
    </row>
    <row r="275" spans="1:15" s="1110" customFormat="1" ht="17.25">
      <c r="A275" s="1194">
        <v>268</v>
      </c>
      <c r="B275" s="863"/>
      <c r="C275" s="864"/>
      <c r="D275" s="865" t="s">
        <v>637</v>
      </c>
      <c r="E275" s="866"/>
      <c r="F275" s="867"/>
      <c r="G275" s="867"/>
      <c r="H275" s="868"/>
      <c r="I275" s="550">
        <f t="shared" si="3"/>
        <v>60000</v>
      </c>
      <c r="J275" s="1020">
        <f>SUM(J273:J274)</f>
        <v>0</v>
      </c>
      <c r="K275" s="1020">
        <f>SUM(K273:K274)</f>
        <v>0</v>
      </c>
      <c r="L275" s="1020">
        <f>SUM(L273:L274)</f>
        <v>0</v>
      </c>
      <c r="M275" s="1020">
        <f>SUM(M273:M274)</f>
        <v>0</v>
      </c>
      <c r="N275" s="1021">
        <f>SUM(N273:N274)</f>
        <v>60000</v>
      </c>
      <c r="O275" s="586"/>
    </row>
    <row r="276" spans="1:15" s="1065" customFormat="1" ht="16.5">
      <c r="A276" s="1194">
        <v>269</v>
      </c>
      <c r="B276" s="1204"/>
      <c r="C276" s="1205">
        <v>51</v>
      </c>
      <c r="D276" s="82" t="s">
        <v>258</v>
      </c>
      <c r="E276" s="1205" t="s">
        <v>31</v>
      </c>
      <c r="F276" s="1206">
        <v>201585</v>
      </c>
      <c r="G276" s="1206">
        <v>268213</v>
      </c>
      <c r="H276" s="1207">
        <v>294413</v>
      </c>
      <c r="I276" s="1054"/>
      <c r="J276" s="1055"/>
      <c r="K276" s="1055"/>
      <c r="L276" s="1055"/>
      <c r="M276" s="1055"/>
      <c r="N276" s="1056"/>
      <c r="O276" s="1079"/>
    </row>
    <row r="277" spans="1:15" s="56" customFormat="1" ht="16.5">
      <c r="A277" s="1194">
        <v>270</v>
      </c>
      <c r="B277" s="854"/>
      <c r="C277" s="71"/>
      <c r="D277" s="72" t="s">
        <v>635</v>
      </c>
      <c r="E277" s="855"/>
      <c r="F277" s="856"/>
      <c r="G277" s="856"/>
      <c r="H277" s="857"/>
      <c r="I277" s="874">
        <f t="shared" si="3"/>
        <v>275966</v>
      </c>
      <c r="J277" s="84"/>
      <c r="K277" s="84"/>
      <c r="L277" s="84"/>
      <c r="M277" s="84"/>
      <c r="N277" s="85">
        <v>275966</v>
      </c>
      <c r="O277" s="63">
        <f>SUM(J277:N277)-I277</f>
        <v>0</v>
      </c>
    </row>
    <row r="278" spans="1:15" s="862" customFormat="1" ht="17.25">
      <c r="A278" s="1194">
        <v>271</v>
      </c>
      <c r="B278" s="858"/>
      <c r="C278" s="87"/>
      <c r="D278" s="80" t="s">
        <v>686</v>
      </c>
      <c r="E278" s="859"/>
      <c r="F278" s="860"/>
      <c r="G278" s="860"/>
      <c r="H278" s="861"/>
      <c r="I278" s="875">
        <f t="shared" si="3"/>
        <v>2551</v>
      </c>
      <c r="J278" s="1018"/>
      <c r="K278" s="1018"/>
      <c r="L278" s="1018"/>
      <c r="M278" s="1018"/>
      <c r="N278" s="1019">
        <v>2551</v>
      </c>
      <c r="O278" s="86"/>
    </row>
    <row r="279" spans="1:15" s="862" customFormat="1" ht="17.25">
      <c r="A279" s="1194">
        <v>272</v>
      </c>
      <c r="B279" s="858"/>
      <c r="C279" s="87"/>
      <c r="D279" s="80" t="s">
        <v>687</v>
      </c>
      <c r="E279" s="859"/>
      <c r="F279" s="860"/>
      <c r="G279" s="860"/>
      <c r="H279" s="861"/>
      <c r="I279" s="875">
        <f t="shared" si="3"/>
        <v>4137</v>
      </c>
      <c r="J279" s="1018"/>
      <c r="K279" s="1018"/>
      <c r="L279" s="1018"/>
      <c r="M279" s="1018"/>
      <c r="N279" s="1019">
        <v>4137</v>
      </c>
      <c r="O279" s="86"/>
    </row>
    <row r="280" spans="1:15" s="862" customFormat="1" ht="17.25">
      <c r="A280" s="1194">
        <v>273</v>
      </c>
      <c r="B280" s="858"/>
      <c r="C280" s="87"/>
      <c r="D280" s="80" t="s">
        <v>758</v>
      </c>
      <c r="E280" s="859"/>
      <c r="F280" s="860"/>
      <c r="G280" s="860"/>
      <c r="H280" s="861"/>
      <c r="I280" s="875">
        <f t="shared" si="3"/>
        <v>7342</v>
      </c>
      <c r="J280" s="1018"/>
      <c r="K280" s="1018"/>
      <c r="L280" s="1018"/>
      <c r="M280" s="1018"/>
      <c r="N280" s="1019">
        <v>7342</v>
      </c>
      <c r="O280" s="86"/>
    </row>
    <row r="281" spans="1:15" s="862" customFormat="1" ht="17.25">
      <c r="A281" s="1194">
        <v>274</v>
      </c>
      <c r="B281" s="858"/>
      <c r="C281" s="87"/>
      <c r="D281" s="80" t="s">
        <v>733</v>
      </c>
      <c r="E281" s="859"/>
      <c r="F281" s="860"/>
      <c r="G281" s="860"/>
      <c r="H281" s="861"/>
      <c r="I281" s="875">
        <f t="shared" si="3"/>
        <v>608</v>
      </c>
      <c r="J281" s="1018"/>
      <c r="K281" s="1018"/>
      <c r="L281" s="1018"/>
      <c r="M281" s="1018"/>
      <c r="N281" s="1040">
        <v>608</v>
      </c>
      <c r="O281" s="86"/>
    </row>
    <row r="282" spans="1:15" s="1110" customFormat="1" ht="17.25">
      <c r="A282" s="1194">
        <v>275</v>
      </c>
      <c r="B282" s="863"/>
      <c r="C282" s="864"/>
      <c r="D282" s="865" t="s">
        <v>637</v>
      </c>
      <c r="E282" s="866"/>
      <c r="F282" s="867"/>
      <c r="G282" s="867"/>
      <c r="H282" s="868"/>
      <c r="I282" s="550">
        <f>SUM(J282:N282)</f>
        <v>290604</v>
      </c>
      <c r="J282" s="1020">
        <f>SUM(J277:J280)</f>
        <v>0</v>
      </c>
      <c r="K282" s="1020">
        <f>SUM(K277:K280)</f>
        <v>0</v>
      </c>
      <c r="L282" s="1020">
        <f>SUM(L277:L280)</f>
        <v>0</v>
      </c>
      <c r="M282" s="1020">
        <f>SUM(M277:M280)</f>
        <v>0</v>
      </c>
      <c r="N282" s="1020">
        <f>SUM(N277:N281)</f>
        <v>290604</v>
      </c>
      <c r="O282" s="586"/>
    </row>
    <row r="283" spans="1:15" s="63" customFormat="1" ht="17.25">
      <c r="A283" s="1194">
        <v>276</v>
      </c>
      <c r="B283" s="70"/>
      <c r="C283" s="71">
        <v>52</v>
      </c>
      <c r="D283" s="72" t="s">
        <v>259</v>
      </c>
      <c r="E283" s="71" t="s">
        <v>31</v>
      </c>
      <c r="F283" s="48">
        <v>128658</v>
      </c>
      <c r="G283" s="48">
        <v>128806</v>
      </c>
      <c r="H283" s="73">
        <v>139612</v>
      </c>
      <c r="I283" s="550"/>
      <c r="J283" s="1020"/>
      <c r="K283" s="1020"/>
      <c r="L283" s="1020"/>
      <c r="M283" s="1020"/>
      <c r="N283" s="1021"/>
      <c r="O283" s="586"/>
    </row>
    <row r="284" spans="1:15" s="56" customFormat="1" ht="16.5">
      <c r="A284" s="1194">
        <v>277</v>
      </c>
      <c r="B284" s="854"/>
      <c r="C284" s="71"/>
      <c r="D284" s="72" t="s">
        <v>635</v>
      </c>
      <c r="E284" s="855"/>
      <c r="F284" s="856"/>
      <c r="G284" s="856"/>
      <c r="H284" s="857"/>
      <c r="I284" s="874">
        <f t="shared" si="3"/>
        <v>134866</v>
      </c>
      <c r="J284" s="84"/>
      <c r="K284" s="84"/>
      <c r="L284" s="84"/>
      <c r="M284" s="84"/>
      <c r="N284" s="85">
        <v>134866</v>
      </c>
      <c r="O284" s="63">
        <f>SUM(J284:N284)-I284</f>
        <v>0</v>
      </c>
    </row>
    <row r="285" spans="1:15" s="862" customFormat="1" ht="17.25">
      <c r="A285" s="1194">
        <v>278</v>
      </c>
      <c r="B285" s="858"/>
      <c r="C285" s="87"/>
      <c r="D285" s="80" t="s">
        <v>686</v>
      </c>
      <c r="E285" s="859"/>
      <c r="F285" s="860"/>
      <c r="G285" s="860"/>
      <c r="H285" s="861"/>
      <c r="I285" s="875">
        <f aca="true" t="shared" si="4" ref="I285:I354">SUM(J285:N285)</f>
        <v>1535</v>
      </c>
      <c r="J285" s="1018"/>
      <c r="K285" s="1018"/>
      <c r="L285" s="1018"/>
      <c r="M285" s="1018"/>
      <c r="N285" s="1019">
        <v>1535</v>
      </c>
      <c r="O285" s="86"/>
    </row>
    <row r="286" spans="1:15" s="862" customFormat="1" ht="17.25">
      <c r="A286" s="1194">
        <v>279</v>
      </c>
      <c r="B286" s="858"/>
      <c r="C286" s="87"/>
      <c r="D286" s="80" t="s">
        <v>687</v>
      </c>
      <c r="E286" s="859"/>
      <c r="F286" s="860"/>
      <c r="G286" s="860"/>
      <c r="H286" s="861"/>
      <c r="I286" s="875">
        <f t="shared" si="4"/>
        <v>1500</v>
      </c>
      <c r="J286" s="1018"/>
      <c r="K286" s="1018"/>
      <c r="L286" s="1018"/>
      <c r="M286" s="1018"/>
      <c r="N286" s="1019">
        <v>1500</v>
      </c>
      <c r="O286" s="86"/>
    </row>
    <row r="287" spans="1:15" s="862" customFormat="1" ht="17.25">
      <c r="A287" s="1194">
        <v>280</v>
      </c>
      <c r="B287" s="858"/>
      <c r="C287" s="87"/>
      <c r="D287" s="80" t="s">
        <v>758</v>
      </c>
      <c r="E287" s="859"/>
      <c r="F287" s="860"/>
      <c r="G287" s="860"/>
      <c r="H287" s="861"/>
      <c r="I287" s="875">
        <f t="shared" si="4"/>
        <v>-6865</v>
      </c>
      <c r="J287" s="1018"/>
      <c r="K287" s="1018"/>
      <c r="L287" s="1018"/>
      <c r="M287" s="1018"/>
      <c r="N287" s="1019">
        <v>-6865</v>
      </c>
      <c r="O287" s="86"/>
    </row>
    <row r="288" spans="1:15" s="862" customFormat="1" ht="17.25">
      <c r="A288" s="1194">
        <v>281</v>
      </c>
      <c r="B288" s="858"/>
      <c r="C288" s="87"/>
      <c r="D288" s="80" t="s">
        <v>733</v>
      </c>
      <c r="E288" s="859"/>
      <c r="F288" s="860"/>
      <c r="G288" s="860"/>
      <c r="H288" s="861"/>
      <c r="I288" s="875">
        <f t="shared" si="4"/>
        <v>208</v>
      </c>
      <c r="J288" s="1018"/>
      <c r="K288" s="1018"/>
      <c r="L288" s="1018"/>
      <c r="M288" s="1018"/>
      <c r="N288" s="1040">
        <v>208</v>
      </c>
      <c r="O288" s="86"/>
    </row>
    <row r="289" spans="1:15" s="1110" customFormat="1" ht="17.25">
      <c r="A289" s="1194">
        <v>282</v>
      </c>
      <c r="B289" s="863"/>
      <c r="C289" s="864"/>
      <c r="D289" s="865" t="s">
        <v>637</v>
      </c>
      <c r="E289" s="866"/>
      <c r="F289" s="867"/>
      <c r="G289" s="867"/>
      <c r="H289" s="868"/>
      <c r="I289" s="550">
        <f>SUM(J289:N289)</f>
        <v>131244</v>
      </c>
      <c r="J289" s="1020">
        <f>SUM(J284:J287)</f>
        <v>0</v>
      </c>
      <c r="K289" s="1020">
        <f>SUM(K284:K287)</f>
        <v>0</v>
      </c>
      <c r="L289" s="1020">
        <f>SUM(L284:L287)</f>
        <v>0</v>
      </c>
      <c r="M289" s="1020">
        <f>SUM(M284:M287)</f>
        <v>0</v>
      </c>
      <c r="N289" s="1020">
        <f>SUM(N284:N288)</f>
        <v>131244</v>
      </c>
      <c r="O289" s="586"/>
    </row>
    <row r="290" spans="1:15" s="63" customFormat="1" ht="17.25">
      <c r="A290" s="1194">
        <v>283</v>
      </c>
      <c r="B290" s="70"/>
      <c r="C290" s="71">
        <v>53</v>
      </c>
      <c r="D290" s="72" t="s">
        <v>260</v>
      </c>
      <c r="E290" s="71" t="s">
        <v>31</v>
      </c>
      <c r="F290" s="48"/>
      <c r="G290" s="48">
        <v>17400</v>
      </c>
      <c r="H290" s="73">
        <v>17125</v>
      </c>
      <c r="I290" s="550"/>
      <c r="J290" s="1020"/>
      <c r="K290" s="1020"/>
      <c r="L290" s="1020"/>
      <c r="M290" s="1020"/>
      <c r="N290" s="1021"/>
      <c r="O290" s="586"/>
    </row>
    <row r="291" spans="1:15" s="56" customFormat="1" ht="16.5">
      <c r="A291" s="1194">
        <v>284</v>
      </c>
      <c r="B291" s="854"/>
      <c r="C291" s="71"/>
      <c r="D291" s="72" t="s">
        <v>635</v>
      </c>
      <c r="E291" s="855"/>
      <c r="F291" s="856"/>
      <c r="G291" s="856"/>
      <c r="H291" s="857"/>
      <c r="I291" s="874">
        <f t="shared" si="4"/>
        <v>29800</v>
      </c>
      <c r="J291" s="84"/>
      <c r="K291" s="84"/>
      <c r="L291" s="84">
        <v>29800</v>
      </c>
      <c r="M291" s="84"/>
      <c r="N291" s="85"/>
      <c r="O291" s="63">
        <f>SUM(J291:N291)-I291</f>
        <v>0</v>
      </c>
    </row>
    <row r="292" spans="1:15" s="862" customFormat="1" ht="17.25">
      <c r="A292" s="1194">
        <v>285</v>
      </c>
      <c r="B292" s="858"/>
      <c r="C292" s="87"/>
      <c r="D292" s="80" t="s">
        <v>636</v>
      </c>
      <c r="E292" s="859"/>
      <c r="F292" s="860"/>
      <c r="G292" s="860"/>
      <c r="H292" s="861"/>
      <c r="I292" s="875">
        <f t="shared" si="4"/>
        <v>0</v>
      </c>
      <c r="J292" s="1018"/>
      <c r="K292" s="1018"/>
      <c r="L292" s="1018"/>
      <c r="M292" s="1018"/>
      <c r="N292" s="1019"/>
      <c r="O292" s="86"/>
    </row>
    <row r="293" spans="1:15" s="1110" customFormat="1" ht="17.25">
      <c r="A293" s="1194">
        <v>286</v>
      </c>
      <c r="B293" s="863"/>
      <c r="C293" s="864"/>
      <c r="D293" s="865" t="s">
        <v>637</v>
      </c>
      <c r="E293" s="866"/>
      <c r="F293" s="867"/>
      <c r="G293" s="867"/>
      <c r="H293" s="868"/>
      <c r="I293" s="550">
        <f t="shared" si="4"/>
        <v>29800</v>
      </c>
      <c r="J293" s="1020">
        <f>SUM(J291:J292)</f>
        <v>0</v>
      </c>
      <c r="K293" s="1020">
        <f>SUM(K291:K292)</f>
        <v>0</v>
      </c>
      <c r="L293" s="1020">
        <f>SUM(L291:L292)</f>
        <v>29800</v>
      </c>
      <c r="M293" s="1020">
        <f>SUM(M291:M292)</f>
        <v>0</v>
      </c>
      <c r="N293" s="1021">
        <f>SUM(N291:N292)</f>
        <v>0</v>
      </c>
      <c r="O293" s="586"/>
    </row>
    <row r="294" spans="1:15" s="63" customFormat="1" ht="17.25">
      <c r="A294" s="1194">
        <v>287</v>
      </c>
      <c r="B294" s="70"/>
      <c r="C294" s="71">
        <v>54</v>
      </c>
      <c r="D294" s="72" t="s">
        <v>261</v>
      </c>
      <c r="E294" s="71" t="s">
        <v>33</v>
      </c>
      <c r="F294" s="48">
        <v>1000</v>
      </c>
      <c r="G294" s="48">
        <v>1700</v>
      </c>
      <c r="H294" s="73">
        <v>1700</v>
      </c>
      <c r="I294" s="550"/>
      <c r="J294" s="1020"/>
      <c r="K294" s="1020"/>
      <c r="L294" s="1020"/>
      <c r="M294" s="1020"/>
      <c r="N294" s="1021"/>
      <c r="O294" s="586"/>
    </row>
    <row r="295" spans="1:15" s="56" customFormat="1" ht="16.5">
      <c r="A295" s="1194">
        <v>288</v>
      </c>
      <c r="B295" s="854"/>
      <c r="C295" s="71"/>
      <c r="D295" s="72" t="s">
        <v>635</v>
      </c>
      <c r="E295" s="855"/>
      <c r="F295" s="856"/>
      <c r="G295" s="856"/>
      <c r="H295" s="857"/>
      <c r="I295" s="874">
        <f t="shared" si="4"/>
        <v>1700</v>
      </c>
      <c r="J295" s="84"/>
      <c r="K295" s="84"/>
      <c r="L295" s="84">
        <v>1700</v>
      </c>
      <c r="M295" s="84"/>
      <c r="N295" s="85"/>
      <c r="O295" s="63">
        <f>SUM(J295:N295)-I295</f>
        <v>0</v>
      </c>
    </row>
    <row r="296" spans="1:15" s="862" customFormat="1" ht="17.25">
      <c r="A296" s="1194">
        <v>289</v>
      </c>
      <c r="B296" s="858"/>
      <c r="C296" s="87"/>
      <c r="D296" s="80" t="s">
        <v>636</v>
      </c>
      <c r="E296" s="859"/>
      <c r="F296" s="860"/>
      <c r="G296" s="860"/>
      <c r="H296" s="861"/>
      <c r="I296" s="875">
        <f t="shared" si="4"/>
        <v>0</v>
      </c>
      <c r="J296" s="1018"/>
      <c r="K296" s="1018"/>
      <c r="L296" s="1018"/>
      <c r="M296" s="1018"/>
      <c r="N296" s="1019"/>
      <c r="O296" s="86"/>
    </row>
    <row r="297" spans="1:15" s="1110" customFormat="1" ht="17.25">
      <c r="A297" s="1194">
        <v>290</v>
      </c>
      <c r="B297" s="863"/>
      <c r="C297" s="864"/>
      <c r="D297" s="865" t="s">
        <v>637</v>
      </c>
      <c r="E297" s="866"/>
      <c r="F297" s="867"/>
      <c r="G297" s="867"/>
      <c r="H297" s="868"/>
      <c r="I297" s="550">
        <f t="shared" si="4"/>
        <v>1700</v>
      </c>
      <c r="J297" s="1020">
        <f>SUM(J295:J296)</f>
        <v>0</v>
      </c>
      <c r="K297" s="1020">
        <f>SUM(K295:K296)</f>
        <v>0</v>
      </c>
      <c r="L297" s="1020">
        <f>SUM(L295:L296)</f>
        <v>1700</v>
      </c>
      <c r="M297" s="1020">
        <f>SUM(M295:M296)</f>
        <v>0</v>
      </c>
      <c r="N297" s="1021">
        <f>SUM(N295:N296)</f>
        <v>0</v>
      </c>
      <c r="O297" s="586"/>
    </row>
    <row r="298" spans="1:15" s="63" customFormat="1" ht="17.25">
      <c r="A298" s="1194">
        <v>291</v>
      </c>
      <c r="B298" s="70"/>
      <c r="C298" s="71">
        <v>55</v>
      </c>
      <c r="D298" s="72" t="s">
        <v>262</v>
      </c>
      <c r="E298" s="71" t="s">
        <v>33</v>
      </c>
      <c r="F298" s="48">
        <v>2110</v>
      </c>
      <c r="G298" s="48">
        <v>6000</v>
      </c>
      <c r="H298" s="73"/>
      <c r="I298" s="550"/>
      <c r="J298" s="1020"/>
      <c r="K298" s="1020"/>
      <c r="L298" s="1020"/>
      <c r="M298" s="1020"/>
      <c r="N298" s="1021"/>
      <c r="O298" s="586"/>
    </row>
    <row r="299" spans="1:15" s="56" customFormat="1" ht="16.5">
      <c r="A299" s="1194">
        <v>292</v>
      </c>
      <c r="B299" s="854"/>
      <c r="C299" s="71"/>
      <c r="D299" s="72" t="s">
        <v>635</v>
      </c>
      <c r="E299" s="855"/>
      <c r="F299" s="856"/>
      <c r="G299" s="856"/>
      <c r="H299" s="857"/>
      <c r="I299" s="874">
        <f t="shared" si="4"/>
        <v>0</v>
      </c>
      <c r="J299" s="84"/>
      <c r="K299" s="84"/>
      <c r="L299" s="84"/>
      <c r="M299" s="84"/>
      <c r="N299" s="85"/>
      <c r="O299" s="63">
        <f>SUM(J299:N299)-I299</f>
        <v>0</v>
      </c>
    </row>
    <row r="300" spans="1:15" s="862" customFormat="1" ht="17.25">
      <c r="A300" s="1194">
        <v>293</v>
      </c>
      <c r="B300" s="858"/>
      <c r="C300" s="87"/>
      <c r="D300" s="80" t="s">
        <v>707</v>
      </c>
      <c r="E300" s="859"/>
      <c r="F300" s="860"/>
      <c r="G300" s="860"/>
      <c r="H300" s="861"/>
      <c r="I300" s="875">
        <f t="shared" si="4"/>
        <v>1000</v>
      </c>
      <c r="J300" s="1018"/>
      <c r="K300" s="1018"/>
      <c r="L300" s="1018"/>
      <c r="M300" s="1018"/>
      <c r="N300" s="1019">
        <v>1000</v>
      </c>
      <c r="O300" s="86"/>
    </row>
    <row r="301" spans="1:15" s="1110" customFormat="1" ht="17.25">
      <c r="A301" s="1194">
        <v>294</v>
      </c>
      <c r="B301" s="863"/>
      <c r="C301" s="864"/>
      <c r="D301" s="865" t="s">
        <v>637</v>
      </c>
      <c r="E301" s="866"/>
      <c r="F301" s="867"/>
      <c r="G301" s="867"/>
      <c r="H301" s="868"/>
      <c r="I301" s="550">
        <f t="shared" si="4"/>
        <v>1000</v>
      </c>
      <c r="J301" s="1020">
        <f>SUM(J299:J300)</f>
        <v>0</v>
      </c>
      <c r="K301" s="1020">
        <f>SUM(K299:K300)</f>
        <v>0</v>
      </c>
      <c r="L301" s="1020">
        <f>SUM(L299:L300)</f>
        <v>0</v>
      </c>
      <c r="M301" s="1020">
        <f>SUM(M299:M300)</f>
        <v>0</v>
      </c>
      <c r="N301" s="1021">
        <f>SUM(N299:N300)</f>
        <v>1000</v>
      </c>
      <c r="O301" s="586"/>
    </row>
    <row r="302" spans="1:15" s="63" customFormat="1" ht="17.25">
      <c r="A302" s="1194">
        <v>295</v>
      </c>
      <c r="B302" s="70"/>
      <c r="C302" s="71">
        <v>56</v>
      </c>
      <c r="D302" s="72" t="s">
        <v>263</v>
      </c>
      <c r="E302" s="71" t="s">
        <v>33</v>
      </c>
      <c r="F302" s="48">
        <v>500</v>
      </c>
      <c r="G302" s="48">
        <v>2000</v>
      </c>
      <c r="H302" s="73">
        <v>2000</v>
      </c>
      <c r="I302" s="550"/>
      <c r="J302" s="1020"/>
      <c r="K302" s="1020"/>
      <c r="L302" s="1020"/>
      <c r="M302" s="1020"/>
      <c r="N302" s="1021"/>
      <c r="O302" s="586"/>
    </row>
    <row r="303" spans="1:15" s="56" customFormat="1" ht="16.5">
      <c r="A303" s="1194">
        <v>296</v>
      </c>
      <c r="B303" s="854"/>
      <c r="C303" s="71"/>
      <c r="D303" s="72" t="s">
        <v>635</v>
      </c>
      <c r="E303" s="855"/>
      <c r="F303" s="856"/>
      <c r="G303" s="856"/>
      <c r="H303" s="857"/>
      <c r="I303" s="874">
        <f t="shared" si="4"/>
        <v>1000</v>
      </c>
      <c r="J303" s="84"/>
      <c r="K303" s="84"/>
      <c r="L303" s="84">
        <v>1000</v>
      </c>
      <c r="M303" s="84"/>
      <c r="N303" s="85"/>
      <c r="O303" s="63">
        <f>SUM(J303:N303)-I303</f>
        <v>0</v>
      </c>
    </row>
    <row r="304" spans="1:15" s="862" customFormat="1" ht="17.25">
      <c r="A304" s="1194">
        <v>297</v>
      </c>
      <c r="B304" s="858"/>
      <c r="C304" s="87"/>
      <c r="D304" s="80" t="s">
        <v>636</v>
      </c>
      <c r="E304" s="859"/>
      <c r="F304" s="860"/>
      <c r="G304" s="860"/>
      <c r="H304" s="861"/>
      <c r="I304" s="875">
        <f t="shared" si="4"/>
        <v>0</v>
      </c>
      <c r="J304" s="1018"/>
      <c r="K304" s="1018"/>
      <c r="L304" s="1018"/>
      <c r="M304" s="1018"/>
      <c r="N304" s="1019"/>
      <c r="O304" s="86"/>
    </row>
    <row r="305" spans="1:15" s="1110" customFormat="1" ht="17.25">
      <c r="A305" s="1194">
        <v>298</v>
      </c>
      <c r="B305" s="863"/>
      <c r="C305" s="864"/>
      <c r="D305" s="865" t="s">
        <v>637</v>
      </c>
      <c r="E305" s="866"/>
      <c r="F305" s="867"/>
      <c r="G305" s="867"/>
      <c r="H305" s="868"/>
      <c r="I305" s="550">
        <f t="shared" si="4"/>
        <v>1000</v>
      </c>
      <c r="J305" s="1020">
        <f>SUM(J303:J304)</f>
        <v>0</v>
      </c>
      <c r="K305" s="1020">
        <f>SUM(K303:K304)</f>
        <v>0</v>
      </c>
      <c r="L305" s="1020">
        <f>SUM(L303:L304)</f>
        <v>1000</v>
      </c>
      <c r="M305" s="1020">
        <f>SUM(M303:M304)</f>
        <v>0</v>
      </c>
      <c r="N305" s="1021">
        <f>SUM(N303:N304)</f>
        <v>0</v>
      </c>
      <c r="O305" s="586"/>
    </row>
    <row r="306" spans="1:15" s="63" customFormat="1" ht="17.25">
      <c r="A306" s="1194">
        <v>299</v>
      </c>
      <c r="B306" s="70"/>
      <c r="C306" s="71">
        <v>57</v>
      </c>
      <c r="D306" s="72" t="s">
        <v>264</v>
      </c>
      <c r="E306" s="71" t="s">
        <v>31</v>
      </c>
      <c r="F306" s="48">
        <v>5000</v>
      </c>
      <c r="G306" s="48">
        <v>5000</v>
      </c>
      <c r="H306" s="73">
        <v>5000</v>
      </c>
      <c r="I306" s="550"/>
      <c r="J306" s="1020"/>
      <c r="K306" s="1020"/>
      <c r="L306" s="1020"/>
      <c r="M306" s="1020"/>
      <c r="N306" s="1021"/>
      <c r="O306" s="586"/>
    </row>
    <row r="307" spans="1:15" s="56" customFormat="1" ht="16.5">
      <c r="A307" s="1194">
        <v>300</v>
      </c>
      <c r="B307" s="854"/>
      <c r="C307" s="71"/>
      <c r="D307" s="72" t="s">
        <v>635</v>
      </c>
      <c r="E307" s="855"/>
      <c r="F307" s="856"/>
      <c r="G307" s="856"/>
      <c r="H307" s="857"/>
      <c r="I307" s="874">
        <f t="shared" si="4"/>
        <v>5000</v>
      </c>
      <c r="J307" s="84"/>
      <c r="K307" s="84"/>
      <c r="L307" s="84">
        <v>5000</v>
      </c>
      <c r="M307" s="84"/>
      <c r="N307" s="85"/>
      <c r="O307" s="63">
        <f>SUM(J307:N307)-I307</f>
        <v>0</v>
      </c>
    </row>
    <row r="308" spans="1:15" s="862" customFormat="1" ht="17.25">
      <c r="A308" s="1194">
        <v>301</v>
      </c>
      <c r="B308" s="858"/>
      <c r="C308" s="87"/>
      <c r="D308" s="80" t="s">
        <v>636</v>
      </c>
      <c r="E308" s="859"/>
      <c r="F308" s="860"/>
      <c r="G308" s="860"/>
      <c r="H308" s="861"/>
      <c r="I308" s="875">
        <f t="shared" si="4"/>
        <v>0</v>
      </c>
      <c r="J308" s="1018"/>
      <c r="K308" s="1018"/>
      <c r="L308" s="1018"/>
      <c r="M308" s="1018"/>
      <c r="N308" s="1019"/>
      <c r="O308" s="86"/>
    </row>
    <row r="309" spans="1:15" s="1110" customFormat="1" ht="17.25">
      <c r="A309" s="1194">
        <v>302</v>
      </c>
      <c r="B309" s="863"/>
      <c r="C309" s="864"/>
      <c r="D309" s="865" t="s">
        <v>637</v>
      </c>
      <c r="E309" s="866"/>
      <c r="F309" s="867"/>
      <c r="G309" s="867"/>
      <c r="H309" s="868"/>
      <c r="I309" s="550">
        <f t="shared" si="4"/>
        <v>5000</v>
      </c>
      <c r="J309" s="1020">
        <f>SUM(J307:J308)</f>
        <v>0</v>
      </c>
      <c r="K309" s="1020">
        <f>SUM(K307:K308)</f>
        <v>0</v>
      </c>
      <c r="L309" s="1020">
        <f>SUM(L307:L308)</f>
        <v>5000</v>
      </c>
      <c r="M309" s="1020">
        <f>SUM(M307:M308)</f>
        <v>0</v>
      </c>
      <c r="N309" s="1021">
        <f>SUM(N307:N308)</f>
        <v>0</v>
      </c>
      <c r="O309" s="586"/>
    </row>
    <row r="310" spans="1:15" s="63" customFormat="1" ht="17.25">
      <c r="A310" s="1194">
        <v>303</v>
      </c>
      <c r="B310" s="70"/>
      <c r="C310" s="71">
        <v>58</v>
      </c>
      <c r="D310" s="72" t="s">
        <v>265</v>
      </c>
      <c r="E310" s="71" t="s">
        <v>33</v>
      </c>
      <c r="F310" s="48">
        <v>5760</v>
      </c>
      <c r="G310" s="48">
        <v>5760</v>
      </c>
      <c r="H310" s="73">
        <v>5785</v>
      </c>
      <c r="I310" s="550"/>
      <c r="J310" s="1020"/>
      <c r="K310" s="1020"/>
      <c r="L310" s="1020"/>
      <c r="M310" s="1020"/>
      <c r="N310" s="1021"/>
      <c r="O310" s="586"/>
    </row>
    <row r="311" spans="1:15" s="56" customFormat="1" ht="16.5">
      <c r="A311" s="1194">
        <v>304</v>
      </c>
      <c r="B311" s="854"/>
      <c r="C311" s="71"/>
      <c r="D311" s="72" t="s">
        <v>635</v>
      </c>
      <c r="E311" s="855"/>
      <c r="F311" s="856"/>
      <c r="G311" s="856"/>
      <c r="H311" s="857"/>
      <c r="I311" s="874">
        <f t="shared" si="4"/>
        <v>5760</v>
      </c>
      <c r="J311" s="84"/>
      <c r="K311" s="84"/>
      <c r="L311" s="84">
        <v>5760</v>
      </c>
      <c r="M311" s="84"/>
      <c r="N311" s="85"/>
      <c r="O311" s="63">
        <f>SUM(J311:N311)-I311</f>
        <v>0</v>
      </c>
    </row>
    <row r="312" spans="1:15" s="862" customFormat="1" ht="17.25">
      <c r="A312" s="1194">
        <v>305</v>
      </c>
      <c r="B312" s="858"/>
      <c r="C312" s="87"/>
      <c r="D312" s="80" t="s">
        <v>636</v>
      </c>
      <c r="E312" s="859"/>
      <c r="F312" s="860"/>
      <c r="G312" s="860"/>
      <c r="H312" s="861"/>
      <c r="I312" s="875">
        <f t="shared" si="4"/>
        <v>0</v>
      </c>
      <c r="J312" s="1018"/>
      <c r="K312" s="1018"/>
      <c r="L312" s="1018"/>
      <c r="M312" s="1018"/>
      <c r="N312" s="1019"/>
      <c r="O312" s="86"/>
    </row>
    <row r="313" spans="1:15" s="1110" customFormat="1" ht="17.25">
      <c r="A313" s="1194">
        <v>306</v>
      </c>
      <c r="B313" s="863"/>
      <c r="C313" s="864"/>
      <c r="D313" s="865" t="s">
        <v>637</v>
      </c>
      <c r="E313" s="866"/>
      <c r="F313" s="867"/>
      <c r="G313" s="867"/>
      <c r="H313" s="868"/>
      <c r="I313" s="550">
        <f t="shared" si="4"/>
        <v>5760</v>
      </c>
      <c r="J313" s="1020">
        <f>SUM(J311:J312)</f>
        <v>0</v>
      </c>
      <c r="K313" s="1020">
        <f>SUM(K311:K312)</f>
        <v>0</v>
      </c>
      <c r="L313" s="1020">
        <f>SUM(L311:L312)</f>
        <v>5760</v>
      </c>
      <c r="M313" s="1020">
        <f>SUM(M311:M312)</f>
        <v>0</v>
      </c>
      <c r="N313" s="1021">
        <f>SUM(N311:N312)</f>
        <v>0</v>
      </c>
      <c r="O313" s="586"/>
    </row>
    <row r="314" spans="1:15" s="63" customFormat="1" ht="17.25">
      <c r="A314" s="1194">
        <v>307</v>
      </c>
      <c r="B314" s="70"/>
      <c r="C314" s="71">
        <v>59</v>
      </c>
      <c r="D314" s="72" t="s">
        <v>266</v>
      </c>
      <c r="E314" s="71" t="s">
        <v>33</v>
      </c>
      <c r="F314" s="48">
        <v>1942</v>
      </c>
      <c r="G314" s="48">
        <v>3000</v>
      </c>
      <c r="H314" s="73">
        <v>913</v>
      </c>
      <c r="I314" s="550"/>
      <c r="J314" s="1020"/>
      <c r="K314" s="1020"/>
      <c r="L314" s="1020"/>
      <c r="M314" s="1020"/>
      <c r="N314" s="1021"/>
      <c r="O314" s="586"/>
    </row>
    <row r="315" spans="1:15" s="56" customFormat="1" ht="16.5">
      <c r="A315" s="1194">
        <v>308</v>
      </c>
      <c r="B315" s="854"/>
      <c r="C315" s="71"/>
      <c r="D315" s="72" t="s">
        <v>635</v>
      </c>
      <c r="E315" s="855"/>
      <c r="F315" s="856"/>
      <c r="G315" s="856"/>
      <c r="H315" s="857"/>
      <c r="I315" s="874">
        <f t="shared" si="4"/>
        <v>2000</v>
      </c>
      <c r="J315" s="84"/>
      <c r="K315" s="84"/>
      <c r="L315" s="84">
        <v>2000</v>
      </c>
      <c r="M315" s="84"/>
      <c r="N315" s="85"/>
      <c r="O315" s="63">
        <f>SUM(J315:N315)-I315</f>
        <v>0</v>
      </c>
    </row>
    <row r="316" spans="1:15" s="862" customFormat="1" ht="17.25">
      <c r="A316" s="1194">
        <v>309</v>
      </c>
      <c r="B316" s="858"/>
      <c r="C316" s="87"/>
      <c r="D316" s="80" t="s">
        <v>707</v>
      </c>
      <c r="E316" s="859"/>
      <c r="F316" s="860"/>
      <c r="G316" s="860"/>
      <c r="H316" s="861"/>
      <c r="I316" s="875">
        <f t="shared" si="4"/>
        <v>2087</v>
      </c>
      <c r="J316" s="1018"/>
      <c r="K316" s="1018"/>
      <c r="L316" s="1018">
        <v>2087</v>
      </c>
      <c r="M316" s="1018"/>
      <c r="N316" s="1019"/>
      <c r="O316" s="86"/>
    </row>
    <row r="317" spans="1:15" s="1110" customFormat="1" ht="17.25">
      <c r="A317" s="1194">
        <v>310</v>
      </c>
      <c r="B317" s="863"/>
      <c r="C317" s="864"/>
      <c r="D317" s="865" t="s">
        <v>637</v>
      </c>
      <c r="E317" s="866"/>
      <c r="F317" s="867"/>
      <c r="G317" s="867"/>
      <c r="H317" s="868"/>
      <c r="I317" s="550">
        <f t="shared" si="4"/>
        <v>4087</v>
      </c>
      <c r="J317" s="1020">
        <f>SUM(J315:J316)</f>
        <v>0</v>
      </c>
      <c r="K317" s="1020">
        <f>SUM(K315:K316)</f>
        <v>0</v>
      </c>
      <c r="L317" s="1020">
        <f>SUM(L315:L316)</f>
        <v>4087</v>
      </c>
      <c r="M317" s="1020">
        <f>SUM(M315:M316)</f>
        <v>0</v>
      </c>
      <c r="N317" s="1021">
        <f>SUM(N315:N316)</f>
        <v>0</v>
      </c>
      <c r="O317" s="586"/>
    </row>
    <row r="318" spans="1:15" s="63" customFormat="1" ht="17.25">
      <c r="A318" s="1194">
        <v>311</v>
      </c>
      <c r="B318" s="70"/>
      <c r="C318" s="71">
        <v>60</v>
      </c>
      <c r="D318" s="72" t="s">
        <v>267</v>
      </c>
      <c r="E318" s="71" t="s">
        <v>33</v>
      </c>
      <c r="F318" s="48">
        <v>42854</v>
      </c>
      <c r="G318" s="48">
        <v>59233</v>
      </c>
      <c r="H318" s="73">
        <v>53465</v>
      </c>
      <c r="I318" s="550"/>
      <c r="J318" s="1020"/>
      <c r="K318" s="1020"/>
      <c r="L318" s="1020"/>
      <c r="M318" s="1020"/>
      <c r="N318" s="1021"/>
      <c r="O318" s="586"/>
    </row>
    <row r="319" spans="1:15" s="56" customFormat="1" ht="16.5">
      <c r="A319" s="1194">
        <v>312</v>
      </c>
      <c r="B319" s="854"/>
      <c r="C319" s="71"/>
      <c r="D319" s="72" t="s">
        <v>635</v>
      </c>
      <c r="E319" s="855"/>
      <c r="F319" s="856"/>
      <c r="G319" s="856"/>
      <c r="H319" s="857"/>
      <c r="I319" s="874">
        <f t="shared" si="4"/>
        <v>65000</v>
      </c>
      <c r="J319" s="84">
        <v>8711</v>
      </c>
      <c r="K319" s="84">
        <v>2117</v>
      </c>
      <c r="L319" s="84">
        <v>54172</v>
      </c>
      <c r="M319" s="84"/>
      <c r="N319" s="85"/>
      <c r="O319" s="63">
        <f>SUM(J319:N319)-I319</f>
        <v>0</v>
      </c>
    </row>
    <row r="320" spans="1:15" s="862" customFormat="1" ht="17.25">
      <c r="A320" s="1194">
        <v>313</v>
      </c>
      <c r="B320" s="858"/>
      <c r="C320" s="87"/>
      <c r="D320" s="80" t="s">
        <v>707</v>
      </c>
      <c r="E320" s="859"/>
      <c r="F320" s="860"/>
      <c r="G320" s="860"/>
      <c r="H320" s="861"/>
      <c r="I320" s="875">
        <f t="shared" si="4"/>
        <v>5768</v>
      </c>
      <c r="J320" s="1018">
        <v>2261</v>
      </c>
      <c r="K320" s="1018">
        <v>586</v>
      </c>
      <c r="L320" s="1018">
        <v>2921</v>
      </c>
      <c r="M320" s="1018"/>
      <c r="N320" s="1019"/>
      <c r="O320" s="86"/>
    </row>
    <row r="321" spans="1:15" s="1110" customFormat="1" ht="17.25">
      <c r="A321" s="1194">
        <v>314</v>
      </c>
      <c r="B321" s="863"/>
      <c r="C321" s="864"/>
      <c r="D321" s="865" t="s">
        <v>637</v>
      </c>
      <c r="E321" s="866"/>
      <c r="F321" s="867"/>
      <c r="G321" s="867"/>
      <c r="H321" s="868"/>
      <c r="I321" s="550">
        <f t="shared" si="4"/>
        <v>70768</v>
      </c>
      <c r="J321" s="1020">
        <f>SUM(J319:J320)</f>
        <v>10972</v>
      </c>
      <c r="K321" s="1020">
        <f>SUM(K319:K320)</f>
        <v>2703</v>
      </c>
      <c r="L321" s="1020">
        <f>SUM(L319:L320)</f>
        <v>57093</v>
      </c>
      <c r="M321" s="1020">
        <f>SUM(M319:M320)</f>
        <v>0</v>
      </c>
      <c r="N321" s="1021">
        <f>SUM(N319:N320)</f>
        <v>0</v>
      </c>
      <c r="O321" s="586"/>
    </row>
    <row r="322" spans="1:15" s="63" customFormat="1" ht="17.25">
      <c r="A322" s="1194">
        <v>315</v>
      </c>
      <c r="B322" s="70"/>
      <c r="C322" s="71">
        <v>61</v>
      </c>
      <c r="D322" s="72" t="s">
        <v>966</v>
      </c>
      <c r="E322" s="71" t="s">
        <v>31</v>
      </c>
      <c r="F322" s="48"/>
      <c r="G322" s="48"/>
      <c r="H322" s="73"/>
      <c r="I322" s="550"/>
      <c r="J322" s="1020"/>
      <c r="K322" s="1020"/>
      <c r="L322" s="1020"/>
      <c r="M322" s="1020"/>
      <c r="N322" s="1021"/>
      <c r="O322" s="586"/>
    </row>
    <row r="323" spans="1:15" s="862" customFormat="1" ht="17.25">
      <c r="A323" s="1194">
        <v>316</v>
      </c>
      <c r="B323" s="858"/>
      <c r="C323" s="87"/>
      <c r="D323" s="80" t="s">
        <v>952</v>
      </c>
      <c r="E323" s="859"/>
      <c r="F323" s="860"/>
      <c r="G323" s="860"/>
      <c r="H323" s="861"/>
      <c r="I323" s="875">
        <f t="shared" si="4"/>
        <v>300000</v>
      </c>
      <c r="J323" s="1018"/>
      <c r="K323" s="1018"/>
      <c r="L323" s="1018"/>
      <c r="M323" s="1018"/>
      <c r="N323" s="1019">
        <v>300000</v>
      </c>
      <c r="O323" s="86"/>
    </row>
    <row r="324" spans="1:15" s="1110" customFormat="1" ht="17.25">
      <c r="A324" s="1194">
        <v>317</v>
      </c>
      <c r="B324" s="863"/>
      <c r="C324" s="864"/>
      <c r="D324" s="865" t="s">
        <v>637</v>
      </c>
      <c r="E324" s="866"/>
      <c r="F324" s="867"/>
      <c r="G324" s="867"/>
      <c r="H324" s="868"/>
      <c r="I324" s="550">
        <f t="shared" si="4"/>
        <v>300000</v>
      </c>
      <c r="J324" s="1020">
        <f>SUM(J323)</f>
        <v>0</v>
      </c>
      <c r="K324" s="1020">
        <f>SUM(K323)</f>
        <v>0</v>
      </c>
      <c r="L324" s="1020">
        <f>SUM(L323)</f>
        <v>0</v>
      </c>
      <c r="M324" s="1020">
        <f>SUM(M323)</f>
        <v>0</v>
      </c>
      <c r="N324" s="1021">
        <f>SUM(N323)</f>
        <v>300000</v>
      </c>
      <c r="O324" s="586"/>
    </row>
    <row r="325" spans="1:15" s="63" customFormat="1" ht="17.25">
      <c r="A325" s="1194">
        <v>318</v>
      </c>
      <c r="B325" s="70"/>
      <c r="C325" s="71">
        <v>62</v>
      </c>
      <c r="D325" s="72" t="s">
        <v>268</v>
      </c>
      <c r="E325" s="71" t="s">
        <v>33</v>
      </c>
      <c r="F325" s="48">
        <v>21</v>
      </c>
      <c r="G325" s="48"/>
      <c r="H325" s="73">
        <v>18241</v>
      </c>
      <c r="I325" s="550"/>
      <c r="J325" s="1020"/>
      <c r="K325" s="1020"/>
      <c r="L325" s="1020"/>
      <c r="M325" s="1020"/>
      <c r="N325" s="1021"/>
      <c r="O325" s="586"/>
    </row>
    <row r="326" spans="1:15" s="56" customFormat="1" ht="16.5">
      <c r="A326" s="1194">
        <v>319</v>
      </c>
      <c r="B326" s="854"/>
      <c r="C326" s="71"/>
      <c r="D326" s="72" t="s">
        <v>635</v>
      </c>
      <c r="E326" s="855"/>
      <c r="F326" s="856"/>
      <c r="G326" s="856"/>
      <c r="H326" s="857"/>
      <c r="I326" s="874">
        <f t="shared" si="4"/>
        <v>0</v>
      </c>
      <c r="J326" s="84"/>
      <c r="K326" s="84"/>
      <c r="L326" s="84"/>
      <c r="M326" s="84"/>
      <c r="N326" s="85"/>
      <c r="O326" s="63">
        <f>SUM(J326:N326)-I326</f>
        <v>0</v>
      </c>
    </row>
    <row r="327" spans="1:15" s="862" customFormat="1" ht="17.25">
      <c r="A327" s="1194">
        <v>320</v>
      </c>
      <c r="B327" s="858"/>
      <c r="C327" s="87"/>
      <c r="D327" s="80" t="s">
        <v>958</v>
      </c>
      <c r="E327" s="859"/>
      <c r="F327" s="860"/>
      <c r="G327" s="860"/>
      <c r="H327" s="861"/>
      <c r="I327" s="875">
        <f t="shared" si="4"/>
        <v>53594</v>
      </c>
      <c r="J327" s="1018"/>
      <c r="K327" s="1018"/>
      <c r="L327" s="1018">
        <v>53594</v>
      </c>
      <c r="M327" s="1018"/>
      <c r="N327" s="1019"/>
      <c r="O327" s="86"/>
    </row>
    <row r="328" spans="1:15" s="1110" customFormat="1" ht="17.25">
      <c r="A328" s="1194">
        <v>321</v>
      </c>
      <c r="B328" s="863"/>
      <c r="C328" s="864"/>
      <c r="D328" s="865" t="s">
        <v>637</v>
      </c>
      <c r="E328" s="866"/>
      <c r="F328" s="867"/>
      <c r="G328" s="867"/>
      <c r="H328" s="868"/>
      <c r="I328" s="550">
        <f t="shared" si="4"/>
        <v>53594</v>
      </c>
      <c r="J328" s="1020">
        <f>SUM(J326:J327)</f>
        <v>0</v>
      </c>
      <c r="K328" s="1020">
        <f>SUM(K326:K327)</f>
        <v>0</v>
      </c>
      <c r="L328" s="1020">
        <f>SUM(L326:L327)</f>
        <v>53594</v>
      </c>
      <c r="M328" s="1020">
        <f>SUM(M326:M327)</f>
        <v>0</v>
      </c>
      <c r="N328" s="1021">
        <f>SUM(N326:N327)</f>
        <v>0</v>
      </c>
      <c r="O328" s="586"/>
    </row>
    <row r="329" spans="1:15" s="63" customFormat="1" ht="17.25">
      <c r="A329" s="1194">
        <v>322</v>
      </c>
      <c r="B329" s="70"/>
      <c r="C329" s="71">
        <v>63</v>
      </c>
      <c r="D329" s="72" t="s">
        <v>269</v>
      </c>
      <c r="E329" s="71" t="s">
        <v>33</v>
      </c>
      <c r="F329" s="48">
        <v>80327</v>
      </c>
      <c r="G329" s="48">
        <v>67500</v>
      </c>
      <c r="H329" s="73">
        <v>43987</v>
      </c>
      <c r="I329" s="550"/>
      <c r="J329" s="1020"/>
      <c r="K329" s="1020"/>
      <c r="L329" s="1020"/>
      <c r="M329" s="1020"/>
      <c r="N329" s="1021"/>
      <c r="O329" s="586"/>
    </row>
    <row r="330" spans="1:15" s="56" customFormat="1" ht="16.5">
      <c r="A330" s="1194">
        <v>323</v>
      </c>
      <c r="B330" s="854"/>
      <c r="C330" s="71"/>
      <c r="D330" s="72" t="s">
        <v>635</v>
      </c>
      <c r="E330" s="855"/>
      <c r="F330" s="856"/>
      <c r="G330" s="856"/>
      <c r="H330" s="857"/>
      <c r="I330" s="874">
        <f t="shared" si="4"/>
        <v>137800</v>
      </c>
      <c r="J330" s="84"/>
      <c r="K330" s="84"/>
      <c r="L330" s="84">
        <v>137800</v>
      </c>
      <c r="M330" s="84"/>
      <c r="N330" s="85"/>
      <c r="O330" s="63">
        <f>SUM(J330:N330)-I330</f>
        <v>0</v>
      </c>
    </row>
    <row r="331" spans="1:15" s="862" customFormat="1" ht="17.25">
      <c r="A331" s="1194">
        <v>324</v>
      </c>
      <c r="B331" s="858"/>
      <c r="C331" s="87"/>
      <c r="D331" s="80" t="s">
        <v>636</v>
      </c>
      <c r="E331" s="859"/>
      <c r="F331" s="860"/>
      <c r="G331" s="860"/>
      <c r="H331" s="861"/>
      <c r="I331" s="875">
        <f t="shared" si="4"/>
        <v>80000</v>
      </c>
      <c r="J331" s="1018"/>
      <c r="K331" s="1018"/>
      <c r="L331" s="1018">
        <v>80000</v>
      </c>
      <c r="M331" s="1018"/>
      <c r="N331" s="1019"/>
      <c r="O331" s="86"/>
    </row>
    <row r="332" spans="1:15" s="1110" customFormat="1" ht="17.25">
      <c r="A332" s="1194">
        <v>325</v>
      </c>
      <c r="B332" s="863"/>
      <c r="C332" s="864"/>
      <c r="D332" s="865" t="s">
        <v>637</v>
      </c>
      <c r="E332" s="866"/>
      <c r="F332" s="867"/>
      <c r="G332" s="867"/>
      <c r="H332" s="868"/>
      <c r="I332" s="550">
        <f t="shared" si="4"/>
        <v>217800</v>
      </c>
      <c r="J332" s="1020">
        <f>SUM(J330:J331)</f>
        <v>0</v>
      </c>
      <c r="K332" s="1020">
        <f>SUM(K330:K331)</f>
        <v>0</v>
      </c>
      <c r="L332" s="1020">
        <f>SUM(L330:L331)</f>
        <v>217800</v>
      </c>
      <c r="M332" s="1020">
        <f>SUM(M330:M331)</f>
        <v>0</v>
      </c>
      <c r="N332" s="1021">
        <f>SUM(N330:N331)</f>
        <v>0</v>
      </c>
      <c r="O332" s="586"/>
    </row>
    <row r="333" spans="1:15" s="63" customFormat="1" ht="17.25">
      <c r="A333" s="1194">
        <v>326</v>
      </c>
      <c r="B333" s="70"/>
      <c r="C333" s="71">
        <v>64</v>
      </c>
      <c r="D333" s="72" t="s">
        <v>270</v>
      </c>
      <c r="E333" s="71" t="s">
        <v>33</v>
      </c>
      <c r="F333" s="48">
        <v>263651</v>
      </c>
      <c r="G333" s="48">
        <v>87500</v>
      </c>
      <c r="H333" s="73">
        <v>27660</v>
      </c>
      <c r="I333" s="550"/>
      <c r="J333" s="1020"/>
      <c r="K333" s="1020"/>
      <c r="L333" s="1020"/>
      <c r="M333" s="1020"/>
      <c r="N333" s="1021"/>
      <c r="O333" s="586"/>
    </row>
    <row r="334" spans="1:15" s="56" customFormat="1" ht="16.5">
      <c r="A334" s="1194">
        <v>327</v>
      </c>
      <c r="B334" s="854"/>
      <c r="C334" s="71"/>
      <c r="D334" s="72" t="s">
        <v>635</v>
      </c>
      <c r="E334" s="855"/>
      <c r="F334" s="856"/>
      <c r="G334" s="856"/>
      <c r="H334" s="857"/>
      <c r="I334" s="874">
        <f t="shared" si="4"/>
        <v>52417</v>
      </c>
      <c r="J334" s="84"/>
      <c r="K334" s="84"/>
      <c r="L334" s="84">
        <v>52417</v>
      </c>
      <c r="M334" s="84"/>
      <c r="N334" s="85"/>
      <c r="O334" s="63">
        <f>SUM(J334:N334)-I334</f>
        <v>0</v>
      </c>
    </row>
    <row r="335" spans="1:15" s="862" customFormat="1" ht="17.25">
      <c r="A335" s="1194">
        <v>328</v>
      </c>
      <c r="B335" s="858"/>
      <c r="C335" s="87"/>
      <c r="D335" s="80" t="s">
        <v>636</v>
      </c>
      <c r="E335" s="859"/>
      <c r="F335" s="860"/>
      <c r="G335" s="860"/>
      <c r="H335" s="861"/>
      <c r="I335" s="875">
        <f t="shared" si="4"/>
        <v>0</v>
      </c>
      <c r="J335" s="1018"/>
      <c r="K335" s="1018"/>
      <c r="L335" s="1018"/>
      <c r="M335" s="1018"/>
      <c r="N335" s="1019"/>
      <c r="O335" s="86"/>
    </row>
    <row r="336" spans="1:15" s="1110" customFormat="1" ht="17.25">
      <c r="A336" s="1194">
        <v>329</v>
      </c>
      <c r="B336" s="863"/>
      <c r="C336" s="864"/>
      <c r="D336" s="865" t="s">
        <v>637</v>
      </c>
      <c r="E336" s="866"/>
      <c r="F336" s="867"/>
      <c r="G336" s="867"/>
      <c r="H336" s="868"/>
      <c r="I336" s="550">
        <f t="shared" si="4"/>
        <v>52417</v>
      </c>
      <c r="J336" s="1020">
        <f>SUM(J334:J335)</f>
        <v>0</v>
      </c>
      <c r="K336" s="1020">
        <f>SUM(K334:K335)</f>
        <v>0</v>
      </c>
      <c r="L336" s="1020">
        <f>SUM(L334:L335)</f>
        <v>52417</v>
      </c>
      <c r="M336" s="1020">
        <f>SUM(M334:M335)</f>
        <v>0</v>
      </c>
      <c r="N336" s="1021">
        <f>SUM(N334:N335)</f>
        <v>0</v>
      </c>
      <c r="O336" s="586"/>
    </row>
    <row r="337" spans="1:15" s="63" customFormat="1" ht="17.25">
      <c r="A337" s="1194">
        <v>330</v>
      </c>
      <c r="B337" s="70"/>
      <c r="C337" s="71">
        <v>65</v>
      </c>
      <c r="D337" s="72" t="s">
        <v>271</v>
      </c>
      <c r="E337" s="71" t="s">
        <v>33</v>
      </c>
      <c r="F337" s="48">
        <v>2387</v>
      </c>
      <c r="G337" s="48">
        <v>3000</v>
      </c>
      <c r="H337" s="73">
        <v>2841</v>
      </c>
      <c r="I337" s="550"/>
      <c r="J337" s="1020"/>
      <c r="K337" s="1020"/>
      <c r="L337" s="1020"/>
      <c r="M337" s="1020"/>
      <c r="N337" s="1021"/>
      <c r="O337" s="586"/>
    </row>
    <row r="338" spans="1:15" s="56" customFormat="1" ht="16.5">
      <c r="A338" s="1194">
        <v>331</v>
      </c>
      <c r="B338" s="854"/>
      <c r="C338" s="71"/>
      <c r="D338" s="72" t="s">
        <v>635</v>
      </c>
      <c r="E338" s="855"/>
      <c r="F338" s="856"/>
      <c r="G338" s="856"/>
      <c r="H338" s="857"/>
      <c r="I338" s="874">
        <f t="shared" si="4"/>
        <v>3000</v>
      </c>
      <c r="J338" s="84">
        <v>1200</v>
      </c>
      <c r="K338" s="84">
        <v>324</v>
      </c>
      <c r="L338" s="84">
        <v>1476</v>
      </c>
      <c r="M338" s="84"/>
      <c r="N338" s="85"/>
      <c r="O338" s="63">
        <f>SUM(J338:N338)-I338</f>
        <v>0</v>
      </c>
    </row>
    <row r="339" spans="1:15" s="862" customFormat="1" ht="17.25">
      <c r="A339" s="1194">
        <v>332</v>
      </c>
      <c r="B339" s="858"/>
      <c r="C339" s="87"/>
      <c r="D339" s="80" t="s">
        <v>707</v>
      </c>
      <c r="E339" s="859"/>
      <c r="F339" s="860"/>
      <c r="G339" s="860"/>
      <c r="H339" s="861"/>
      <c r="I339" s="875">
        <f t="shared" si="4"/>
        <v>159</v>
      </c>
      <c r="J339" s="1018">
        <v>10</v>
      </c>
      <c r="K339" s="1018">
        <v>149</v>
      </c>
      <c r="L339" s="1018"/>
      <c r="M339" s="1018"/>
      <c r="N339" s="1019"/>
      <c r="O339" s="86"/>
    </row>
    <row r="340" spans="1:15" s="1110" customFormat="1" ht="17.25">
      <c r="A340" s="1194">
        <v>333</v>
      </c>
      <c r="B340" s="863"/>
      <c r="C340" s="864"/>
      <c r="D340" s="865" t="s">
        <v>637</v>
      </c>
      <c r="E340" s="866"/>
      <c r="F340" s="867"/>
      <c r="G340" s="867"/>
      <c r="H340" s="868"/>
      <c r="I340" s="550">
        <f t="shared" si="4"/>
        <v>3159</v>
      </c>
      <c r="J340" s="1020">
        <f>SUM(J338:J339)</f>
        <v>1210</v>
      </c>
      <c r="K340" s="1020">
        <f>SUM(K338:K339)</f>
        <v>473</v>
      </c>
      <c r="L340" s="1020">
        <f>SUM(L338:L339)</f>
        <v>1476</v>
      </c>
      <c r="M340" s="1020">
        <f>SUM(M338:M339)</f>
        <v>0</v>
      </c>
      <c r="N340" s="1021">
        <f>SUM(N338:N339)</f>
        <v>0</v>
      </c>
      <c r="O340" s="586"/>
    </row>
    <row r="341" spans="1:15" s="63" customFormat="1" ht="17.25">
      <c r="A341" s="1194">
        <v>334</v>
      </c>
      <c r="B341" s="70"/>
      <c r="C341" s="71">
        <v>66</v>
      </c>
      <c r="D341" s="72" t="s">
        <v>272</v>
      </c>
      <c r="E341" s="71" t="s">
        <v>33</v>
      </c>
      <c r="F341" s="48">
        <v>1200</v>
      </c>
      <c r="G341" s="48">
        <v>1200</v>
      </c>
      <c r="H341" s="73">
        <v>1200</v>
      </c>
      <c r="I341" s="550"/>
      <c r="J341" s="1020"/>
      <c r="K341" s="1020"/>
      <c r="L341" s="1020"/>
      <c r="M341" s="1020"/>
      <c r="N341" s="1021"/>
      <c r="O341" s="586"/>
    </row>
    <row r="342" spans="1:15" s="56" customFormat="1" ht="16.5">
      <c r="A342" s="1194">
        <v>335</v>
      </c>
      <c r="B342" s="854"/>
      <c r="C342" s="71"/>
      <c r="D342" s="72" t="s">
        <v>635</v>
      </c>
      <c r="E342" s="855"/>
      <c r="F342" s="856"/>
      <c r="G342" s="856"/>
      <c r="H342" s="857"/>
      <c r="I342" s="874">
        <f t="shared" si="4"/>
        <v>5000</v>
      </c>
      <c r="J342" s="84"/>
      <c r="K342" s="84"/>
      <c r="L342" s="84"/>
      <c r="M342" s="84"/>
      <c r="N342" s="85">
        <v>5000</v>
      </c>
      <c r="O342" s="63">
        <f>SUM(J342:N342)-I342</f>
        <v>0</v>
      </c>
    </row>
    <row r="343" spans="1:15" s="862" customFormat="1" ht="17.25">
      <c r="A343" s="1194">
        <v>336</v>
      </c>
      <c r="B343" s="858"/>
      <c r="C343" s="87"/>
      <c r="D343" s="80" t="s">
        <v>636</v>
      </c>
      <c r="E343" s="859"/>
      <c r="F343" s="860"/>
      <c r="G343" s="860"/>
      <c r="H343" s="861"/>
      <c r="I343" s="875">
        <f t="shared" si="4"/>
        <v>0</v>
      </c>
      <c r="J343" s="1018"/>
      <c r="K343" s="1018"/>
      <c r="L343" s="1018"/>
      <c r="M343" s="1018"/>
      <c r="N343" s="1019"/>
      <c r="O343" s="86"/>
    </row>
    <row r="344" spans="1:15" s="1110" customFormat="1" ht="17.25">
      <c r="A344" s="1194">
        <v>337</v>
      </c>
      <c r="B344" s="863"/>
      <c r="C344" s="864"/>
      <c r="D344" s="865" t="s">
        <v>637</v>
      </c>
      <c r="E344" s="866"/>
      <c r="F344" s="867"/>
      <c r="G344" s="867"/>
      <c r="H344" s="868"/>
      <c r="I344" s="550">
        <f t="shared" si="4"/>
        <v>5000</v>
      </c>
      <c r="J344" s="1020">
        <f>SUM(J342:J343)</f>
        <v>0</v>
      </c>
      <c r="K344" s="1020">
        <f>SUM(K342:K343)</f>
        <v>0</v>
      </c>
      <c r="L344" s="1020">
        <f>SUM(L342:L343)</f>
        <v>0</v>
      </c>
      <c r="M344" s="1020">
        <f>SUM(M342:M343)</f>
        <v>0</v>
      </c>
      <c r="N344" s="1021">
        <f>SUM(N342:N343)</f>
        <v>5000</v>
      </c>
      <c r="O344" s="586"/>
    </row>
    <row r="345" spans="1:15" s="63" customFormat="1" ht="17.25">
      <c r="A345" s="1194">
        <v>338</v>
      </c>
      <c r="B345" s="70"/>
      <c r="C345" s="71">
        <v>67</v>
      </c>
      <c r="D345" s="72" t="s">
        <v>273</v>
      </c>
      <c r="E345" s="71" t="s">
        <v>31</v>
      </c>
      <c r="F345" s="48">
        <v>20955</v>
      </c>
      <c r="G345" s="48">
        <v>22860</v>
      </c>
      <c r="H345" s="73">
        <v>22860</v>
      </c>
      <c r="I345" s="550"/>
      <c r="J345" s="1020"/>
      <c r="K345" s="1020"/>
      <c r="L345" s="1020"/>
      <c r="M345" s="1020"/>
      <c r="N345" s="1021"/>
      <c r="O345" s="586"/>
    </row>
    <row r="346" spans="1:15" s="56" customFormat="1" ht="16.5">
      <c r="A346" s="1194">
        <v>339</v>
      </c>
      <c r="B346" s="854"/>
      <c r="C346" s="71"/>
      <c r="D346" s="72" t="s">
        <v>635</v>
      </c>
      <c r="E346" s="855"/>
      <c r="F346" s="856"/>
      <c r="G346" s="856"/>
      <c r="H346" s="857"/>
      <c r="I346" s="874">
        <f t="shared" si="4"/>
        <v>22860</v>
      </c>
      <c r="J346" s="84"/>
      <c r="K346" s="84"/>
      <c r="L346" s="84">
        <v>22860</v>
      </c>
      <c r="M346" s="84"/>
      <c r="N346" s="85"/>
      <c r="O346" s="63">
        <f>SUM(J346:N346)-I346</f>
        <v>0</v>
      </c>
    </row>
    <row r="347" spans="1:15" s="862" customFormat="1" ht="17.25">
      <c r="A347" s="1194">
        <v>340</v>
      </c>
      <c r="B347" s="858"/>
      <c r="C347" s="87"/>
      <c r="D347" s="80" t="s">
        <v>707</v>
      </c>
      <c r="E347" s="859"/>
      <c r="F347" s="860"/>
      <c r="G347" s="860"/>
      <c r="H347" s="861"/>
      <c r="I347" s="875">
        <f t="shared" si="4"/>
        <v>1905</v>
      </c>
      <c r="J347" s="1018"/>
      <c r="K347" s="1018"/>
      <c r="L347" s="1018">
        <v>1905</v>
      </c>
      <c r="M347" s="1018"/>
      <c r="N347" s="1019"/>
      <c r="O347" s="86"/>
    </row>
    <row r="348" spans="1:15" s="1110" customFormat="1" ht="17.25">
      <c r="A348" s="1194">
        <v>341</v>
      </c>
      <c r="B348" s="863"/>
      <c r="C348" s="864"/>
      <c r="D348" s="865" t="s">
        <v>637</v>
      </c>
      <c r="E348" s="866"/>
      <c r="F348" s="867"/>
      <c r="G348" s="867"/>
      <c r="H348" s="868"/>
      <c r="I348" s="550">
        <f t="shared" si="4"/>
        <v>24765</v>
      </c>
      <c r="J348" s="1020">
        <f>SUM(J346:J347)</f>
        <v>0</v>
      </c>
      <c r="K348" s="1020">
        <f>SUM(K346:K347)</f>
        <v>0</v>
      </c>
      <c r="L348" s="1020">
        <f>SUM(L346:L347)</f>
        <v>24765</v>
      </c>
      <c r="M348" s="1020">
        <f>SUM(M346:M347)</f>
        <v>0</v>
      </c>
      <c r="N348" s="1021">
        <f>SUM(N346:N347)</f>
        <v>0</v>
      </c>
      <c r="O348" s="586"/>
    </row>
    <row r="349" spans="1:15" s="63" customFormat="1" ht="17.25">
      <c r="A349" s="1194">
        <v>342</v>
      </c>
      <c r="B349" s="70"/>
      <c r="C349" s="71">
        <v>68</v>
      </c>
      <c r="D349" s="72" t="s">
        <v>274</v>
      </c>
      <c r="E349" s="71" t="s">
        <v>31</v>
      </c>
      <c r="F349" s="48">
        <v>222353</v>
      </c>
      <c r="G349" s="48">
        <v>289200</v>
      </c>
      <c r="H349" s="73">
        <v>284386</v>
      </c>
      <c r="I349" s="550"/>
      <c r="J349" s="1020"/>
      <c r="K349" s="1020"/>
      <c r="L349" s="1020"/>
      <c r="M349" s="1020"/>
      <c r="N349" s="1021"/>
      <c r="O349" s="586"/>
    </row>
    <row r="350" spans="1:15" s="56" customFormat="1" ht="16.5">
      <c r="A350" s="1194">
        <v>343</v>
      </c>
      <c r="B350" s="854"/>
      <c r="C350" s="71"/>
      <c r="D350" s="72" t="s">
        <v>635</v>
      </c>
      <c r="E350" s="855"/>
      <c r="F350" s="856"/>
      <c r="G350" s="856"/>
      <c r="H350" s="857"/>
      <c r="I350" s="874">
        <f t="shared" si="4"/>
        <v>317495</v>
      </c>
      <c r="J350" s="84"/>
      <c r="K350" s="84"/>
      <c r="L350" s="84">
        <v>317495</v>
      </c>
      <c r="M350" s="84"/>
      <c r="N350" s="85"/>
      <c r="O350" s="63">
        <f>SUM(J350:N350)-I350</f>
        <v>0</v>
      </c>
    </row>
    <row r="351" spans="1:15" s="862" customFormat="1" ht="17.25">
      <c r="A351" s="1194">
        <v>344</v>
      </c>
      <c r="B351" s="858"/>
      <c r="C351" s="87"/>
      <c r="D351" s="80" t="s">
        <v>707</v>
      </c>
      <c r="E351" s="859"/>
      <c r="F351" s="860"/>
      <c r="G351" s="860"/>
      <c r="H351" s="861"/>
      <c r="I351" s="875">
        <f t="shared" si="4"/>
        <v>13358</v>
      </c>
      <c r="J351" s="1018"/>
      <c r="K351" s="1018"/>
      <c r="L351" s="1018">
        <v>13358</v>
      </c>
      <c r="M351" s="1018"/>
      <c r="N351" s="1019"/>
      <c r="O351" s="86"/>
    </row>
    <row r="352" spans="1:15" s="1110" customFormat="1" ht="17.25">
      <c r="A352" s="1194">
        <v>345</v>
      </c>
      <c r="B352" s="863"/>
      <c r="C352" s="864"/>
      <c r="D352" s="865" t="s">
        <v>637</v>
      </c>
      <c r="E352" s="866"/>
      <c r="F352" s="867"/>
      <c r="G352" s="867"/>
      <c r="H352" s="868"/>
      <c r="I352" s="550">
        <f t="shared" si="4"/>
        <v>330853</v>
      </c>
      <c r="J352" s="1020">
        <f>SUM(J350:J351)</f>
        <v>0</v>
      </c>
      <c r="K352" s="1020">
        <f>SUM(K350:K351)</f>
        <v>0</v>
      </c>
      <c r="L352" s="1020">
        <f>SUM(L350:L351)</f>
        <v>330853</v>
      </c>
      <c r="M352" s="1020">
        <f>SUM(M350:M351)</f>
        <v>0</v>
      </c>
      <c r="N352" s="1021">
        <f>SUM(N350:N351)</f>
        <v>0</v>
      </c>
      <c r="O352" s="586"/>
    </row>
    <row r="353" spans="1:15" s="63" customFormat="1" ht="17.25">
      <c r="A353" s="1194">
        <v>346</v>
      </c>
      <c r="B353" s="70"/>
      <c r="C353" s="71">
        <v>69</v>
      </c>
      <c r="D353" s="72" t="s">
        <v>275</v>
      </c>
      <c r="E353" s="71" t="s">
        <v>31</v>
      </c>
      <c r="F353" s="48">
        <v>686546</v>
      </c>
      <c r="G353" s="48">
        <v>550000</v>
      </c>
      <c r="H353" s="73">
        <v>688112</v>
      </c>
      <c r="I353" s="550"/>
      <c r="J353" s="1020"/>
      <c r="K353" s="1020"/>
      <c r="L353" s="1020"/>
      <c r="M353" s="1020"/>
      <c r="N353" s="1021"/>
      <c r="O353" s="586"/>
    </row>
    <row r="354" spans="1:15" s="56" customFormat="1" ht="16.5">
      <c r="A354" s="1194">
        <v>347</v>
      </c>
      <c r="B354" s="854"/>
      <c r="C354" s="71"/>
      <c r="D354" s="72" t="s">
        <v>635</v>
      </c>
      <c r="E354" s="855"/>
      <c r="F354" s="856"/>
      <c r="G354" s="856"/>
      <c r="H354" s="857"/>
      <c r="I354" s="874">
        <f t="shared" si="4"/>
        <v>600000</v>
      </c>
      <c r="J354" s="84"/>
      <c r="K354" s="84"/>
      <c r="L354" s="84">
        <v>600000</v>
      </c>
      <c r="M354" s="84"/>
      <c r="N354" s="85"/>
      <c r="O354" s="63">
        <f>SUM(J354:N354)-I354</f>
        <v>0</v>
      </c>
    </row>
    <row r="355" spans="1:15" s="862" customFormat="1" ht="17.25">
      <c r="A355" s="1194">
        <v>348</v>
      </c>
      <c r="B355" s="858"/>
      <c r="C355" s="87"/>
      <c r="D355" s="80" t="s">
        <v>870</v>
      </c>
      <c r="E355" s="859"/>
      <c r="F355" s="860"/>
      <c r="G355" s="860"/>
      <c r="H355" s="861"/>
      <c r="I355" s="875">
        <f aca="true" t="shared" si="5" ref="I355:I418">SUM(J355:N355)</f>
        <v>8000</v>
      </c>
      <c r="J355" s="1018"/>
      <c r="K355" s="1018"/>
      <c r="L355" s="1018">
        <v>8000</v>
      </c>
      <c r="M355" s="1018"/>
      <c r="N355" s="1019"/>
      <c r="O355" s="86"/>
    </row>
    <row r="356" spans="1:15" s="1110" customFormat="1" ht="17.25">
      <c r="A356" s="1194">
        <v>349</v>
      </c>
      <c r="B356" s="863"/>
      <c r="C356" s="864"/>
      <c r="D356" s="865" t="s">
        <v>637</v>
      </c>
      <c r="E356" s="866"/>
      <c r="F356" s="867"/>
      <c r="G356" s="867"/>
      <c r="H356" s="868"/>
      <c r="I356" s="550">
        <f t="shared" si="5"/>
        <v>608000</v>
      </c>
      <c r="J356" s="1020">
        <f>SUM(J354:J355)</f>
        <v>0</v>
      </c>
      <c r="K356" s="1020">
        <f>SUM(K354:K355)</f>
        <v>0</v>
      </c>
      <c r="L356" s="1020">
        <f>SUM(L354:L355)</f>
        <v>608000</v>
      </c>
      <c r="M356" s="1020">
        <f>SUM(M354:M355)</f>
        <v>0</v>
      </c>
      <c r="N356" s="1021">
        <f>SUM(N354:N355)</f>
        <v>0</v>
      </c>
      <c r="O356" s="586"/>
    </row>
    <row r="357" spans="1:15" s="1058" customFormat="1" ht="15">
      <c r="A357" s="1194">
        <v>350</v>
      </c>
      <c r="B357" s="1050"/>
      <c r="C357" s="1052">
        <v>70</v>
      </c>
      <c r="D357" s="1051" t="s">
        <v>276</v>
      </c>
      <c r="E357" s="1052" t="s">
        <v>31</v>
      </c>
      <c r="F357" s="1053">
        <v>18144</v>
      </c>
      <c r="G357" s="1053">
        <v>19200</v>
      </c>
      <c r="H357" s="1081">
        <v>15705</v>
      </c>
      <c r="I357" s="1054"/>
      <c r="J357" s="1055"/>
      <c r="K357" s="1055"/>
      <c r="L357" s="1055"/>
      <c r="M357" s="1055"/>
      <c r="N357" s="1056"/>
      <c r="O357" s="1057"/>
    </row>
    <row r="358" spans="1:15" s="1065" customFormat="1" ht="15">
      <c r="A358" s="1194">
        <v>351</v>
      </c>
      <c r="B358" s="1059"/>
      <c r="C358" s="1052"/>
      <c r="D358" s="1051" t="s">
        <v>635</v>
      </c>
      <c r="E358" s="1060"/>
      <c r="F358" s="1061"/>
      <c r="G358" s="1061"/>
      <c r="H358" s="1082"/>
      <c r="I358" s="1062">
        <f t="shared" si="5"/>
        <v>13307</v>
      </c>
      <c r="J358" s="1063"/>
      <c r="K358" s="1063"/>
      <c r="L358" s="1063">
        <v>13307</v>
      </c>
      <c r="M358" s="1063"/>
      <c r="N358" s="1064"/>
      <c r="O358" s="1058">
        <f>SUM(J358:N358)-I358</f>
        <v>0</v>
      </c>
    </row>
    <row r="359" spans="1:15" s="1074" customFormat="1" ht="15">
      <c r="A359" s="1194">
        <v>352</v>
      </c>
      <c r="B359" s="1066"/>
      <c r="C359" s="1199"/>
      <c r="D359" s="1067" t="s">
        <v>707</v>
      </c>
      <c r="E359" s="1068"/>
      <c r="F359" s="1069"/>
      <c r="G359" s="1069"/>
      <c r="H359" s="1083"/>
      <c r="I359" s="1070">
        <f t="shared" si="5"/>
        <v>3440</v>
      </c>
      <c r="J359" s="1071"/>
      <c r="K359" s="1071"/>
      <c r="L359" s="1071">
        <v>3440</v>
      </c>
      <c r="M359" s="1071"/>
      <c r="N359" s="1072"/>
      <c r="O359" s="1073"/>
    </row>
    <row r="360" spans="1:15" s="1079" customFormat="1" ht="15">
      <c r="A360" s="1194">
        <v>353</v>
      </c>
      <c r="B360" s="1075"/>
      <c r="C360" s="1198"/>
      <c r="D360" s="1076" t="s">
        <v>637</v>
      </c>
      <c r="E360" s="1077"/>
      <c r="F360" s="1078"/>
      <c r="G360" s="1078"/>
      <c r="H360" s="1080"/>
      <c r="I360" s="1054">
        <f t="shared" si="5"/>
        <v>16747</v>
      </c>
      <c r="J360" s="1055">
        <f>SUM(J358:J359)</f>
        <v>0</v>
      </c>
      <c r="K360" s="1055">
        <f>SUM(K358:K359)</f>
        <v>0</v>
      </c>
      <c r="L360" s="1055">
        <f>SUM(L358:L359)</f>
        <v>16747</v>
      </c>
      <c r="M360" s="1055">
        <f>SUM(M358:M359)</f>
        <v>0</v>
      </c>
      <c r="N360" s="1056">
        <f>SUM(N358:N359)</f>
        <v>0</v>
      </c>
      <c r="O360" s="1057"/>
    </row>
    <row r="361" spans="1:15" s="1058" customFormat="1" ht="15">
      <c r="A361" s="1194">
        <v>354</v>
      </c>
      <c r="B361" s="1050"/>
      <c r="C361" s="1052">
        <v>71</v>
      </c>
      <c r="D361" s="1051" t="s">
        <v>10</v>
      </c>
      <c r="E361" s="1052" t="s">
        <v>31</v>
      </c>
      <c r="F361" s="1053">
        <v>20000</v>
      </c>
      <c r="G361" s="1053">
        <v>23000</v>
      </c>
      <c r="H361" s="1081">
        <v>23000</v>
      </c>
      <c r="I361" s="1054"/>
      <c r="J361" s="1055"/>
      <c r="K361" s="1055"/>
      <c r="L361" s="1055"/>
      <c r="M361" s="1055"/>
      <c r="N361" s="1056"/>
      <c r="O361" s="1057"/>
    </row>
    <row r="362" spans="1:15" s="1065" customFormat="1" ht="15">
      <c r="A362" s="1194">
        <v>355</v>
      </c>
      <c r="B362" s="1059"/>
      <c r="C362" s="1052"/>
      <c r="D362" s="1051" t="s">
        <v>635</v>
      </c>
      <c r="E362" s="1060"/>
      <c r="F362" s="1061"/>
      <c r="G362" s="1061"/>
      <c r="H362" s="1082"/>
      <c r="I362" s="1062">
        <f t="shared" si="5"/>
        <v>21000</v>
      </c>
      <c r="J362" s="1063"/>
      <c r="K362" s="1063"/>
      <c r="L362" s="1063"/>
      <c r="M362" s="1063"/>
      <c r="N362" s="1064">
        <v>21000</v>
      </c>
      <c r="O362" s="1058">
        <f>SUM(J362:N362)-I362</f>
        <v>0</v>
      </c>
    </row>
    <row r="363" spans="1:15" s="1074" customFormat="1" ht="15">
      <c r="A363" s="1194">
        <v>356</v>
      </c>
      <c r="B363" s="1066"/>
      <c r="C363" s="1199"/>
      <c r="D363" s="1067" t="s">
        <v>636</v>
      </c>
      <c r="E363" s="1068"/>
      <c r="F363" s="1069"/>
      <c r="G363" s="1069"/>
      <c r="H363" s="1083"/>
      <c r="I363" s="1070">
        <f t="shared" si="5"/>
        <v>0</v>
      </c>
      <c r="J363" s="1071"/>
      <c r="K363" s="1071"/>
      <c r="L363" s="1071"/>
      <c r="M363" s="1071"/>
      <c r="N363" s="1072"/>
      <c r="O363" s="1073"/>
    </row>
    <row r="364" spans="1:15" s="1079" customFormat="1" ht="15">
      <c r="A364" s="1194">
        <v>357</v>
      </c>
      <c r="B364" s="1075"/>
      <c r="C364" s="1198"/>
      <c r="D364" s="1076" t="s">
        <v>637</v>
      </c>
      <c r="E364" s="1077"/>
      <c r="F364" s="1078"/>
      <c r="G364" s="1078"/>
      <c r="H364" s="1080"/>
      <c r="I364" s="1054">
        <f t="shared" si="5"/>
        <v>21000</v>
      </c>
      <c r="J364" s="1055">
        <f>SUM(J362:J363)</f>
        <v>0</v>
      </c>
      <c r="K364" s="1055">
        <f>SUM(K362:K363)</f>
        <v>0</v>
      </c>
      <c r="L364" s="1055">
        <f>SUM(L362:L363)</f>
        <v>0</v>
      </c>
      <c r="M364" s="1055">
        <f>SUM(M362:M363)</f>
        <v>0</v>
      </c>
      <c r="N364" s="1056">
        <f>SUM(N362:N363)</f>
        <v>21000</v>
      </c>
      <c r="O364" s="1057"/>
    </row>
    <row r="365" spans="1:15" s="1058" customFormat="1" ht="15">
      <c r="A365" s="1194">
        <v>358</v>
      </c>
      <c r="B365" s="1050"/>
      <c r="C365" s="1052">
        <v>72</v>
      </c>
      <c r="D365" s="1051" t="s">
        <v>13</v>
      </c>
      <c r="E365" s="1052" t="s">
        <v>31</v>
      </c>
      <c r="F365" s="1053"/>
      <c r="G365" s="1053">
        <v>50000</v>
      </c>
      <c r="H365" s="1081"/>
      <c r="I365" s="1054"/>
      <c r="J365" s="1055"/>
      <c r="K365" s="1055"/>
      <c r="L365" s="1055"/>
      <c r="M365" s="1055"/>
      <c r="N365" s="1056"/>
      <c r="O365" s="1057"/>
    </row>
    <row r="366" spans="1:15" s="1065" customFormat="1" ht="15">
      <c r="A366" s="1194">
        <v>359</v>
      </c>
      <c r="B366" s="1059"/>
      <c r="C366" s="1052"/>
      <c r="D366" s="1051" t="s">
        <v>635</v>
      </c>
      <c r="E366" s="1060"/>
      <c r="F366" s="1061"/>
      <c r="G366" s="1061"/>
      <c r="H366" s="1082"/>
      <c r="I366" s="1062">
        <f t="shared" si="5"/>
        <v>60000</v>
      </c>
      <c r="J366" s="1063"/>
      <c r="K366" s="1063"/>
      <c r="L366" s="1063"/>
      <c r="M366" s="1063"/>
      <c r="N366" s="1064">
        <v>60000</v>
      </c>
      <c r="O366" s="1058">
        <f>SUM(J366:N366)-I366</f>
        <v>0</v>
      </c>
    </row>
    <row r="367" spans="1:15" s="1074" customFormat="1" ht="15">
      <c r="A367" s="1194">
        <v>360</v>
      </c>
      <c r="B367" s="1066"/>
      <c r="C367" s="1199"/>
      <c r="D367" s="1067" t="s">
        <v>707</v>
      </c>
      <c r="E367" s="1068"/>
      <c r="F367" s="1069"/>
      <c r="G367" s="1069"/>
      <c r="H367" s="1083"/>
      <c r="I367" s="1070">
        <f t="shared" si="5"/>
        <v>50000</v>
      </c>
      <c r="J367" s="1071"/>
      <c r="K367" s="1071"/>
      <c r="L367" s="1071"/>
      <c r="M367" s="1071"/>
      <c r="N367" s="1072">
        <v>50000</v>
      </c>
      <c r="O367" s="1073"/>
    </row>
    <row r="368" spans="1:15" s="1079" customFormat="1" ht="15">
      <c r="A368" s="1194">
        <v>361</v>
      </c>
      <c r="B368" s="1075"/>
      <c r="C368" s="1198"/>
      <c r="D368" s="1076" t="s">
        <v>637</v>
      </c>
      <c r="E368" s="1077"/>
      <c r="F368" s="1078"/>
      <c r="G368" s="1078"/>
      <c r="H368" s="1080"/>
      <c r="I368" s="1054">
        <f t="shared" si="5"/>
        <v>110000</v>
      </c>
      <c r="J368" s="1055">
        <f>SUM(J366:J367)</f>
        <v>0</v>
      </c>
      <c r="K368" s="1055">
        <f>SUM(K366:K367)</f>
        <v>0</v>
      </c>
      <c r="L368" s="1055">
        <f>SUM(L366:L367)</f>
        <v>0</v>
      </c>
      <c r="M368" s="1055">
        <f>SUM(M366:M367)</f>
        <v>0</v>
      </c>
      <c r="N368" s="1056">
        <f>SUM(N366:N367)</f>
        <v>110000</v>
      </c>
      <c r="O368" s="1057"/>
    </row>
    <row r="369" spans="1:15" s="1058" customFormat="1" ht="15">
      <c r="A369" s="1194">
        <v>362</v>
      </c>
      <c r="B369" s="1050"/>
      <c r="C369" s="1052">
        <v>73</v>
      </c>
      <c r="D369" s="1051" t="s">
        <v>277</v>
      </c>
      <c r="E369" s="1052" t="s">
        <v>31</v>
      </c>
      <c r="F369" s="1053">
        <v>5445</v>
      </c>
      <c r="G369" s="1053"/>
      <c r="H369" s="1081">
        <v>6140</v>
      </c>
      <c r="I369" s="1054"/>
      <c r="J369" s="1055"/>
      <c r="K369" s="1055"/>
      <c r="L369" s="1055"/>
      <c r="M369" s="1055"/>
      <c r="N369" s="1056"/>
      <c r="O369" s="1057"/>
    </row>
    <row r="370" spans="1:15" s="1065" customFormat="1" ht="15">
      <c r="A370" s="1194">
        <v>363</v>
      </c>
      <c r="B370" s="1059"/>
      <c r="C370" s="1052"/>
      <c r="D370" s="1051" t="s">
        <v>635</v>
      </c>
      <c r="E370" s="1060"/>
      <c r="F370" s="1061"/>
      <c r="G370" s="1061"/>
      <c r="H370" s="1082"/>
      <c r="I370" s="1062">
        <f t="shared" si="5"/>
        <v>31019</v>
      </c>
      <c r="J370" s="1063"/>
      <c r="K370" s="1063"/>
      <c r="L370" s="1063">
        <v>31019</v>
      </c>
      <c r="M370" s="1063"/>
      <c r="N370" s="1064"/>
      <c r="O370" s="1058">
        <f>SUM(J370:N370)-I370</f>
        <v>0</v>
      </c>
    </row>
    <row r="371" spans="1:15" s="1074" customFormat="1" ht="15">
      <c r="A371" s="1194">
        <v>364</v>
      </c>
      <c r="B371" s="1066"/>
      <c r="C371" s="1199"/>
      <c r="D371" s="1067" t="s">
        <v>707</v>
      </c>
      <c r="E371" s="1068"/>
      <c r="F371" s="1069"/>
      <c r="G371" s="1069"/>
      <c r="H371" s="1083"/>
      <c r="I371" s="1070">
        <f t="shared" si="5"/>
        <v>9860</v>
      </c>
      <c r="J371" s="1071"/>
      <c r="K371" s="1071"/>
      <c r="L371" s="1071">
        <v>9860</v>
      </c>
      <c r="M371" s="1071"/>
      <c r="N371" s="1072"/>
      <c r="O371" s="1073"/>
    </row>
    <row r="372" spans="1:15" s="1079" customFormat="1" ht="15">
      <c r="A372" s="1194">
        <v>365</v>
      </c>
      <c r="B372" s="1075"/>
      <c r="C372" s="1198"/>
      <c r="D372" s="1076" t="s">
        <v>637</v>
      </c>
      <c r="E372" s="1077"/>
      <c r="F372" s="1078"/>
      <c r="G372" s="1078"/>
      <c r="H372" s="1080"/>
      <c r="I372" s="1054">
        <f t="shared" si="5"/>
        <v>40879</v>
      </c>
      <c r="J372" s="1055">
        <f>SUM(J370:J371)</f>
        <v>0</v>
      </c>
      <c r="K372" s="1055">
        <f>SUM(K370:K371)</f>
        <v>0</v>
      </c>
      <c r="L372" s="1055">
        <f>SUM(L370:L371)</f>
        <v>40879</v>
      </c>
      <c r="M372" s="1055">
        <f>SUM(M370:M371)</f>
        <v>0</v>
      </c>
      <c r="N372" s="1056">
        <f>SUM(N370:N371)</f>
        <v>0</v>
      </c>
      <c r="O372" s="1057"/>
    </row>
    <row r="373" spans="1:15" s="1058" customFormat="1" ht="15">
      <c r="A373" s="1194">
        <v>366</v>
      </c>
      <c r="B373" s="1050"/>
      <c r="C373" s="1052">
        <v>74</v>
      </c>
      <c r="D373" s="1051" t="s">
        <v>278</v>
      </c>
      <c r="E373" s="1052" t="s">
        <v>31</v>
      </c>
      <c r="F373" s="1053">
        <v>291122</v>
      </c>
      <c r="G373" s="1053">
        <v>250000</v>
      </c>
      <c r="H373" s="1081">
        <v>321551</v>
      </c>
      <c r="I373" s="1054"/>
      <c r="J373" s="1055"/>
      <c r="K373" s="1055"/>
      <c r="L373" s="1055"/>
      <c r="M373" s="1055"/>
      <c r="N373" s="1056"/>
      <c r="O373" s="1057"/>
    </row>
    <row r="374" spans="1:15" s="1065" customFormat="1" ht="15">
      <c r="A374" s="1194">
        <v>367</v>
      </c>
      <c r="B374" s="1059"/>
      <c r="C374" s="1052"/>
      <c r="D374" s="1051" t="s">
        <v>635</v>
      </c>
      <c r="E374" s="1060"/>
      <c r="F374" s="1061"/>
      <c r="G374" s="1061"/>
      <c r="H374" s="1082"/>
      <c r="I374" s="1062">
        <f t="shared" si="5"/>
        <v>210000</v>
      </c>
      <c r="J374" s="1063"/>
      <c r="K374" s="1063"/>
      <c r="L374" s="1063"/>
      <c r="M374" s="1063"/>
      <c r="N374" s="1064">
        <v>210000</v>
      </c>
      <c r="O374" s="1058">
        <f>SUM(J374:N374)-I374</f>
        <v>0</v>
      </c>
    </row>
    <row r="375" spans="1:15" s="1074" customFormat="1" ht="15">
      <c r="A375" s="1194">
        <v>368</v>
      </c>
      <c r="B375" s="1066"/>
      <c r="C375" s="1199"/>
      <c r="D375" s="1067" t="s">
        <v>707</v>
      </c>
      <c r="E375" s="1068"/>
      <c r="F375" s="1069"/>
      <c r="G375" s="1069"/>
      <c r="H375" s="1083"/>
      <c r="I375" s="1070">
        <f t="shared" si="5"/>
        <v>13184</v>
      </c>
      <c r="J375" s="1071"/>
      <c r="K375" s="1071"/>
      <c r="L375" s="1071"/>
      <c r="M375" s="1071"/>
      <c r="N375" s="1072">
        <v>13184</v>
      </c>
      <c r="O375" s="1073"/>
    </row>
    <row r="376" spans="1:15" s="1079" customFormat="1" ht="15">
      <c r="A376" s="1194">
        <v>369</v>
      </c>
      <c r="B376" s="1075"/>
      <c r="C376" s="1198"/>
      <c r="D376" s="1076" t="s">
        <v>637</v>
      </c>
      <c r="E376" s="1077"/>
      <c r="F376" s="1078"/>
      <c r="G376" s="1078"/>
      <c r="H376" s="1080"/>
      <c r="I376" s="1054">
        <f t="shared" si="5"/>
        <v>223184</v>
      </c>
      <c r="J376" s="1055">
        <f>SUM(J374:J375)</f>
        <v>0</v>
      </c>
      <c r="K376" s="1055">
        <f>SUM(K374:K375)</f>
        <v>0</v>
      </c>
      <c r="L376" s="1055">
        <f>SUM(L374:L375)</f>
        <v>0</v>
      </c>
      <c r="M376" s="1055">
        <f>SUM(M374:M375)</f>
        <v>0</v>
      </c>
      <c r="N376" s="1056">
        <f>SUM(N374:N375)</f>
        <v>223184</v>
      </c>
      <c r="O376" s="1057"/>
    </row>
    <row r="377" spans="1:15" s="1058" customFormat="1" ht="15">
      <c r="A377" s="1194">
        <v>370</v>
      </c>
      <c r="B377" s="1050"/>
      <c r="C377" s="1052">
        <v>75</v>
      </c>
      <c r="D377" s="1051" t="s">
        <v>279</v>
      </c>
      <c r="E377" s="1052" t="s">
        <v>33</v>
      </c>
      <c r="F377" s="1053">
        <v>24355</v>
      </c>
      <c r="G377" s="1053">
        <v>26055</v>
      </c>
      <c r="H377" s="1081">
        <v>26055</v>
      </c>
      <c r="I377" s="1054"/>
      <c r="J377" s="1055"/>
      <c r="K377" s="1055"/>
      <c r="L377" s="1055"/>
      <c r="M377" s="1055"/>
      <c r="N377" s="1056"/>
      <c r="O377" s="1057"/>
    </row>
    <row r="378" spans="1:15" s="1065" customFormat="1" ht="15">
      <c r="A378" s="1194">
        <v>371</v>
      </c>
      <c r="B378" s="1059"/>
      <c r="C378" s="1052"/>
      <c r="D378" s="1051" t="s">
        <v>635</v>
      </c>
      <c r="E378" s="1060"/>
      <c r="F378" s="1061"/>
      <c r="G378" s="1061"/>
      <c r="H378" s="1082"/>
      <c r="I378" s="1062">
        <f t="shared" si="5"/>
        <v>26055</v>
      </c>
      <c r="J378" s="1063"/>
      <c r="K378" s="1063"/>
      <c r="L378" s="1063"/>
      <c r="M378" s="1063"/>
      <c r="N378" s="1064">
        <v>26055</v>
      </c>
      <c r="O378" s="1058">
        <f>SUM(J378:N378)-I378</f>
        <v>0</v>
      </c>
    </row>
    <row r="379" spans="1:15" s="1074" customFormat="1" ht="15">
      <c r="A379" s="1194">
        <v>372</v>
      </c>
      <c r="B379" s="1066"/>
      <c r="C379" s="1199"/>
      <c r="D379" s="1067" t="s">
        <v>636</v>
      </c>
      <c r="E379" s="1068"/>
      <c r="F379" s="1069"/>
      <c r="G379" s="1069"/>
      <c r="H379" s="1083"/>
      <c r="I379" s="1070">
        <f t="shared" si="5"/>
        <v>0</v>
      </c>
      <c r="J379" s="1071"/>
      <c r="K379" s="1071"/>
      <c r="L379" s="1071"/>
      <c r="M379" s="1071"/>
      <c r="N379" s="1072"/>
      <c r="O379" s="1073"/>
    </row>
    <row r="380" spans="1:15" s="1079" customFormat="1" ht="15">
      <c r="A380" s="1194">
        <v>373</v>
      </c>
      <c r="B380" s="1075"/>
      <c r="C380" s="1198"/>
      <c r="D380" s="1076" t="s">
        <v>637</v>
      </c>
      <c r="E380" s="1077"/>
      <c r="F380" s="1078"/>
      <c r="G380" s="1078"/>
      <c r="H380" s="1080"/>
      <c r="I380" s="1054">
        <f t="shared" si="5"/>
        <v>26055</v>
      </c>
      <c r="J380" s="1055">
        <f>SUM(J378:J379)</f>
        <v>0</v>
      </c>
      <c r="K380" s="1055">
        <f>SUM(K378:K379)</f>
        <v>0</v>
      </c>
      <c r="L380" s="1055">
        <f>SUM(L378:L379)</f>
        <v>0</v>
      </c>
      <c r="M380" s="1055">
        <f>SUM(M378:M379)</f>
        <v>0</v>
      </c>
      <c r="N380" s="1056">
        <f>SUM(N378:N379)</f>
        <v>26055</v>
      </c>
      <c r="O380" s="1057"/>
    </row>
    <row r="381" spans="1:15" s="1058" customFormat="1" ht="15">
      <c r="A381" s="1194">
        <v>374</v>
      </c>
      <c r="B381" s="1050"/>
      <c r="C381" s="1052">
        <v>76</v>
      </c>
      <c r="D381" s="1051" t="s">
        <v>280</v>
      </c>
      <c r="E381" s="1052" t="s">
        <v>33</v>
      </c>
      <c r="F381" s="1053">
        <v>45000</v>
      </c>
      <c r="G381" s="1053">
        <v>50000</v>
      </c>
      <c r="H381" s="1081">
        <v>50000</v>
      </c>
      <c r="I381" s="1054"/>
      <c r="J381" s="1055"/>
      <c r="K381" s="1055"/>
      <c r="L381" s="1055"/>
      <c r="M381" s="1055"/>
      <c r="N381" s="1056"/>
      <c r="O381" s="1057"/>
    </row>
    <row r="382" spans="1:15" s="1065" customFormat="1" ht="15">
      <c r="A382" s="1194">
        <v>375</v>
      </c>
      <c r="B382" s="1059"/>
      <c r="C382" s="1052"/>
      <c r="D382" s="1051" t="s">
        <v>635</v>
      </c>
      <c r="E382" s="1060"/>
      <c r="F382" s="1061"/>
      <c r="G382" s="1061"/>
      <c r="H382" s="1082"/>
      <c r="I382" s="1062">
        <f t="shared" si="5"/>
        <v>50000</v>
      </c>
      <c r="J382" s="1063"/>
      <c r="K382" s="1063"/>
      <c r="L382" s="1063"/>
      <c r="M382" s="1063"/>
      <c r="N382" s="1064">
        <v>50000</v>
      </c>
      <c r="O382" s="1058">
        <f>SUM(J382:N382)-I382</f>
        <v>0</v>
      </c>
    </row>
    <row r="383" spans="1:15" s="1074" customFormat="1" ht="15">
      <c r="A383" s="1194">
        <v>376</v>
      </c>
      <c r="B383" s="1066"/>
      <c r="C383" s="1199"/>
      <c r="D383" s="1067" t="s">
        <v>636</v>
      </c>
      <c r="E383" s="1068"/>
      <c r="F383" s="1069"/>
      <c r="G383" s="1069"/>
      <c r="H383" s="1083"/>
      <c r="I383" s="1070">
        <f t="shared" si="5"/>
        <v>0</v>
      </c>
      <c r="J383" s="1071"/>
      <c r="K383" s="1071"/>
      <c r="L383" s="1071"/>
      <c r="M383" s="1071"/>
      <c r="N383" s="1072"/>
      <c r="O383" s="1073"/>
    </row>
    <row r="384" spans="1:15" s="1079" customFormat="1" ht="15">
      <c r="A384" s="1194">
        <v>377</v>
      </c>
      <c r="B384" s="1075"/>
      <c r="C384" s="1198"/>
      <c r="D384" s="1076" t="s">
        <v>637</v>
      </c>
      <c r="E384" s="1077"/>
      <c r="F384" s="1078"/>
      <c r="G384" s="1078"/>
      <c r="H384" s="1080"/>
      <c r="I384" s="1054">
        <f t="shared" si="5"/>
        <v>50000</v>
      </c>
      <c r="J384" s="1055">
        <f>SUM(J382:J383)</f>
        <v>0</v>
      </c>
      <c r="K384" s="1055">
        <f>SUM(K382:K383)</f>
        <v>0</v>
      </c>
      <c r="L384" s="1055">
        <f>SUM(L382:L383)</f>
        <v>0</v>
      </c>
      <c r="M384" s="1055">
        <f>SUM(M382:M383)</f>
        <v>0</v>
      </c>
      <c r="N384" s="1056">
        <f>SUM(N382:N383)</f>
        <v>50000</v>
      </c>
      <c r="O384" s="1057"/>
    </row>
    <row r="385" spans="1:15" s="1058" customFormat="1" ht="15">
      <c r="A385" s="1194">
        <v>378</v>
      </c>
      <c r="B385" s="1050"/>
      <c r="C385" s="1052">
        <v>77</v>
      </c>
      <c r="D385" s="1051" t="s">
        <v>281</v>
      </c>
      <c r="E385" s="1052" t="s">
        <v>33</v>
      </c>
      <c r="F385" s="1053"/>
      <c r="G385" s="1053">
        <v>13900</v>
      </c>
      <c r="H385" s="1081"/>
      <c r="I385" s="1054"/>
      <c r="J385" s="1055"/>
      <c r="K385" s="1055"/>
      <c r="L385" s="1055"/>
      <c r="M385" s="1055"/>
      <c r="N385" s="1056"/>
      <c r="O385" s="1057"/>
    </row>
    <row r="386" spans="1:15" s="1065" customFormat="1" ht="15">
      <c r="A386" s="1194">
        <v>379</v>
      </c>
      <c r="B386" s="1059"/>
      <c r="C386" s="1052"/>
      <c r="D386" s="1051" t="s">
        <v>635</v>
      </c>
      <c r="E386" s="1060"/>
      <c r="F386" s="1061"/>
      <c r="G386" s="1061"/>
      <c r="H386" s="1082"/>
      <c r="I386" s="1062">
        <f t="shared" si="5"/>
        <v>5000</v>
      </c>
      <c r="J386" s="1063"/>
      <c r="K386" s="1063"/>
      <c r="L386" s="1063">
        <v>5000</v>
      </c>
      <c r="M386" s="1063"/>
      <c r="N386" s="1064"/>
      <c r="O386" s="1058">
        <f>SUM(J386:N386)-I386</f>
        <v>0</v>
      </c>
    </row>
    <row r="387" spans="1:15" s="1074" customFormat="1" ht="15">
      <c r="A387" s="1194">
        <v>380</v>
      </c>
      <c r="B387" s="1066"/>
      <c r="C387" s="1199"/>
      <c r="D387" s="1067" t="s">
        <v>688</v>
      </c>
      <c r="E387" s="1068"/>
      <c r="F387" s="1069"/>
      <c r="G387" s="1069"/>
      <c r="H387" s="1083"/>
      <c r="I387" s="1070">
        <f t="shared" si="5"/>
        <v>-5000</v>
      </c>
      <c r="J387" s="1071"/>
      <c r="K387" s="1071"/>
      <c r="L387" s="1071">
        <v>-5000</v>
      </c>
      <c r="M387" s="1071"/>
      <c r="N387" s="1072"/>
      <c r="O387" s="1073"/>
    </row>
    <row r="388" spans="1:15" s="1079" customFormat="1" ht="15">
      <c r="A388" s="1194">
        <v>381</v>
      </c>
      <c r="B388" s="1075"/>
      <c r="C388" s="1198"/>
      <c r="D388" s="1076" t="s">
        <v>637</v>
      </c>
      <c r="E388" s="1077"/>
      <c r="F388" s="1078"/>
      <c r="G388" s="1078"/>
      <c r="H388" s="1080"/>
      <c r="I388" s="1054">
        <f t="shared" si="5"/>
        <v>0</v>
      </c>
      <c r="J388" s="1055">
        <f>SUM(J386:J387)</f>
        <v>0</v>
      </c>
      <c r="K388" s="1055">
        <f>SUM(K386:K387)</f>
        <v>0</v>
      </c>
      <c r="L388" s="1055">
        <f>SUM(L386:L387)</f>
        <v>0</v>
      </c>
      <c r="M388" s="1055">
        <f>SUM(M386:M387)</f>
        <v>0</v>
      </c>
      <c r="N388" s="1056">
        <f>SUM(N386:N387)</f>
        <v>0</v>
      </c>
      <c r="O388" s="1057"/>
    </row>
    <row r="389" spans="1:15" s="1058" customFormat="1" ht="15">
      <c r="A389" s="1194">
        <v>382</v>
      </c>
      <c r="B389" s="1050"/>
      <c r="C389" s="1052">
        <v>78</v>
      </c>
      <c r="D389" s="1051" t="s">
        <v>282</v>
      </c>
      <c r="E389" s="1052" t="s">
        <v>33</v>
      </c>
      <c r="F389" s="1053">
        <v>60000</v>
      </c>
      <c r="G389" s="1053">
        <v>85000</v>
      </c>
      <c r="H389" s="1081">
        <v>85000</v>
      </c>
      <c r="I389" s="1054"/>
      <c r="J389" s="1055"/>
      <c r="K389" s="1055"/>
      <c r="L389" s="1055"/>
      <c r="M389" s="1055"/>
      <c r="N389" s="1056"/>
      <c r="O389" s="1057"/>
    </row>
    <row r="390" spans="1:15" s="1065" customFormat="1" ht="15">
      <c r="A390" s="1194">
        <v>383</v>
      </c>
      <c r="B390" s="1059"/>
      <c r="C390" s="1052"/>
      <c r="D390" s="1051" t="s">
        <v>635</v>
      </c>
      <c r="E390" s="1060"/>
      <c r="F390" s="1061"/>
      <c r="G390" s="1061"/>
      <c r="H390" s="1082"/>
      <c r="I390" s="1062">
        <f t="shared" si="5"/>
        <v>100000</v>
      </c>
      <c r="J390" s="1063"/>
      <c r="K390" s="1063"/>
      <c r="L390" s="1063"/>
      <c r="M390" s="1063"/>
      <c r="N390" s="1064">
        <v>100000</v>
      </c>
      <c r="O390" s="1058">
        <f>SUM(J390:N390)-I390</f>
        <v>0</v>
      </c>
    </row>
    <row r="391" spans="1:15" s="1074" customFormat="1" ht="15">
      <c r="A391" s="1194">
        <v>384</v>
      </c>
      <c r="B391" s="1066"/>
      <c r="C391" s="1199"/>
      <c r="D391" s="1067" t="s">
        <v>636</v>
      </c>
      <c r="E391" s="1068"/>
      <c r="F391" s="1069"/>
      <c r="G391" s="1069"/>
      <c r="H391" s="1083"/>
      <c r="I391" s="1070">
        <f t="shared" si="5"/>
        <v>0</v>
      </c>
      <c r="J391" s="1071"/>
      <c r="K391" s="1071"/>
      <c r="L391" s="1071"/>
      <c r="M391" s="1071"/>
      <c r="N391" s="1072"/>
      <c r="O391" s="1073"/>
    </row>
    <row r="392" spans="1:15" s="1079" customFormat="1" ht="15">
      <c r="A392" s="1194">
        <v>385</v>
      </c>
      <c r="B392" s="1075"/>
      <c r="C392" s="1198"/>
      <c r="D392" s="1076" t="s">
        <v>637</v>
      </c>
      <c r="E392" s="1077"/>
      <c r="F392" s="1078"/>
      <c r="G392" s="1078"/>
      <c r="H392" s="1080"/>
      <c r="I392" s="1054">
        <f t="shared" si="5"/>
        <v>100000</v>
      </c>
      <c r="J392" s="1055">
        <f>SUM(J390:J391)</f>
        <v>0</v>
      </c>
      <c r="K392" s="1055">
        <f>SUM(K390:K391)</f>
        <v>0</v>
      </c>
      <c r="L392" s="1055">
        <f>SUM(L390:L391)</f>
        <v>0</v>
      </c>
      <c r="M392" s="1055">
        <f>SUM(M390:M391)</f>
        <v>0</v>
      </c>
      <c r="N392" s="1056">
        <f>SUM(N390:N391)</f>
        <v>100000</v>
      </c>
      <c r="O392" s="1057"/>
    </row>
    <row r="393" spans="1:15" s="1058" customFormat="1" ht="15">
      <c r="A393" s="1194">
        <v>386</v>
      </c>
      <c r="B393" s="1050"/>
      <c r="C393" s="1052">
        <v>79</v>
      </c>
      <c r="D393" s="1051" t="s">
        <v>283</v>
      </c>
      <c r="E393" s="1052" t="s">
        <v>33</v>
      </c>
      <c r="F393" s="1053">
        <v>4957</v>
      </c>
      <c r="G393" s="1053">
        <v>17500</v>
      </c>
      <c r="H393" s="1081"/>
      <c r="I393" s="1054"/>
      <c r="J393" s="1055"/>
      <c r="K393" s="1055"/>
      <c r="L393" s="1055"/>
      <c r="M393" s="1055"/>
      <c r="N393" s="1056"/>
      <c r="O393" s="1057"/>
    </row>
    <row r="394" spans="1:15" s="1065" customFormat="1" ht="15">
      <c r="A394" s="1194">
        <v>387</v>
      </c>
      <c r="B394" s="1059"/>
      <c r="C394" s="1052"/>
      <c r="D394" s="1051" t="s">
        <v>635</v>
      </c>
      <c r="E394" s="1060"/>
      <c r="F394" s="1061"/>
      <c r="G394" s="1061"/>
      <c r="H394" s="1082"/>
      <c r="I394" s="1062">
        <f t="shared" si="5"/>
        <v>17500</v>
      </c>
      <c r="J394" s="1063"/>
      <c r="K394" s="1063"/>
      <c r="L394" s="1063">
        <v>17500</v>
      </c>
      <c r="M394" s="1063"/>
      <c r="N394" s="1064"/>
      <c r="O394" s="1058">
        <f>SUM(J394:N394)-I394</f>
        <v>0</v>
      </c>
    </row>
    <row r="395" spans="1:15" s="1074" customFormat="1" ht="15">
      <c r="A395" s="1194">
        <v>388</v>
      </c>
      <c r="B395" s="1066"/>
      <c r="C395" s="1199"/>
      <c r="D395" s="1067" t="s">
        <v>707</v>
      </c>
      <c r="E395" s="1068"/>
      <c r="F395" s="1069"/>
      <c r="G395" s="1069"/>
      <c r="H395" s="1083"/>
      <c r="I395" s="1070">
        <f t="shared" si="5"/>
        <v>10000</v>
      </c>
      <c r="J395" s="1071"/>
      <c r="K395" s="1071"/>
      <c r="L395" s="1071">
        <v>10000</v>
      </c>
      <c r="M395" s="1071"/>
      <c r="N395" s="1072"/>
      <c r="O395" s="1073"/>
    </row>
    <row r="396" spans="1:15" s="1079" customFormat="1" ht="15">
      <c r="A396" s="1194">
        <v>389</v>
      </c>
      <c r="B396" s="1075"/>
      <c r="C396" s="1198"/>
      <c r="D396" s="1076" t="s">
        <v>637</v>
      </c>
      <c r="E396" s="1077"/>
      <c r="F396" s="1078"/>
      <c r="G396" s="1078"/>
      <c r="H396" s="1080"/>
      <c r="I396" s="1054">
        <f t="shared" si="5"/>
        <v>27500</v>
      </c>
      <c r="J396" s="1055">
        <f>SUM(J394:J395)</f>
        <v>0</v>
      </c>
      <c r="K396" s="1055">
        <f>SUM(K394:K395)</f>
        <v>0</v>
      </c>
      <c r="L396" s="1055">
        <f>SUM(L394:L395)</f>
        <v>27500</v>
      </c>
      <c r="M396" s="1055">
        <f>SUM(M394:M395)</f>
        <v>0</v>
      </c>
      <c r="N396" s="1056">
        <f>SUM(N394:N395)</f>
        <v>0</v>
      </c>
      <c r="O396" s="1057"/>
    </row>
    <row r="397" spans="1:15" s="1058" customFormat="1" ht="15">
      <c r="A397" s="1194">
        <v>390</v>
      </c>
      <c r="B397" s="1050"/>
      <c r="C397" s="1052">
        <v>80</v>
      </c>
      <c r="D397" s="1051" t="s">
        <v>284</v>
      </c>
      <c r="E397" s="1052" t="s">
        <v>33</v>
      </c>
      <c r="F397" s="1053">
        <v>12573</v>
      </c>
      <c r="G397" s="1053">
        <v>14000</v>
      </c>
      <c r="H397" s="1081">
        <v>14203</v>
      </c>
      <c r="I397" s="1054"/>
      <c r="J397" s="1055"/>
      <c r="K397" s="1055"/>
      <c r="L397" s="1055"/>
      <c r="M397" s="1055"/>
      <c r="N397" s="1056"/>
      <c r="O397" s="1057"/>
    </row>
    <row r="398" spans="1:15" s="1065" customFormat="1" ht="15">
      <c r="A398" s="1194">
        <v>391</v>
      </c>
      <c r="B398" s="1059"/>
      <c r="C398" s="1052"/>
      <c r="D398" s="1051" t="s">
        <v>635</v>
      </c>
      <c r="E398" s="1060"/>
      <c r="F398" s="1061"/>
      <c r="G398" s="1061"/>
      <c r="H398" s="1082"/>
      <c r="I398" s="1062">
        <f t="shared" si="5"/>
        <v>19000</v>
      </c>
      <c r="J398" s="1063"/>
      <c r="K398" s="1063"/>
      <c r="L398" s="1063">
        <v>19000</v>
      </c>
      <c r="M398" s="1063"/>
      <c r="N398" s="1064"/>
      <c r="O398" s="1058">
        <f>SUM(J398:N398)-I398</f>
        <v>0</v>
      </c>
    </row>
    <row r="399" spans="1:15" s="1074" customFormat="1" ht="15">
      <c r="A399" s="1194">
        <v>392</v>
      </c>
      <c r="B399" s="1066"/>
      <c r="C399" s="1199"/>
      <c r="D399" s="1067" t="s">
        <v>636</v>
      </c>
      <c r="E399" s="1068"/>
      <c r="F399" s="1069"/>
      <c r="G399" s="1069"/>
      <c r="H399" s="1083"/>
      <c r="I399" s="1070">
        <f t="shared" si="5"/>
        <v>0</v>
      </c>
      <c r="J399" s="1071"/>
      <c r="K399" s="1071"/>
      <c r="L399" s="1071"/>
      <c r="M399" s="1071"/>
      <c r="N399" s="1072"/>
      <c r="O399" s="1073"/>
    </row>
    <row r="400" spans="1:15" s="1079" customFormat="1" ht="15">
      <c r="A400" s="1194">
        <v>393</v>
      </c>
      <c r="B400" s="1075"/>
      <c r="C400" s="1198"/>
      <c r="D400" s="1076" t="s">
        <v>637</v>
      </c>
      <c r="E400" s="1077"/>
      <c r="F400" s="1078"/>
      <c r="G400" s="1078"/>
      <c r="H400" s="1080"/>
      <c r="I400" s="1054">
        <f t="shared" si="5"/>
        <v>19000</v>
      </c>
      <c r="J400" s="1055">
        <f>SUM(J398:J399)</f>
        <v>0</v>
      </c>
      <c r="K400" s="1055">
        <f>SUM(K398:K399)</f>
        <v>0</v>
      </c>
      <c r="L400" s="1055">
        <f>SUM(L398:L399)</f>
        <v>19000</v>
      </c>
      <c r="M400" s="1055">
        <f>SUM(M398:M399)</f>
        <v>0</v>
      </c>
      <c r="N400" s="1056">
        <f>SUM(N398:N399)</f>
        <v>0</v>
      </c>
      <c r="O400" s="1057"/>
    </row>
    <row r="401" spans="1:15" s="1058" customFormat="1" ht="15">
      <c r="A401" s="1194">
        <v>394</v>
      </c>
      <c r="B401" s="1050"/>
      <c r="C401" s="1052">
        <v>81</v>
      </c>
      <c r="D401" s="1051" t="s">
        <v>285</v>
      </c>
      <c r="E401" s="1052" t="s">
        <v>33</v>
      </c>
      <c r="F401" s="1053">
        <v>33263</v>
      </c>
      <c r="G401" s="1053">
        <v>34200</v>
      </c>
      <c r="H401" s="1081">
        <v>34148</v>
      </c>
      <c r="I401" s="1054"/>
      <c r="J401" s="1055"/>
      <c r="K401" s="1055"/>
      <c r="L401" s="1055"/>
      <c r="M401" s="1055"/>
      <c r="N401" s="1056"/>
      <c r="O401" s="1057"/>
    </row>
    <row r="402" spans="1:15" s="1065" customFormat="1" ht="15">
      <c r="A402" s="1194">
        <v>395</v>
      </c>
      <c r="B402" s="1059"/>
      <c r="C402" s="1052"/>
      <c r="D402" s="1051" t="s">
        <v>635</v>
      </c>
      <c r="E402" s="1060"/>
      <c r="F402" s="1061"/>
      <c r="G402" s="1061"/>
      <c r="H402" s="1082"/>
      <c r="I402" s="1062">
        <f t="shared" si="5"/>
        <v>44450</v>
      </c>
      <c r="J402" s="1063"/>
      <c r="K402" s="1063"/>
      <c r="L402" s="1063">
        <v>44450</v>
      </c>
      <c r="M402" s="1063"/>
      <c r="N402" s="1064"/>
      <c r="O402" s="1058">
        <f>SUM(J402:N402)-I402</f>
        <v>0</v>
      </c>
    </row>
    <row r="403" spans="1:15" s="1074" customFormat="1" ht="15">
      <c r="A403" s="1194">
        <v>396</v>
      </c>
      <c r="B403" s="1066"/>
      <c r="C403" s="1199"/>
      <c r="D403" s="1067" t="s">
        <v>707</v>
      </c>
      <c r="E403" s="1068"/>
      <c r="F403" s="1069"/>
      <c r="G403" s="1069"/>
      <c r="H403" s="1083"/>
      <c r="I403" s="1070">
        <f t="shared" si="5"/>
        <v>52</v>
      </c>
      <c r="J403" s="1071"/>
      <c r="K403" s="1071"/>
      <c r="L403" s="1071">
        <v>52</v>
      </c>
      <c r="M403" s="1071"/>
      <c r="N403" s="1072"/>
      <c r="O403" s="1073"/>
    </row>
    <row r="404" spans="1:15" s="1079" customFormat="1" ht="15">
      <c r="A404" s="1194">
        <v>397</v>
      </c>
      <c r="B404" s="1075"/>
      <c r="C404" s="1198"/>
      <c r="D404" s="1076" t="s">
        <v>637</v>
      </c>
      <c r="E404" s="1077"/>
      <c r="F404" s="1078"/>
      <c r="G404" s="1078"/>
      <c r="H404" s="1080"/>
      <c r="I404" s="1054">
        <f t="shared" si="5"/>
        <v>44502</v>
      </c>
      <c r="J404" s="1055">
        <f>SUM(J402:J403)</f>
        <v>0</v>
      </c>
      <c r="K404" s="1055">
        <f>SUM(K402:K403)</f>
        <v>0</v>
      </c>
      <c r="L404" s="1055">
        <f>SUM(L402:L403)</f>
        <v>44502</v>
      </c>
      <c r="M404" s="1055">
        <f>SUM(M402:M403)</f>
        <v>0</v>
      </c>
      <c r="N404" s="1056">
        <f>SUM(N402:N403)</f>
        <v>0</v>
      </c>
      <c r="O404" s="1057"/>
    </row>
    <row r="405" spans="1:15" s="1058" customFormat="1" ht="15">
      <c r="A405" s="1194">
        <v>398</v>
      </c>
      <c r="B405" s="1050"/>
      <c r="C405" s="1052">
        <v>82</v>
      </c>
      <c r="D405" s="1051" t="s">
        <v>564</v>
      </c>
      <c r="E405" s="1052" t="s">
        <v>33</v>
      </c>
      <c r="F405" s="1053"/>
      <c r="G405" s="1053">
        <v>38100</v>
      </c>
      <c r="H405" s="1081">
        <v>38100</v>
      </c>
      <c r="I405" s="1054"/>
      <c r="J405" s="1055"/>
      <c r="K405" s="1055"/>
      <c r="L405" s="1055"/>
      <c r="M405" s="1055"/>
      <c r="N405" s="1056"/>
      <c r="O405" s="1057"/>
    </row>
    <row r="406" spans="1:15" s="1065" customFormat="1" ht="15">
      <c r="A406" s="1194">
        <v>399</v>
      </c>
      <c r="B406" s="1059"/>
      <c r="C406" s="1052"/>
      <c r="D406" s="1051" t="s">
        <v>635</v>
      </c>
      <c r="E406" s="1060"/>
      <c r="F406" s="1061"/>
      <c r="G406" s="1061"/>
      <c r="H406" s="1082"/>
      <c r="I406" s="1062">
        <f t="shared" si="5"/>
        <v>38100</v>
      </c>
      <c r="J406" s="1063"/>
      <c r="K406" s="1063"/>
      <c r="L406" s="1063">
        <v>38100</v>
      </c>
      <c r="M406" s="1063"/>
      <c r="N406" s="1064"/>
      <c r="O406" s="1058">
        <f>SUM(J406:N406)-I406</f>
        <v>0</v>
      </c>
    </row>
    <row r="407" spans="1:15" s="1074" customFormat="1" ht="15">
      <c r="A407" s="1194">
        <v>400</v>
      </c>
      <c r="B407" s="1066"/>
      <c r="C407" s="1199"/>
      <c r="D407" s="1067" t="s">
        <v>636</v>
      </c>
      <c r="E407" s="1068"/>
      <c r="F407" s="1069"/>
      <c r="G407" s="1069"/>
      <c r="H407" s="1083"/>
      <c r="I407" s="1070">
        <f t="shared" si="5"/>
        <v>0</v>
      </c>
      <c r="J407" s="1071"/>
      <c r="K407" s="1071"/>
      <c r="L407" s="1071"/>
      <c r="M407" s="1071"/>
      <c r="N407" s="1072"/>
      <c r="O407" s="1073"/>
    </row>
    <row r="408" spans="1:15" s="1079" customFormat="1" ht="15">
      <c r="A408" s="1194">
        <v>401</v>
      </c>
      <c r="B408" s="1075"/>
      <c r="C408" s="1198"/>
      <c r="D408" s="1076" t="s">
        <v>637</v>
      </c>
      <c r="E408" s="1077"/>
      <c r="F408" s="1078"/>
      <c r="G408" s="1078"/>
      <c r="H408" s="1080"/>
      <c r="I408" s="1054">
        <f t="shared" si="5"/>
        <v>38100</v>
      </c>
      <c r="J408" s="1055">
        <f>SUM(J406:J407)</f>
        <v>0</v>
      </c>
      <c r="K408" s="1055">
        <f>SUM(K406:K407)</f>
        <v>0</v>
      </c>
      <c r="L408" s="1055">
        <f>SUM(L406:L407)</f>
        <v>38100</v>
      </c>
      <c r="M408" s="1055">
        <f>SUM(M406:M407)</f>
        <v>0</v>
      </c>
      <c r="N408" s="1056">
        <f>SUM(N406:N407)</f>
        <v>0</v>
      </c>
      <c r="O408" s="1057"/>
    </row>
    <row r="409" spans="1:15" s="63" customFormat="1" ht="17.25">
      <c r="A409" s="1194">
        <v>402</v>
      </c>
      <c r="B409" s="70"/>
      <c r="C409" s="71">
        <v>83</v>
      </c>
      <c r="D409" s="72" t="s">
        <v>286</v>
      </c>
      <c r="E409" s="71" t="s">
        <v>33</v>
      </c>
      <c r="F409" s="48">
        <v>34750</v>
      </c>
      <c r="G409" s="48">
        <v>38848</v>
      </c>
      <c r="H409" s="73">
        <v>38348</v>
      </c>
      <c r="I409" s="550"/>
      <c r="J409" s="1020"/>
      <c r="K409" s="1020"/>
      <c r="L409" s="1020"/>
      <c r="M409" s="1020"/>
      <c r="N409" s="1021"/>
      <c r="O409" s="586"/>
    </row>
    <row r="410" spans="1:15" s="56" customFormat="1" ht="16.5">
      <c r="A410" s="1194">
        <v>403</v>
      </c>
      <c r="B410" s="854"/>
      <c r="C410" s="71"/>
      <c r="D410" s="72" t="s">
        <v>635</v>
      </c>
      <c r="E410" s="855"/>
      <c r="F410" s="856"/>
      <c r="G410" s="856"/>
      <c r="H410" s="857"/>
      <c r="I410" s="874">
        <f t="shared" si="5"/>
        <v>49172</v>
      </c>
      <c r="J410" s="84"/>
      <c r="K410" s="84"/>
      <c r="L410" s="84">
        <v>49172</v>
      </c>
      <c r="M410" s="84"/>
      <c r="N410" s="85"/>
      <c r="O410" s="63">
        <f>SUM(J410:N410)-I410</f>
        <v>0</v>
      </c>
    </row>
    <row r="411" spans="1:15" s="862" customFormat="1" ht="17.25">
      <c r="A411" s="1194">
        <v>404</v>
      </c>
      <c r="B411" s="858"/>
      <c r="C411" s="87"/>
      <c r="D411" s="80" t="s">
        <v>636</v>
      </c>
      <c r="E411" s="859"/>
      <c r="F411" s="860"/>
      <c r="G411" s="860"/>
      <c r="H411" s="861"/>
      <c r="I411" s="875">
        <f t="shared" si="5"/>
        <v>0</v>
      </c>
      <c r="J411" s="1018"/>
      <c r="K411" s="1018"/>
      <c r="L411" s="1018"/>
      <c r="M411" s="1018"/>
      <c r="N411" s="1019"/>
      <c r="O411" s="86"/>
    </row>
    <row r="412" spans="1:15" s="1110" customFormat="1" ht="17.25">
      <c r="A412" s="1194">
        <v>405</v>
      </c>
      <c r="B412" s="863"/>
      <c r="C412" s="864"/>
      <c r="D412" s="865" t="s">
        <v>637</v>
      </c>
      <c r="E412" s="866"/>
      <c r="F412" s="867"/>
      <c r="G412" s="867"/>
      <c r="H412" s="868"/>
      <c r="I412" s="550">
        <f t="shared" si="5"/>
        <v>49172</v>
      </c>
      <c r="J412" s="1020">
        <f>SUM(J410:J411)</f>
        <v>0</v>
      </c>
      <c r="K412" s="1020">
        <f>SUM(K410:K411)</f>
        <v>0</v>
      </c>
      <c r="L412" s="1020">
        <f>SUM(L410:L411)</f>
        <v>49172</v>
      </c>
      <c r="M412" s="1020">
        <f>SUM(M410:M411)</f>
        <v>0</v>
      </c>
      <c r="N412" s="1021">
        <f>SUM(N410:N411)</f>
        <v>0</v>
      </c>
      <c r="O412" s="586"/>
    </row>
    <row r="413" spans="1:15" s="63" customFormat="1" ht="17.25">
      <c r="A413" s="1194">
        <v>406</v>
      </c>
      <c r="B413" s="70"/>
      <c r="C413" s="71">
        <v>84</v>
      </c>
      <c r="D413" s="72" t="s">
        <v>287</v>
      </c>
      <c r="E413" s="71" t="s">
        <v>33</v>
      </c>
      <c r="F413" s="48"/>
      <c r="G413" s="48">
        <v>1500</v>
      </c>
      <c r="H413" s="73"/>
      <c r="I413" s="550"/>
      <c r="J413" s="1020"/>
      <c r="K413" s="1020"/>
      <c r="L413" s="1020"/>
      <c r="M413" s="1020"/>
      <c r="N413" s="1021"/>
      <c r="O413" s="586"/>
    </row>
    <row r="414" spans="1:15" s="56" customFormat="1" ht="16.5">
      <c r="A414" s="1194">
        <v>407</v>
      </c>
      <c r="B414" s="854"/>
      <c r="C414" s="71"/>
      <c r="D414" s="72" t="s">
        <v>635</v>
      </c>
      <c r="E414" s="855"/>
      <c r="F414" s="856"/>
      <c r="G414" s="856"/>
      <c r="H414" s="857"/>
      <c r="I414" s="874">
        <f t="shared" si="5"/>
        <v>0</v>
      </c>
      <c r="J414" s="84"/>
      <c r="K414" s="84"/>
      <c r="L414" s="84"/>
      <c r="M414" s="84"/>
      <c r="N414" s="85"/>
      <c r="O414" s="63">
        <f>SUM(J414:N414)-I414</f>
        <v>0</v>
      </c>
    </row>
    <row r="415" spans="1:15" s="862" customFormat="1" ht="17.25">
      <c r="A415" s="1194">
        <v>408</v>
      </c>
      <c r="B415" s="858"/>
      <c r="C415" s="87"/>
      <c r="D415" s="80" t="s">
        <v>707</v>
      </c>
      <c r="E415" s="859"/>
      <c r="F415" s="860"/>
      <c r="G415" s="860"/>
      <c r="H415" s="861"/>
      <c r="I415" s="875">
        <f t="shared" si="5"/>
        <v>1500</v>
      </c>
      <c r="J415" s="1018"/>
      <c r="K415" s="1018"/>
      <c r="L415" s="1018">
        <v>1500</v>
      </c>
      <c r="M415" s="1018"/>
      <c r="N415" s="1019"/>
      <c r="O415" s="86"/>
    </row>
    <row r="416" spans="1:15" s="1110" customFormat="1" ht="17.25">
      <c r="A416" s="1194">
        <v>409</v>
      </c>
      <c r="B416" s="863"/>
      <c r="C416" s="864"/>
      <c r="D416" s="865" t="s">
        <v>637</v>
      </c>
      <c r="E416" s="866"/>
      <c r="F416" s="867"/>
      <c r="G416" s="867"/>
      <c r="H416" s="868"/>
      <c r="I416" s="550">
        <f t="shared" si="5"/>
        <v>1500</v>
      </c>
      <c r="J416" s="1020">
        <f>SUM(J414:J415)</f>
        <v>0</v>
      </c>
      <c r="K416" s="1020">
        <f>SUM(K414:K415)</f>
        <v>0</v>
      </c>
      <c r="L416" s="1020">
        <f>SUM(L414:L415)</f>
        <v>1500</v>
      </c>
      <c r="M416" s="1020">
        <f>SUM(M414:M415)</f>
        <v>0</v>
      </c>
      <c r="N416" s="1021">
        <f>SUM(N414:N415)</f>
        <v>0</v>
      </c>
      <c r="O416" s="586"/>
    </row>
    <row r="417" spans="1:15" s="63" customFormat="1" ht="17.25">
      <c r="A417" s="1194">
        <v>410</v>
      </c>
      <c r="B417" s="70"/>
      <c r="C417" s="71">
        <v>85</v>
      </c>
      <c r="D417" s="72" t="s">
        <v>288</v>
      </c>
      <c r="E417" s="71" t="s">
        <v>33</v>
      </c>
      <c r="F417" s="48"/>
      <c r="G417" s="48">
        <v>12300</v>
      </c>
      <c r="H417" s="73">
        <v>12700</v>
      </c>
      <c r="I417" s="550"/>
      <c r="J417" s="1020"/>
      <c r="K417" s="1020"/>
      <c r="L417" s="1020"/>
      <c r="M417" s="1020"/>
      <c r="N417" s="1021"/>
      <c r="O417" s="586"/>
    </row>
    <row r="418" spans="1:15" s="56" customFormat="1" ht="16.5">
      <c r="A418" s="1194">
        <v>411</v>
      </c>
      <c r="B418" s="854"/>
      <c r="C418" s="71"/>
      <c r="D418" s="72" t="s">
        <v>635</v>
      </c>
      <c r="E418" s="855"/>
      <c r="F418" s="856"/>
      <c r="G418" s="856"/>
      <c r="H418" s="857"/>
      <c r="I418" s="874">
        <f t="shared" si="5"/>
        <v>24851</v>
      </c>
      <c r="J418" s="84"/>
      <c r="K418" s="84"/>
      <c r="L418" s="84">
        <v>24851</v>
      </c>
      <c r="M418" s="84"/>
      <c r="N418" s="85"/>
      <c r="O418" s="63">
        <f>SUM(J418:N418)-I418</f>
        <v>0</v>
      </c>
    </row>
    <row r="419" spans="1:15" s="862" customFormat="1" ht="17.25">
      <c r="A419" s="1194">
        <v>412</v>
      </c>
      <c r="B419" s="858"/>
      <c r="C419" s="87"/>
      <c r="D419" s="80" t="s">
        <v>636</v>
      </c>
      <c r="E419" s="859"/>
      <c r="F419" s="860"/>
      <c r="G419" s="860"/>
      <c r="H419" s="861"/>
      <c r="I419" s="875">
        <f aca="true" t="shared" si="6" ref="I419:I485">SUM(J419:N419)</f>
        <v>0</v>
      </c>
      <c r="J419" s="1018"/>
      <c r="K419" s="1018"/>
      <c r="L419" s="1018"/>
      <c r="M419" s="1018"/>
      <c r="N419" s="1019"/>
      <c r="O419" s="86"/>
    </row>
    <row r="420" spans="1:15" s="1110" customFormat="1" ht="17.25">
      <c r="A420" s="1194">
        <v>413</v>
      </c>
      <c r="B420" s="863"/>
      <c r="C420" s="864"/>
      <c r="D420" s="865" t="s">
        <v>637</v>
      </c>
      <c r="E420" s="866"/>
      <c r="F420" s="867"/>
      <c r="G420" s="867"/>
      <c r="H420" s="868"/>
      <c r="I420" s="550">
        <f t="shared" si="6"/>
        <v>24851</v>
      </c>
      <c r="J420" s="1020">
        <f>SUM(J418:J419)</f>
        <v>0</v>
      </c>
      <c r="K420" s="1020">
        <f>SUM(K418:K419)</f>
        <v>0</v>
      </c>
      <c r="L420" s="1020">
        <f>SUM(L418:L419)</f>
        <v>24851</v>
      </c>
      <c r="M420" s="1020">
        <f>SUM(M418:M419)</f>
        <v>0</v>
      </c>
      <c r="N420" s="1021">
        <f>SUM(N418:N419)</f>
        <v>0</v>
      </c>
      <c r="O420" s="586"/>
    </row>
    <row r="421" spans="1:15" s="63" customFormat="1" ht="17.25">
      <c r="A421" s="1194">
        <v>414</v>
      </c>
      <c r="B421" s="70"/>
      <c r="C421" s="71">
        <v>86</v>
      </c>
      <c r="D421" s="72" t="s">
        <v>289</v>
      </c>
      <c r="E421" s="71" t="s">
        <v>33</v>
      </c>
      <c r="F421" s="48"/>
      <c r="G421" s="48">
        <v>400</v>
      </c>
      <c r="H421" s="73">
        <v>201</v>
      </c>
      <c r="I421" s="550"/>
      <c r="J421" s="1020"/>
      <c r="K421" s="1020"/>
      <c r="L421" s="1020"/>
      <c r="M421" s="1020"/>
      <c r="N421" s="1021"/>
      <c r="O421" s="586"/>
    </row>
    <row r="422" spans="1:15" s="56" customFormat="1" ht="16.5">
      <c r="A422" s="1194">
        <v>415</v>
      </c>
      <c r="B422" s="854"/>
      <c r="C422" s="71"/>
      <c r="D422" s="72" t="s">
        <v>635</v>
      </c>
      <c r="E422" s="855"/>
      <c r="F422" s="856"/>
      <c r="G422" s="856"/>
      <c r="H422" s="857"/>
      <c r="I422" s="874">
        <f t="shared" si="6"/>
        <v>400</v>
      </c>
      <c r="J422" s="84"/>
      <c r="K422" s="84"/>
      <c r="L422" s="84">
        <v>400</v>
      </c>
      <c r="M422" s="84"/>
      <c r="N422" s="85"/>
      <c r="O422" s="63">
        <f>SUM(J422:N422)-I422</f>
        <v>0</v>
      </c>
    </row>
    <row r="423" spans="1:15" s="862" customFormat="1" ht="17.25">
      <c r="A423" s="1194">
        <v>416</v>
      </c>
      <c r="B423" s="858"/>
      <c r="C423" s="87"/>
      <c r="D423" s="80" t="s">
        <v>707</v>
      </c>
      <c r="E423" s="859"/>
      <c r="F423" s="860"/>
      <c r="G423" s="860"/>
      <c r="H423" s="861"/>
      <c r="I423" s="875">
        <f t="shared" si="6"/>
        <v>199</v>
      </c>
      <c r="J423" s="1018"/>
      <c r="K423" s="1018"/>
      <c r="L423" s="1018">
        <v>199</v>
      </c>
      <c r="M423" s="1018"/>
      <c r="N423" s="1019"/>
      <c r="O423" s="86"/>
    </row>
    <row r="424" spans="1:15" s="1110" customFormat="1" ht="17.25">
      <c r="A424" s="1194">
        <v>417</v>
      </c>
      <c r="B424" s="863"/>
      <c r="C424" s="864"/>
      <c r="D424" s="865" t="s">
        <v>637</v>
      </c>
      <c r="E424" s="866"/>
      <c r="F424" s="867"/>
      <c r="G424" s="867"/>
      <c r="H424" s="868"/>
      <c r="I424" s="550">
        <f t="shared" si="6"/>
        <v>599</v>
      </c>
      <c r="J424" s="1020">
        <f>SUM(J422:J423)</f>
        <v>0</v>
      </c>
      <c r="K424" s="1020">
        <f>SUM(K422:K423)</f>
        <v>0</v>
      </c>
      <c r="L424" s="1020">
        <f>SUM(L422:L423)</f>
        <v>599</v>
      </c>
      <c r="M424" s="1020">
        <f>SUM(M422:M423)</f>
        <v>0</v>
      </c>
      <c r="N424" s="1021">
        <f>SUM(N422:N423)</f>
        <v>0</v>
      </c>
      <c r="O424" s="586"/>
    </row>
    <row r="425" spans="1:15" s="63" customFormat="1" ht="33">
      <c r="A425" s="1194">
        <v>418</v>
      </c>
      <c r="B425" s="70"/>
      <c r="C425" s="71">
        <v>87</v>
      </c>
      <c r="D425" s="72" t="s">
        <v>290</v>
      </c>
      <c r="E425" s="71" t="s">
        <v>33</v>
      </c>
      <c r="F425" s="48"/>
      <c r="G425" s="48">
        <v>1000</v>
      </c>
      <c r="H425" s="73">
        <v>500</v>
      </c>
      <c r="I425" s="550"/>
      <c r="J425" s="1020"/>
      <c r="K425" s="1020"/>
      <c r="L425" s="1020"/>
      <c r="M425" s="1020"/>
      <c r="N425" s="1021"/>
      <c r="O425" s="586"/>
    </row>
    <row r="426" spans="1:15" s="56" customFormat="1" ht="16.5">
      <c r="A426" s="1194">
        <v>419</v>
      </c>
      <c r="B426" s="854"/>
      <c r="C426" s="71"/>
      <c r="D426" s="72" t="s">
        <v>635</v>
      </c>
      <c r="E426" s="855"/>
      <c r="F426" s="856"/>
      <c r="G426" s="856"/>
      <c r="H426" s="857"/>
      <c r="I426" s="874">
        <f t="shared" si="6"/>
        <v>0</v>
      </c>
      <c r="J426" s="84"/>
      <c r="K426" s="84"/>
      <c r="L426" s="84"/>
      <c r="M426" s="84"/>
      <c r="N426" s="85"/>
      <c r="O426" s="63">
        <f>SUM(J426:N426)-I426</f>
        <v>0</v>
      </c>
    </row>
    <row r="427" spans="1:15" s="862" customFormat="1" ht="17.25">
      <c r="A427" s="1194">
        <v>420</v>
      </c>
      <c r="B427" s="858"/>
      <c r="C427" s="87"/>
      <c r="D427" s="80" t="s">
        <v>707</v>
      </c>
      <c r="E427" s="859"/>
      <c r="F427" s="860"/>
      <c r="G427" s="860"/>
      <c r="H427" s="861"/>
      <c r="I427" s="875">
        <f t="shared" si="6"/>
        <v>500</v>
      </c>
      <c r="J427" s="1018"/>
      <c r="K427" s="1018"/>
      <c r="L427" s="1018">
        <v>500</v>
      </c>
      <c r="M427" s="1018"/>
      <c r="N427" s="1019"/>
      <c r="O427" s="86"/>
    </row>
    <row r="428" spans="1:15" s="1110" customFormat="1" ht="17.25">
      <c r="A428" s="1194">
        <v>421</v>
      </c>
      <c r="B428" s="863"/>
      <c r="C428" s="864"/>
      <c r="D428" s="865" t="s">
        <v>637</v>
      </c>
      <c r="E428" s="866"/>
      <c r="F428" s="867"/>
      <c r="G428" s="867"/>
      <c r="H428" s="868"/>
      <c r="I428" s="550">
        <f t="shared" si="6"/>
        <v>500</v>
      </c>
      <c r="J428" s="1020">
        <f>SUM(J426:J427)</f>
        <v>0</v>
      </c>
      <c r="K428" s="1020">
        <f>SUM(K426:K427)</f>
        <v>0</v>
      </c>
      <c r="L428" s="1020">
        <f>SUM(L426:L427)</f>
        <v>500</v>
      </c>
      <c r="M428" s="1020">
        <f>SUM(M426:M427)</f>
        <v>0</v>
      </c>
      <c r="N428" s="1021">
        <f>SUM(N426:N427)</f>
        <v>0</v>
      </c>
      <c r="O428" s="586"/>
    </row>
    <row r="429" spans="1:15" s="63" customFormat="1" ht="33">
      <c r="A429" s="1194">
        <v>422</v>
      </c>
      <c r="B429" s="70"/>
      <c r="C429" s="71">
        <v>88</v>
      </c>
      <c r="D429" s="72" t="s">
        <v>291</v>
      </c>
      <c r="E429" s="71" t="s">
        <v>33</v>
      </c>
      <c r="F429" s="48"/>
      <c r="G429" s="48">
        <v>1000</v>
      </c>
      <c r="H429" s="73">
        <v>841</v>
      </c>
      <c r="I429" s="550"/>
      <c r="J429" s="1020"/>
      <c r="K429" s="1020"/>
      <c r="L429" s="1020"/>
      <c r="M429" s="1020"/>
      <c r="N429" s="1021"/>
      <c r="O429" s="586"/>
    </row>
    <row r="430" spans="1:15" s="56" customFormat="1" ht="16.5">
      <c r="A430" s="1194">
        <v>423</v>
      </c>
      <c r="B430" s="854"/>
      <c r="C430" s="71"/>
      <c r="D430" s="72" t="s">
        <v>635</v>
      </c>
      <c r="E430" s="855"/>
      <c r="F430" s="856"/>
      <c r="G430" s="856"/>
      <c r="H430" s="857"/>
      <c r="I430" s="874">
        <f t="shared" si="6"/>
        <v>1000</v>
      </c>
      <c r="J430" s="84"/>
      <c r="K430" s="84"/>
      <c r="L430" s="84">
        <v>1000</v>
      </c>
      <c r="M430" s="84"/>
      <c r="N430" s="85"/>
      <c r="O430" s="63">
        <f>SUM(J430:N430)-I430</f>
        <v>0</v>
      </c>
    </row>
    <row r="431" spans="1:15" s="862" customFormat="1" ht="17.25">
      <c r="A431" s="1194">
        <v>424</v>
      </c>
      <c r="B431" s="858"/>
      <c r="C431" s="87"/>
      <c r="D431" s="80" t="s">
        <v>707</v>
      </c>
      <c r="E431" s="859"/>
      <c r="F431" s="860"/>
      <c r="G431" s="860"/>
      <c r="H431" s="861"/>
      <c r="I431" s="875">
        <f t="shared" si="6"/>
        <v>159</v>
      </c>
      <c r="J431" s="1018"/>
      <c r="K431" s="1018"/>
      <c r="L431" s="1018">
        <v>159</v>
      </c>
      <c r="M431" s="1018"/>
      <c r="N431" s="1019"/>
      <c r="O431" s="86"/>
    </row>
    <row r="432" spans="1:15" s="1110" customFormat="1" ht="17.25">
      <c r="A432" s="1194">
        <v>425</v>
      </c>
      <c r="B432" s="863"/>
      <c r="C432" s="864"/>
      <c r="D432" s="865" t="s">
        <v>637</v>
      </c>
      <c r="E432" s="866"/>
      <c r="F432" s="867"/>
      <c r="G432" s="867"/>
      <c r="H432" s="868"/>
      <c r="I432" s="550">
        <f t="shared" si="6"/>
        <v>1159</v>
      </c>
      <c r="J432" s="1020">
        <f>SUM(J430:J431)</f>
        <v>0</v>
      </c>
      <c r="K432" s="1020">
        <f>SUM(K430:K431)</f>
        <v>0</v>
      </c>
      <c r="L432" s="1020">
        <f>SUM(L430:L431)</f>
        <v>1159</v>
      </c>
      <c r="M432" s="1020">
        <f>SUM(M430:M431)</f>
        <v>0</v>
      </c>
      <c r="N432" s="1021">
        <f>SUM(N430:N431)</f>
        <v>0</v>
      </c>
      <c r="O432" s="586"/>
    </row>
    <row r="433" spans="1:15" s="63" customFormat="1" ht="17.25">
      <c r="A433" s="1194">
        <v>426</v>
      </c>
      <c r="B433" s="70"/>
      <c r="C433" s="71">
        <v>89</v>
      </c>
      <c r="D433" s="72" t="s">
        <v>292</v>
      </c>
      <c r="E433" s="71" t="s">
        <v>31</v>
      </c>
      <c r="F433" s="48">
        <v>46</v>
      </c>
      <c r="G433" s="48">
        <v>1700</v>
      </c>
      <c r="H433" s="73"/>
      <c r="I433" s="550"/>
      <c r="J433" s="1020"/>
      <c r="K433" s="1020"/>
      <c r="L433" s="1020"/>
      <c r="M433" s="1020"/>
      <c r="N433" s="1021"/>
      <c r="O433" s="586"/>
    </row>
    <row r="434" spans="1:15" s="56" customFormat="1" ht="16.5">
      <c r="A434" s="1194">
        <v>427</v>
      </c>
      <c r="B434" s="854"/>
      <c r="C434" s="71"/>
      <c r="D434" s="72" t="s">
        <v>635</v>
      </c>
      <c r="E434" s="855"/>
      <c r="F434" s="856"/>
      <c r="G434" s="856"/>
      <c r="H434" s="857"/>
      <c r="I434" s="874">
        <f t="shared" si="6"/>
        <v>2000</v>
      </c>
      <c r="J434" s="84"/>
      <c r="K434" s="84"/>
      <c r="L434" s="84">
        <v>2000</v>
      </c>
      <c r="M434" s="84"/>
      <c r="N434" s="85"/>
      <c r="O434" s="63">
        <f>SUM(J434:N434)-I434</f>
        <v>0</v>
      </c>
    </row>
    <row r="435" spans="1:15" s="862" customFormat="1" ht="17.25">
      <c r="A435" s="1194">
        <v>428</v>
      </c>
      <c r="B435" s="858"/>
      <c r="C435" s="87"/>
      <c r="D435" s="80" t="s">
        <v>707</v>
      </c>
      <c r="E435" s="859"/>
      <c r="F435" s="860"/>
      <c r="G435" s="860"/>
      <c r="H435" s="861"/>
      <c r="I435" s="875">
        <f t="shared" si="6"/>
        <v>1530</v>
      </c>
      <c r="J435" s="1018"/>
      <c r="K435" s="1018"/>
      <c r="L435" s="1018">
        <v>1530</v>
      </c>
      <c r="M435" s="1018"/>
      <c r="N435" s="1019"/>
      <c r="O435" s="86"/>
    </row>
    <row r="436" spans="1:15" s="1110" customFormat="1" ht="17.25">
      <c r="A436" s="1194">
        <v>429</v>
      </c>
      <c r="B436" s="863"/>
      <c r="C436" s="864"/>
      <c r="D436" s="865" t="s">
        <v>637</v>
      </c>
      <c r="E436" s="866"/>
      <c r="F436" s="867"/>
      <c r="G436" s="867"/>
      <c r="H436" s="868"/>
      <c r="I436" s="550">
        <f t="shared" si="6"/>
        <v>3530</v>
      </c>
      <c r="J436" s="1020">
        <f>SUM(J434:J435)</f>
        <v>0</v>
      </c>
      <c r="K436" s="1020">
        <f>SUM(K434:K435)</f>
        <v>0</v>
      </c>
      <c r="L436" s="1020">
        <f>SUM(L434:L435)</f>
        <v>3530</v>
      </c>
      <c r="M436" s="1020">
        <f>SUM(M434:M435)</f>
        <v>0</v>
      </c>
      <c r="N436" s="1021">
        <f>SUM(N434:N435)</f>
        <v>0</v>
      </c>
      <c r="O436" s="586"/>
    </row>
    <row r="437" spans="1:15" s="63" customFormat="1" ht="17.25">
      <c r="A437" s="1194">
        <v>430</v>
      </c>
      <c r="B437" s="70"/>
      <c r="C437" s="71">
        <v>90</v>
      </c>
      <c r="D437" s="72" t="s">
        <v>293</v>
      </c>
      <c r="E437" s="71" t="s">
        <v>31</v>
      </c>
      <c r="F437" s="48">
        <v>843</v>
      </c>
      <c r="G437" s="48">
        <v>4800</v>
      </c>
      <c r="H437" s="73">
        <v>244</v>
      </c>
      <c r="I437" s="550"/>
      <c r="J437" s="1020"/>
      <c r="K437" s="1020"/>
      <c r="L437" s="1020"/>
      <c r="M437" s="1020"/>
      <c r="N437" s="1021"/>
      <c r="O437" s="586"/>
    </row>
    <row r="438" spans="1:15" s="56" customFormat="1" ht="16.5">
      <c r="A438" s="1194">
        <v>431</v>
      </c>
      <c r="B438" s="854"/>
      <c r="C438" s="71"/>
      <c r="D438" s="72" t="s">
        <v>635</v>
      </c>
      <c r="E438" s="855"/>
      <c r="F438" s="856"/>
      <c r="G438" s="856"/>
      <c r="H438" s="857"/>
      <c r="I438" s="874">
        <f t="shared" si="6"/>
        <v>6000</v>
      </c>
      <c r="J438" s="84"/>
      <c r="K438" s="84"/>
      <c r="L438" s="84">
        <v>6000</v>
      </c>
      <c r="M438" s="84"/>
      <c r="N438" s="85"/>
      <c r="O438" s="63">
        <f>SUM(J438:N438)-I438</f>
        <v>0</v>
      </c>
    </row>
    <row r="439" spans="1:15" s="862" customFormat="1" ht="17.25">
      <c r="A439" s="1194">
        <v>432</v>
      </c>
      <c r="B439" s="858"/>
      <c r="C439" s="87"/>
      <c r="D439" s="80" t="s">
        <v>707</v>
      </c>
      <c r="E439" s="859"/>
      <c r="F439" s="860"/>
      <c r="G439" s="860"/>
      <c r="H439" s="861"/>
      <c r="I439" s="875">
        <f t="shared" si="6"/>
        <v>4556</v>
      </c>
      <c r="J439" s="1018"/>
      <c r="K439" s="1018"/>
      <c r="L439" s="1018">
        <v>4556</v>
      </c>
      <c r="M439" s="1018"/>
      <c r="N439" s="1019"/>
      <c r="O439" s="86"/>
    </row>
    <row r="440" spans="1:15" s="1110" customFormat="1" ht="17.25">
      <c r="A440" s="1194">
        <v>433</v>
      </c>
      <c r="B440" s="863"/>
      <c r="C440" s="864"/>
      <c r="D440" s="865" t="s">
        <v>637</v>
      </c>
      <c r="E440" s="866"/>
      <c r="F440" s="867"/>
      <c r="G440" s="867"/>
      <c r="H440" s="868"/>
      <c r="I440" s="550">
        <f t="shared" si="6"/>
        <v>10556</v>
      </c>
      <c r="J440" s="1020">
        <f>SUM(J438:J439)</f>
        <v>0</v>
      </c>
      <c r="K440" s="1020">
        <f>SUM(K438:K439)</f>
        <v>0</v>
      </c>
      <c r="L440" s="1020">
        <f>SUM(L438:L439)</f>
        <v>10556</v>
      </c>
      <c r="M440" s="1020">
        <f>SUM(M438:M439)</f>
        <v>0</v>
      </c>
      <c r="N440" s="1021">
        <f>SUM(N438:N439)</f>
        <v>0</v>
      </c>
      <c r="O440" s="586"/>
    </row>
    <row r="441" spans="1:15" s="63" customFormat="1" ht="17.25">
      <c r="A441" s="1194">
        <v>434</v>
      </c>
      <c r="B441" s="70"/>
      <c r="C441" s="71">
        <v>91</v>
      </c>
      <c r="D441" s="72" t="s">
        <v>294</v>
      </c>
      <c r="E441" s="71" t="s">
        <v>31</v>
      </c>
      <c r="F441" s="48">
        <v>88514</v>
      </c>
      <c r="G441" s="48">
        <v>148000</v>
      </c>
      <c r="H441" s="73">
        <v>141137</v>
      </c>
      <c r="I441" s="550"/>
      <c r="J441" s="1020"/>
      <c r="K441" s="1020"/>
      <c r="L441" s="1020"/>
      <c r="M441" s="1020"/>
      <c r="N441" s="1021"/>
      <c r="O441" s="586"/>
    </row>
    <row r="442" spans="1:15" s="56" customFormat="1" ht="16.5">
      <c r="A442" s="1194">
        <v>435</v>
      </c>
      <c r="B442" s="854"/>
      <c r="C442" s="71"/>
      <c r="D442" s="72" t="s">
        <v>635</v>
      </c>
      <c r="E442" s="855"/>
      <c r="F442" s="856"/>
      <c r="G442" s="856"/>
      <c r="H442" s="857"/>
      <c r="I442" s="874">
        <f t="shared" si="6"/>
        <v>150000</v>
      </c>
      <c r="J442" s="84"/>
      <c r="K442" s="84"/>
      <c r="L442" s="84">
        <v>150000</v>
      </c>
      <c r="M442" s="84"/>
      <c r="N442" s="85"/>
      <c r="O442" s="63">
        <f>SUM(J442:N442)-I442</f>
        <v>0</v>
      </c>
    </row>
    <row r="443" spans="1:15" s="862" customFormat="1" ht="17.25">
      <c r="A443" s="1194">
        <v>436</v>
      </c>
      <c r="B443" s="858"/>
      <c r="C443" s="87"/>
      <c r="D443" s="80" t="s">
        <v>707</v>
      </c>
      <c r="E443" s="859"/>
      <c r="F443" s="860"/>
      <c r="G443" s="860"/>
      <c r="H443" s="861"/>
      <c r="I443" s="875">
        <f t="shared" si="6"/>
        <v>44127</v>
      </c>
      <c r="J443" s="1018"/>
      <c r="K443" s="1018"/>
      <c r="L443" s="1018">
        <v>44127</v>
      </c>
      <c r="M443" s="1018"/>
      <c r="N443" s="1019"/>
      <c r="O443" s="86"/>
    </row>
    <row r="444" spans="1:15" s="1110" customFormat="1" ht="17.25">
      <c r="A444" s="1194">
        <v>437</v>
      </c>
      <c r="B444" s="863"/>
      <c r="C444" s="864"/>
      <c r="D444" s="865" t="s">
        <v>637</v>
      </c>
      <c r="E444" s="866"/>
      <c r="F444" s="867"/>
      <c r="G444" s="867"/>
      <c r="H444" s="868"/>
      <c r="I444" s="550">
        <f t="shared" si="6"/>
        <v>194127</v>
      </c>
      <c r="J444" s="1020">
        <f>SUM(J442:J443)</f>
        <v>0</v>
      </c>
      <c r="K444" s="1020">
        <f>SUM(K442:K443)</f>
        <v>0</v>
      </c>
      <c r="L444" s="1020">
        <f>SUM(L442:L443)</f>
        <v>194127</v>
      </c>
      <c r="M444" s="1020">
        <f>SUM(M442:M443)</f>
        <v>0</v>
      </c>
      <c r="N444" s="1021">
        <f>SUM(N442:N443)</f>
        <v>0</v>
      </c>
      <c r="O444" s="586"/>
    </row>
    <row r="445" spans="1:15" s="63" customFormat="1" ht="17.25">
      <c r="A445" s="1194">
        <v>438</v>
      </c>
      <c r="B445" s="70"/>
      <c r="C445" s="71">
        <v>92</v>
      </c>
      <c r="D445" s="72" t="s">
        <v>11</v>
      </c>
      <c r="E445" s="71" t="s">
        <v>31</v>
      </c>
      <c r="F445" s="48">
        <v>251820</v>
      </c>
      <c r="G445" s="48">
        <v>278000</v>
      </c>
      <c r="H445" s="73">
        <v>279334</v>
      </c>
      <c r="I445" s="550"/>
      <c r="J445" s="1020"/>
      <c r="K445" s="1020"/>
      <c r="L445" s="1020"/>
      <c r="M445" s="1020"/>
      <c r="N445" s="1021"/>
      <c r="O445" s="586"/>
    </row>
    <row r="446" spans="1:15" s="56" customFormat="1" ht="16.5">
      <c r="A446" s="1194">
        <v>439</v>
      </c>
      <c r="B446" s="854"/>
      <c r="C446" s="71"/>
      <c r="D446" s="72" t="s">
        <v>635</v>
      </c>
      <c r="E446" s="855"/>
      <c r="F446" s="856"/>
      <c r="G446" s="856"/>
      <c r="H446" s="857"/>
      <c r="I446" s="874">
        <f t="shared" si="6"/>
        <v>285000</v>
      </c>
      <c r="J446" s="84"/>
      <c r="K446" s="84"/>
      <c r="L446" s="84">
        <v>285000</v>
      </c>
      <c r="M446" s="84"/>
      <c r="N446" s="85"/>
      <c r="O446" s="63">
        <f>SUM(J446:N446)-I446</f>
        <v>0</v>
      </c>
    </row>
    <row r="447" spans="1:15" s="862" customFormat="1" ht="17.25">
      <c r="A447" s="1194">
        <v>440</v>
      </c>
      <c r="B447" s="858"/>
      <c r="C447" s="87"/>
      <c r="D447" s="80" t="s">
        <v>742</v>
      </c>
      <c r="E447" s="859"/>
      <c r="F447" s="860"/>
      <c r="G447" s="860"/>
      <c r="H447" s="861"/>
      <c r="I447" s="875">
        <f t="shared" si="6"/>
        <v>1304</v>
      </c>
      <c r="J447" s="1018"/>
      <c r="K447" s="1018"/>
      <c r="L447" s="1018">
        <v>1304</v>
      </c>
      <c r="M447" s="1018"/>
      <c r="N447" s="1019"/>
      <c r="O447" s="86"/>
    </row>
    <row r="448" spans="1:15" s="862" customFormat="1" ht="17.25">
      <c r="A448" s="1194">
        <v>441</v>
      </c>
      <c r="B448" s="858"/>
      <c r="C448" s="87"/>
      <c r="D448" s="80" t="s">
        <v>704</v>
      </c>
      <c r="E448" s="859"/>
      <c r="F448" s="860"/>
      <c r="G448" s="860"/>
      <c r="H448" s="861"/>
      <c r="I448" s="875">
        <f t="shared" si="6"/>
        <v>14297</v>
      </c>
      <c r="J448" s="1018"/>
      <c r="K448" s="1018"/>
      <c r="L448" s="1018">
        <v>14297</v>
      </c>
      <c r="M448" s="1018"/>
      <c r="N448" s="1019"/>
      <c r="O448" s="86"/>
    </row>
    <row r="449" spans="1:15" s="1110" customFormat="1" ht="17.25">
      <c r="A449" s="1194">
        <v>442</v>
      </c>
      <c r="B449" s="863"/>
      <c r="C449" s="864"/>
      <c r="D449" s="865" t="s">
        <v>637</v>
      </c>
      <c r="E449" s="866"/>
      <c r="F449" s="867"/>
      <c r="G449" s="867"/>
      <c r="H449" s="868"/>
      <c r="I449" s="550">
        <f t="shared" si="6"/>
        <v>300601</v>
      </c>
      <c r="J449" s="1020">
        <f>SUM(J446:J448)</f>
        <v>0</v>
      </c>
      <c r="K449" s="1020">
        <f>SUM(K446:K448)</f>
        <v>0</v>
      </c>
      <c r="L449" s="1020">
        <f>SUM(L446:L448)</f>
        <v>300601</v>
      </c>
      <c r="M449" s="1020">
        <f>SUM(M446:M448)</f>
        <v>0</v>
      </c>
      <c r="N449" s="1020">
        <f>SUM(N446:N448)</f>
        <v>0</v>
      </c>
      <c r="O449" s="586"/>
    </row>
    <row r="450" spans="1:15" s="63" customFormat="1" ht="17.25">
      <c r="A450" s="1194">
        <v>443</v>
      </c>
      <c r="B450" s="70"/>
      <c r="C450" s="71">
        <v>93</v>
      </c>
      <c r="D450" s="72" t="s">
        <v>295</v>
      </c>
      <c r="E450" s="71" t="s">
        <v>31</v>
      </c>
      <c r="F450" s="48">
        <v>39200</v>
      </c>
      <c r="G450" s="48">
        <v>50000</v>
      </c>
      <c r="H450" s="73">
        <v>50472</v>
      </c>
      <c r="I450" s="550"/>
      <c r="J450" s="1020"/>
      <c r="K450" s="1020"/>
      <c r="L450" s="1020"/>
      <c r="M450" s="1020"/>
      <c r="N450" s="1021"/>
      <c r="O450" s="586"/>
    </row>
    <row r="451" spans="1:15" s="56" customFormat="1" ht="16.5">
      <c r="A451" s="1194">
        <v>444</v>
      </c>
      <c r="B451" s="854"/>
      <c r="C451" s="71"/>
      <c r="D451" s="72" t="s">
        <v>635</v>
      </c>
      <c r="E451" s="855"/>
      <c r="F451" s="856"/>
      <c r="G451" s="856"/>
      <c r="H451" s="857"/>
      <c r="I451" s="874">
        <f t="shared" si="6"/>
        <v>50000</v>
      </c>
      <c r="J451" s="84"/>
      <c r="K451" s="84"/>
      <c r="L451" s="84">
        <v>50000</v>
      </c>
      <c r="M451" s="84"/>
      <c r="N451" s="85"/>
      <c r="O451" s="63">
        <f>SUM(J451:N451)-I451</f>
        <v>0</v>
      </c>
    </row>
    <row r="452" spans="1:15" s="862" customFormat="1" ht="17.25">
      <c r="A452" s="1194">
        <v>445</v>
      </c>
      <c r="B452" s="858"/>
      <c r="C452" s="87"/>
      <c r="D452" s="80" t="s">
        <v>707</v>
      </c>
      <c r="E452" s="859"/>
      <c r="F452" s="860"/>
      <c r="G452" s="860"/>
      <c r="H452" s="861"/>
      <c r="I452" s="875">
        <f t="shared" si="6"/>
        <v>3428</v>
      </c>
      <c r="J452" s="1018"/>
      <c r="K452" s="1018"/>
      <c r="L452" s="1018">
        <v>3428</v>
      </c>
      <c r="M452" s="1018"/>
      <c r="N452" s="1019"/>
      <c r="O452" s="86"/>
    </row>
    <row r="453" spans="1:15" s="1110" customFormat="1" ht="17.25">
      <c r="A453" s="1194">
        <v>446</v>
      </c>
      <c r="B453" s="863"/>
      <c r="C453" s="864"/>
      <c r="D453" s="865" t="s">
        <v>637</v>
      </c>
      <c r="E453" s="866"/>
      <c r="F453" s="867"/>
      <c r="G453" s="867"/>
      <c r="H453" s="868"/>
      <c r="I453" s="550">
        <f t="shared" si="6"/>
        <v>53428</v>
      </c>
      <c r="J453" s="1020">
        <f>SUM(J451:J452)</f>
        <v>0</v>
      </c>
      <c r="K453" s="1020">
        <f>SUM(K451:K452)</f>
        <v>0</v>
      </c>
      <c r="L453" s="1020">
        <f>SUM(L451:L452)</f>
        <v>53428</v>
      </c>
      <c r="M453" s="1020">
        <f>SUM(M451:M452)</f>
        <v>0</v>
      </c>
      <c r="N453" s="1021">
        <f>SUM(N451:N452)</f>
        <v>0</v>
      </c>
      <c r="O453" s="586"/>
    </row>
    <row r="454" spans="1:15" s="63" customFormat="1" ht="17.25">
      <c r="A454" s="1194">
        <v>447</v>
      </c>
      <c r="B454" s="70"/>
      <c r="C454" s="71">
        <v>94</v>
      </c>
      <c r="D454" s="72" t="s">
        <v>12</v>
      </c>
      <c r="E454" s="71" t="s">
        <v>31</v>
      </c>
      <c r="F454" s="48">
        <v>261079</v>
      </c>
      <c r="G454" s="48">
        <v>300000</v>
      </c>
      <c r="H454" s="73">
        <v>302093</v>
      </c>
      <c r="I454" s="550"/>
      <c r="J454" s="1020"/>
      <c r="K454" s="1020"/>
      <c r="L454" s="1020"/>
      <c r="M454" s="1020"/>
      <c r="N454" s="1021"/>
      <c r="O454" s="586"/>
    </row>
    <row r="455" spans="1:15" s="56" customFormat="1" ht="16.5">
      <c r="A455" s="1194">
        <v>448</v>
      </c>
      <c r="B455" s="854"/>
      <c r="C455" s="71"/>
      <c r="D455" s="72" t="s">
        <v>635</v>
      </c>
      <c r="E455" s="855"/>
      <c r="F455" s="856"/>
      <c r="G455" s="856"/>
      <c r="H455" s="857"/>
      <c r="I455" s="874">
        <f t="shared" si="6"/>
        <v>295000</v>
      </c>
      <c r="J455" s="84"/>
      <c r="K455" s="84"/>
      <c r="L455" s="84">
        <v>295000</v>
      </c>
      <c r="M455" s="84"/>
      <c r="N455" s="85"/>
      <c r="O455" s="63">
        <f>SUM(J455:N455)-I455</f>
        <v>0</v>
      </c>
    </row>
    <row r="456" spans="1:15" s="862" customFormat="1" ht="17.25">
      <c r="A456" s="1194">
        <v>449</v>
      </c>
      <c r="B456" s="858"/>
      <c r="C456" s="87"/>
      <c r="D456" s="80" t="s">
        <v>743</v>
      </c>
      <c r="E456" s="859"/>
      <c r="F456" s="860"/>
      <c r="G456" s="860"/>
      <c r="H456" s="861"/>
      <c r="I456" s="875">
        <f t="shared" si="6"/>
        <v>770</v>
      </c>
      <c r="J456" s="1018"/>
      <c r="K456" s="1018"/>
      <c r="L456" s="1018">
        <v>770</v>
      </c>
      <c r="M456" s="1018"/>
      <c r="N456" s="1019"/>
      <c r="O456" s="86"/>
    </row>
    <row r="457" spans="1:15" s="862" customFormat="1" ht="17.25">
      <c r="A457" s="1194">
        <v>450</v>
      </c>
      <c r="B457" s="858"/>
      <c r="C457" s="87"/>
      <c r="D457" s="80" t="s">
        <v>704</v>
      </c>
      <c r="E457" s="859"/>
      <c r="F457" s="860"/>
      <c r="G457" s="860"/>
      <c r="H457" s="861"/>
      <c r="I457" s="875">
        <f t="shared" si="6"/>
        <v>24292</v>
      </c>
      <c r="J457" s="1018"/>
      <c r="K457" s="1018"/>
      <c r="L457" s="1018">
        <v>24292</v>
      </c>
      <c r="M457" s="1018"/>
      <c r="N457" s="1019"/>
      <c r="O457" s="86"/>
    </row>
    <row r="458" spans="1:15" s="1110" customFormat="1" ht="17.25">
      <c r="A458" s="1194">
        <v>451</v>
      </c>
      <c r="B458" s="863"/>
      <c r="C458" s="864"/>
      <c r="D458" s="865" t="s">
        <v>637</v>
      </c>
      <c r="E458" s="866"/>
      <c r="F458" s="867"/>
      <c r="G458" s="867"/>
      <c r="H458" s="868"/>
      <c r="I458" s="550">
        <f t="shared" si="6"/>
        <v>320062</v>
      </c>
      <c r="J458" s="1020">
        <f>SUM(J455:J457)</f>
        <v>0</v>
      </c>
      <c r="K458" s="1020">
        <f>SUM(K455:K457)</f>
        <v>0</v>
      </c>
      <c r="L458" s="1020">
        <f>SUM(L455:L457)</f>
        <v>320062</v>
      </c>
      <c r="M458" s="1020">
        <f>SUM(M455:M457)</f>
        <v>0</v>
      </c>
      <c r="N458" s="1020">
        <f>SUM(N455:N457)</f>
        <v>0</v>
      </c>
      <c r="O458" s="586"/>
    </row>
    <row r="459" spans="1:15" s="56" customFormat="1" ht="24" customHeight="1">
      <c r="A459" s="1194">
        <v>452</v>
      </c>
      <c r="B459" s="81"/>
      <c r="C459" s="77">
        <v>95</v>
      </c>
      <c r="D459" s="82" t="s">
        <v>296</v>
      </c>
      <c r="E459" s="77" t="s">
        <v>31</v>
      </c>
      <c r="F459" s="46"/>
      <c r="G459" s="46">
        <v>30000</v>
      </c>
      <c r="H459" s="83">
        <v>19527</v>
      </c>
      <c r="I459" s="550"/>
      <c r="J459" s="1020"/>
      <c r="K459" s="1020"/>
      <c r="L459" s="1020"/>
      <c r="M459" s="1020"/>
      <c r="N459" s="1021"/>
      <c r="O459" s="1110"/>
    </row>
    <row r="460" spans="1:15" s="56" customFormat="1" ht="16.5">
      <c r="A460" s="1194">
        <v>453</v>
      </c>
      <c r="B460" s="854"/>
      <c r="C460" s="71"/>
      <c r="D460" s="72" t="s">
        <v>635</v>
      </c>
      <c r="E460" s="855"/>
      <c r="F460" s="856"/>
      <c r="G460" s="856"/>
      <c r="H460" s="857"/>
      <c r="I460" s="874">
        <f t="shared" si="6"/>
        <v>15000</v>
      </c>
      <c r="J460" s="84"/>
      <c r="K460" s="84"/>
      <c r="L460" s="84">
        <v>15000</v>
      </c>
      <c r="M460" s="84"/>
      <c r="N460" s="85"/>
      <c r="O460" s="63">
        <f>SUM(J460:N460)-I460</f>
        <v>0</v>
      </c>
    </row>
    <row r="461" spans="1:15" s="862" customFormat="1" ht="17.25">
      <c r="A461" s="1194">
        <v>454</v>
      </c>
      <c r="B461" s="858"/>
      <c r="C461" s="87"/>
      <c r="D461" s="80" t="s">
        <v>707</v>
      </c>
      <c r="E461" s="859"/>
      <c r="F461" s="860"/>
      <c r="G461" s="860"/>
      <c r="H461" s="861"/>
      <c r="I461" s="875">
        <f t="shared" si="6"/>
        <v>10473</v>
      </c>
      <c r="J461" s="1018"/>
      <c r="K461" s="1018"/>
      <c r="L461" s="1018">
        <v>10473</v>
      </c>
      <c r="M461" s="1018"/>
      <c r="N461" s="1019"/>
      <c r="O461" s="86"/>
    </row>
    <row r="462" spans="1:15" s="1110" customFormat="1" ht="17.25">
      <c r="A462" s="1194">
        <v>455</v>
      </c>
      <c r="B462" s="863"/>
      <c r="C462" s="864"/>
      <c r="D462" s="865" t="s">
        <v>637</v>
      </c>
      <c r="E462" s="866"/>
      <c r="F462" s="867"/>
      <c r="G462" s="867"/>
      <c r="H462" s="868"/>
      <c r="I462" s="550">
        <f t="shared" si="6"/>
        <v>25473</v>
      </c>
      <c r="J462" s="1020">
        <f>SUM(J460:J461)</f>
        <v>0</v>
      </c>
      <c r="K462" s="1020">
        <f>SUM(K460:K461)</f>
        <v>0</v>
      </c>
      <c r="L462" s="1020">
        <f>SUM(L460:L461)</f>
        <v>25473</v>
      </c>
      <c r="M462" s="1020">
        <f>SUM(M460:M461)</f>
        <v>0</v>
      </c>
      <c r="N462" s="1021">
        <f>SUM(N460:N461)</f>
        <v>0</v>
      </c>
      <c r="O462" s="586"/>
    </row>
    <row r="463" spans="1:15" s="56" customFormat="1" ht="24" customHeight="1">
      <c r="A463" s="1194">
        <v>456</v>
      </c>
      <c r="B463" s="81"/>
      <c r="C463" s="77">
        <v>96</v>
      </c>
      <c r="D463" s="82" t="s">
        <v>297</v>
      </c>
      <c r="E463" s="77" t="s">
        <v>31</v>
      </c>
      <c r="F463" s="46"/>
      <c r="G463" s="46">
        <v>1000</v>
      </c>
      <c r="H463" s="83"/>
      <c r="I463" s="550"/>
      <c r="J463" s="1020"/>
      <c r="K463" s="1020"/>
      <c r="L463" s="1020"/>
      <c r="M463" s="1020"/>
      <c r="N463" s="1021"/>
      <c r="O463" s="1110"/>
    </row>
    <row r="464" spans="1:15" s="56" customFormat="1" ht="16.5">
      <c r="A464" s="1194">
        <v>457</v>
      </c>
      <c r="B464" s="854"/>
      <c r="C464" s="71"/>
      <c r="D464" s="72" t="s">
        <v>635</v>
      </c>
      <c r="E464" s="855"/>
      <c r="F464" s="856"/>
      <c r="G464" s="856"/>
      <c r="H464" s="857"/>
      <c r="I464" s="874">
        <f t="shared" si="6"/>
        <v>1000</v>
      </c>
      <c r="J464" s="84"/>
      <c r="K464" s="84"/>
      <c r="L464" s="84">
        <v>1000</v>
      </c>
      <c r="M464" s="84"/>
      <c r="N464" s="85"/>
      <c r="O464" s="63">
        <f>SUM(J464:N464)-I464</f>
        <v>0</v>
      </c>
    </row>
    <row r="465" spans="1:15" s="862" customFormat="1" ht="17.25">
      <c r="A465" s="1194">
        <v>458</v>
      </c>
      <c r="B465" s="858"/>
      <c r="C465" s="87"/>
      <c r="D465" s="80" t="s">
        <v>707</v>
      </c>
      <c r="E465" s="859"/>
      <c r="F465" s="860"/>
      <c r="G465" s="860"/>
      <c r="H465" s="861"/>
      <c r="I465" s="875">
        <f t="shared" si="6"/>
        <v>1000</v>
      </c>
      <c r="J465" s="1018"/>
      <c r="K465" s="1018"/>
      <c r="L465" s="1018">
        <v>1000</v>
      </c>
      <c r="M465" s="1018"/>
      <c r="N465" s="1019"/>
      <c r="O465" s="86"/>
    </row>
    <row r="466" spans="1:15" s="1110" customFormat="1" ht="17.25">
      <c r="A466" s="1194">
        <v>459</v>
      </c>
      <c r="B466" s="863"/>
      <c r="C466" s="864"/>
      <c r="D466" s="865" t="s">
        <v>637</v>
      </c>
      <c r="E466" s="866"/>
      <c r="F466" s="867"/>
      <c r="G466" s="867"/>
      <c r="H466" s="868"/>
      <c r="I466" s="550">
        <f t="shared" si="6"/>
        <v>2000</v>
      </c>
      <c r="J466" s="1020">
        <f>SUM(J464:J465)</f>
        <v>0</v>
      </c>
      <c r="K466" s="1020">
        <f>SUM(K464:K465)</f>
        <v>0</v>
      </c>
      <c r="L466" s="1020">
        <f>SUM(L464:L465)</f>
        <v>2000</v>
      </c>
      <c r="M466" s="1020">
        <f>SUM(M464:M465)</f>
        <v>0</v>
      </c>
      <c r="N466" s="1021">
        <f>SUM(N464:N465)</f>
        <v>0</v>
      </c>
      <c r="O466" s="586"/>
    </row>
    <row r="467" spans="1:15" s="56" customFormat="1" ht="24" customHeight="1">
      <c r="A467" s="1194">
        <v>460</v>
      </c>
      <c r="B467" s="81"/>
      <c r="C467" s="77">
        <v>97</v>
      </c>
      <c r="D467" s="82" t="s">
        <v>298</v>
      </c>
      <c r="E467" s="77" t="s">
        <v>31</v>
      </c>
      <c r="F467" s="46"/>
      <c r="G467" s="46">
        <v>5000</v>
      </c>
      <c r="H467" s="83">
        <v>3665</v>
      </c>
      <c r="I467" s="550"/>
      <c r="J467" s="1020"/>
      <c r="K467" s="1020"/>
      <c r="L467" s="1020"/>
      <c r="M467" s="1020"/>
      <c r="N467" s="1021"/>
      <c r="O467" s="1110"/>
    </row>
    <row r="468" spans="1:15" s="56" customFormat="1" ht="16.5">
      <c r="A468" s="1194">
        <v>461</v>
      </c>
      <c r="B468" s="854"/>
      <c r="C468" s="71"/>
      <c r="D468" s="72" t="s">
        <v>635</v>
      </c>
      <c r="E468" s="855"/>
      <c r="F468" s="856"/>
      <c r="G468" s="856"/>
      <c r="H468" s="857"/>
      <c r="I468" s="874">
        <f t="shared" si="6"/>
        <v>5000</v>
      </c>
      <c r="J468" s="84"/>
      <c r="K468" s="84"/>
      <c r="L468" s="84">
        <v>5000</v>
      </c>
      <c r="M468" s="84"/>
      <c r="N468" s="85"/>
      <c r="O468" s="63">
        <f>SUM(J468:N468)-I468</f>
        <v>0</v>
      </c>
    </row>
    <row r="469" spans="1:15" s="862" customFormat="1" ht="17.25">
      <c r="A469" s="1194">
        <v>462</v>
      </c>
      <c r="B469" s="858"/>
      <c r="C469" s="87"/>
      <c r="D469" s="80" t="s">
        <v>707</v>
      </c>
      <c r="E469" s="859"/>
      <c r="F469" s="860"/>
      <c r="G469" s="860"/>
      <c r="H469" s="861"/>
      <c r="I469" s="875">
        <f t="shared" si="6"/>
        <v>2835</v>
      </c>
      <c r="J469" s="1018"/>
      <c r="K469" s="1018"/>
      <c r="L469" s="1018">
        <v>2835</v>
      </c>
      <c r="M469" s="1018"/>
      <c r="N469" s="1019"/>
      <c r="O469" s="86"/>
    </row>
    <row r="470" spans="1:15" s="1110" customFormat="1" ht="17.25">
      <c r="A470" s="1194">
        <v>463</v>
      </c>
      <c r="B470" s="863"/>
      <c r="C470" s="864"/>
      <c r="D470" s="865" t="s">
        <v>637</v>
      </c>
      <c r="E470" s="866"/>
      <c r="F470" s="867"/>
      <c r="G470" s="867"/>
      <c r="H470" s="868"/>
      <c r="I470" s="550">
        <f t="shared" si="6"/>
        <v>7835</v>
      </c>
      <c r="J470" s="1020">
        <f>SUM(J468:J469)</f>
        <v>0</v>
      </c>
      <c r="K470" s="1020">
        <f>SUM(K468:K469)</f>
        <v>0</v>
      </c>
      <c r="L470" s="1020">
        <f>SUM(L468:L469)</f>
        <v>7835</v>
      </c>
      <c r="M470" s="1020">
        <f>SUM(M468:M469)</f>
        <v>0</v>
      </c>
      <c r="N470" s="1021">
        <f>SUM(N468:N469)</f>
        <v>0</v>
      </c>
      <c r="O470" s="586"/>
    </row>
    <row r="471" spans="1:15" s="56" customFormat="1" ht="24" customHeight="1">
      <c r="A471" s="1194">
        <v>464</v>
      </c>
      <c r="B471" s="81"/>
      <c r="C471" s="77">
        <v>98</v>
      </c>
      <c r="D471" s="82" t="s">
        <v>299</v>
      </c>
      <c r="E471" s="77" t="s">
        <v>31</v>
      </c>
      <c r="F471" s="46">
        <v>10392</v>
      </c>
      <c r="G471" s="46">
        <v>13000</v>
      </c>
      <c r="H471" s="83">
        <v>16874</v>
      </c>
      <c r="I471" s="550"/>
      <c r="J471" s="1020"/>
      <c r="K471" s="1020"/>
      <c r="L471" s="1020"/>
      <c r="M471" s="1020"/>
      <c r="N471" s="1021"/>
      <c r="O471" s="1110"/>
    </row>
    <row r="472" spans="1:15" s="56" customFormat="1" ht="16.5">
      <c r="A472" s="1194">
        <v>465</v>
      </c>
      <c r="B472" s="854"/>
      <c r="C472" s="71"/>
      <c r="D472" s="72" t="s">
        <v>635</v>
      </c>
      <c r="E472" s="855"/>
      <c r="F472" s="856"/>
      <c r="G472" s="856"/>
      <c r="H472" s="857"/>
      <c r="I472" s="874">
        <f t="shared" si="6"/>
        <v>13000</v>
      </c>
      <c r="J472" s="84"/>
      <c r="K472" s="84"/>
      <c r="L472" s="84">
        <v>13000</v>
      </c>
      <c r="M472" s="84"/>
      <c r="N472" s="85"/>
      <c r="O472" s="63">
        <f>SUM(J472:N472)-I472</f>
        <v>0</v>
      </c>
    </row>
    <row r="473" spans="1:15" s="862" customFormat="1" ht="17.25">
      <c r="A473" s="1194">
        <v>466</v>
      </c>
      <c r="B473" s="858"/>
      <c r="C473" s="87"/>
      <c r="D473" s="80" t="s">
        <v>743</v>
      </c>
      <c r="E473" s="859"/>
      <c r="F473" s="860"/>
      <c r="G473" s="860"/>
      <c r="H473" s="861"/>
      <c r="I473" s="875">
        <f t="shared" si="6"/>
        <v>535</v>
      </c>
      <c r="J473" s="1018"/>
      <c r="K473" s="1018"/>
      <c r="L473" s="1018">
        <v>535</v>
      </c>
      <c r="M473" s="1018"/>
      <c r="N473" s="1019"/>
      <c r="O473" s="86"/>
    </row>
    <row r="474" spans="1:15" s="862" customFormat="1" ht="17.25">
      <c r="A474" s="1194">
        <v>467</v>
      </c>
      <c r="B474" s="858"/>
      <c r="C474" s="87"/>
      <c r="D474" s="80" t="s">
        <v>704</v>
      </c>
      <c r="E474" s="859"/>
      <c r="F474" s="860"/>
      <c r="G474" s="860"/>
      <c r="H474" s="861"/>
      <c r="I474" s="875">
        <f t="shared" si="6"/>
        <v>8481</v>
      </c>
      <c r="J474" s="1018"/>
      <c r="K474" s="1018"/>
      <c r="L474" s="1018">
        <v>8481</v>
      </c>
      <c r="M474" s="1018"/>
      <c r="N474" s="1019"/>
      <c r="O474" s="86"/>
    </row>
    <row r="475" spans="1:15" s="1110" customFormat="1" ht="17.25">
      <c r="A475" s="1194">
        <v>468</v>
      </c>
      <c r="B475" s="863"/>
      <c r="C475" s="864"/>
      <c r="D475" s="865" t="s">
        <v>637</v>
      </c>
      <c r="E475" s="866"/>
      <c r="F475" s="867"/>
      <c r="G475" s="867"/>
      <c r="H475" s="868"/>
      <c r="I475" s="550">
        <f t="shared" si="6"/>
        <v>22016</v>
      </c>
      <c r="J475" s="1020">
        <f>SUM(J472:J474)</f>
        <v>0</v>
      </c>
      <c r="K475" s="1020">
        <f>SUM(K472:K474)</f>
        <v>0</v>
      </c>
      <c r="L475" s="1020">
        <f>SUM(L472:L474)</f>
        <v>22016</v>
      </c>
      <c r="M475" s="1020">
        <f>SUM(M472:M474)</f>
        <v>0</v>
      </c>
      <c r="N475" s="1020">
        <f>SUM(N472:N474)</f>
        <v>0</v>
      </c>
      <c r="O475" s="586"/>
    </row>
    <row r="476" spans="1:15" s="56" customFormat="1" ht="24" customHeight="1">
      <c r="A476" s="1194">
        <v>469</v>
      </c>
      <c r="B476" s="81"/>
      <c r="C476" s="77">
        <v>99</v>
      </c>
      <c r="D476" s="82" t="s">
        <v>300</v>
      </c>
      <c r="E476" s="77" t="s">
        <v>31</v>
      </c>
      <c r="F476" s="46">
        <v>89927</v>
      </c>
      <c r="G476" s="46">
        <v>120000</v>
      </c>
      <c r="H476" s="83">
        <v>165247</v>
      </c>
      <c r="I476" s="550"/>
      <c r="J476" s="1020"/>
      <c r="K476" s="1020"/>
      <c r="L476" s="1020"/>
      <c r="M476" s="1020"/>
      <c r="N476" s="1021"/>
      <c r="O476" s="1110"/>
    </row>
    <row r="477" spans="1:15" s="56" customFormat="1" ht="16.5">
      <c r="A477" s="1194">
        <v>470</v>
      </c>
      <c r="B477" s="854"/>
      <c r="C477" s="71"/>
      <c r="D477" s="72" t="s">
        <v>635</v>
      </c>
      <c r="E477" s="855"/>
      <c r="F477" s="856"/>
      <c r="G477" s="856"/>
      <c r="H477" s="857"/>
      <c r="I477" s="874">
        <f t="shared" si="6"/>
        <v>180000</v>
      </c>
      <c r="J477" s="84"/>
      <c r="K477" s="84"/>
      <c r="L477" s="84">
        <v>180000</v>
      </c>
      <c r="M477" s="84"/>
      <c r="N477" s="85"/>
      <c r="O477" s="63">
        <f>SUM(J477:N477)-I477</f>
        <v>0</v>
      </c>
    </row>
    <row r="478" spans="1:15" s="862" customFormat="1" ht="17.25">
      <c r="A478" s="1194">
        <v>471</v>
      </c>
      <c r="B478" s="858"/>
      <c r="C478" s="87"/>
      <c r="D478" s="80" t="s">
        <v>707</v>
      </c>
      <c r="E478" s="859"/>
      <c r="F478" s="860"/>
      <c r="G478" s="860"/>
      <c r="H478" s="861"/>
      <c r="I478" s="875">
        <f t="shared" si="6"/>
        <v>3211</v>
      </c>
      <c r="J478" s="1018"/>
      <c r="K478" s="1018"/>
      <c r="L478" s="1018">
        <v>3211</v>
      </c>
      <c r="M478" s="1018"/>
      <c r="N478" s="1019"/>
      <c r="O478" s="86"/>
    </row>
    <row r="479" spans="1:15" s="1110" customFormat="1" ht="17.25">
      <c r="A479" s="1194">
        <v>472</v>
      </c>
      <c r="B479" s="863"/>
      <c r="C479" s="864"/>
      <c r="D479" s="865" t="s">
        <v>637</v>
      </c>
      <c r="E479" s="866"/>
      <c r="F479" s="867"/>
      <c r="G479" s="867"/>
      <c r="H479" s="868"/>
      <c r="I479" s="550">
        <f t="shared" si="6"/>
        <v>183211</v>
      </c>
      <c r="J479" s="1020">
        <f>SUM(J477:J478)</f>
        <v>0</v>
      </c>
      <c r="K479" s="1020">
        <f>SUM(K477:K478)</f>
        <v>0</v>
      </c>
      <c r="L479" s="1020">
        <f>SUM(L477:L478)</f>
        <v>183211</v>
      </c>
      <c r="M479" s="1020">
        <f>SUM(M477:M478)</f>
        <v>0</v>
      </c>
      <c r="N479" s="1021">
        <f>SUM(N477:N478)</f>
        <v>0</v>
      </c>
      <c r="O479" s="586"/>
    </row>
    <row r="480" spans="1:15" s="56" customFormat="1" ht="24" customHeight="1">
      <c r="A480" s="1194">
        <v>473</v>
      </c>
      <c r="B480" s="81"/>
      <c r="C480" s="77">
        <v>100</v>
      </c>
      <c r="D480" s="82" t="s">
        <v>301</v>
      </c>
      <c r="E480" s="77" t="s">
        <v>33</v>
      </c>
      <c r="F480" s="46">
        <v>5139</v>
      </c>
      <c r="G480" s="46">
        <v>5856</v>
      </c>
      <c r="H480" s="83">
        <v>5158</v>
      </c>
      <c r="I480" s="550"/>
      <c r="J480" s="1020"/>
      <c r="K480" s="1020"/>
      <c r="L480" s="1020"/>
      <c r="M480" s="1020"/>
      <c r="N480" s="1021"/>
      <c r="O480" s="1110"/>
    </row>
    <row r="481" spans="1:15" s="56" customFormat="1" ht="16.5">
      <c r="A481" s="1194">
        <v>474</v>
      </c>
      <c r="B481" s="854"/>
      <c r="C481" s="71"/>
      <c r="D481" s="72" t="s">
        <v>635</v>
      </c>
      <c r="E481" s="855"/>
      <c r="F481" s="856"/>
      <c r="G481" s="856"/>
      <c r="H481" s="857"/>
      <c r="I481" s="874">
        <f t="shared" si="6"/>
        <v>0</v>
      </c>
      <c r="J481" s="84"/>
      <c r="K481" s="84"/>
      <c r="L481" s="84"/>
      <c r="M481" s="84"/>
      <c r="N481" s="85"/>
      <c r="O481" s="63">
        <f>SUM(J481:N481)-I481</f>
        <v>0</v>
      </c>
    </row>
    <row r="482" spans="1:15" s="862" customFormat="1" ht="17.25">
      <c r="A482" s="1194">
        <v>475</v>
      </c>
      <c r="B482" s="858"/>
      <c r="C482" s="87"/>
      <c r="D482" s="80" t="s">
        <v>707</v>
      </c>
      <c r="E482" s="859"/>
      <c r="F482" s="860"/>
      <c r="G482" s="860"/>
      <c r="H482" s="861"/>
      <c r="I482" s="875">
        <f t="shared" si="6"/>
        <v>698</v>
      </c>
      <c r="J482" s="1018"/>
      <c r="K482" s="1018"/>
      <c r="L482" s="1018">
        <v>698</v>
      </c>
      <c r="M482" s="1018"/>
      <c r="N482" s="1019"/>
      <c r="O482" s="86"/>
    </row>
    <row r="483" spans="1:15" s="1110" customFormat="1" ht="17.25">
      <c r="A483" s="1194">
        <v>476</v>
      </c>
      <c r="B483" s="863"/>
      <c r="C483" s="864"/>
      <c r="D483" s="865" t="s">
        <v>637</v>
      </c>
      <c r="E483" s="866"/>
      <c r="F483" s="867"/>
      <c r="G483" s="867"/>
      <c r="H483" s="868"/>
      <c r="I483" s="550">
        <f t="shared" si="6"/>
        <v>698</v>
      </c>
      <c r="J483" s="1020">
        <f>SUM(J481:J482)</f>
        <v>0</v>
      </c>
      <c r="K483" s="1020">
        <f>SUM(K481:K482)</f>
        <v>0</v>
      </c>
      <c r="L483" s="1020">
        <f>SUM(L481:L482)</f>
        <v>698</v>
      </c>
      <c r="M483" s="1020">
        <f>SUM(M481:M482)</f>
        <v>0</v>
      </c>
      <c r="N483" s="1021">
        <f>SUM(N481:N482)</f>
        <v>0</v>
      </c>
      <c r="O483" s="586"/>
    </row>
    <row r="484" spans="1:15" s="56" customFormat="1" ht="24" customHeight="1">
      <c r="A484" s="1194">
        <v>477</v>
      </c>
      <c r="B484" s="81"/>
      <c r="C484" s="77">
        <v>101</v>
      </c>
      <c r="D484" s="82" t="s">
        <v>302</v>
      </c>
      <c r="E484" s="77" t="s">
        <v>31</v>
      </c>
      <c r="F484" s="46">
        <v>3439</v>
      </c>
      <c r="G484" s="46">
        <v>5000</v>
      </c>
      <c r="H484" s="83">
        <v>3421</v>
      </c>
      <c r="I484" s="550"/>
      <c r="J484" s="1020"/>
      <c r="K484" s="1020"/>
      <c r="L484" s="1020"/>
      <c r="M484" s="1020"/>
      <c r="N484" s="1021"/>
      <c r="O484" s="1110"/>
    </row>
    <row r="485" spans="1:15" s="56" customFormat="1" ht="16.5">
      <c r="A485" s="1194">
        <v>478</v>
      </c>
      <c r="B485" s="854"/>
      <c r="C485" s="71"/>
      <c r="D485" s="72" t="s">
        <v>635</v>
      </c>
      <c r="E485" s="855"/>
      <c r="F485" s="856"/>
      <c r="G485" s="856"/>
      <c r="H485" s="857"/>
      <c r="I485" s="874">
        <f t="shared" si="6"/>
        <v>5000</v>
      </c>
      <c r="J485" s="84"/>
      <c r="K485" s="84"/>
      <c r="L485" s="84">
        <v>5000</v>
      </c>
      <c r="M485" s="84"/>
      <c r="N485" s="85"/>
      <c r="O485" s="63">
        <f>SUM(J485:N485)-I485</f>
        <v>0</v>
      </c>
    </row>
    <row r="486" spans="1:15" s="862" customFormat="1" ht="17.25">
      <c r="A486" s="1194">
        <v>479</v>
      </c>
      <c r="B486" s="858"/>
      <c r="C486" s="87"/>
      <c r="D486" s="80" t="s">
        <v>636</v>
      </c>
      <c r="E486" s="859"/>
      <c r="F486" s="860"/>
      <c r="G486" s="860"/>
      <c r="H486" s="861"/>
      <c r="I486" s="875">
        <f aca="true" t="shared" si="7" ref="I486:I547">SUM(J486:N486)</f>
        <v>0</v>
      </c>
      <c r="J486" s="1018"/>
      <c r="K486" s="1018"/>
      <c r="L486" s="1018"/>
      <c r="M486" s="1018"/>
      <c r="N486" s="1019"/>
      <c r="O486" s="86"/>
    </row>
    <row r="487" spans="1:15" s="1110" customFormat="1" ht="17.25">
      <c r="A487" s="1194">
        <v>480</v>
      </c>
      <c r="B487" s="863"/>
      <c r="C487" s="864"/>
      <c r="D487" s="865" t="s">
        <v>637</v>
      </c>
      <c r="E487" s="866"/>
      <c r="F487" s="867"/>
      <c r="G487" s="867"/>
      <c r="H487" s="868"/>
      <c r="I487" s="550">
        <f t="shared" si="7"/>
        <v>5000</v>
      </c>
      <c r="J487" s="1020">
        <f>SUM(J485:J486)</f>
        <v>0</v>
      </c>
      <c r="K487" s="1020">
        <f>SUM(K485:K486)</f>
        <v>0</v>
      </c>
      <c r="L487" s="1020">
        <f>SUM(L485:L486)</f>
        <v>5000</v>
      </c>
      <c r="M487" s="1020">
        <f>SUM(M485:M486)</f>
        <v>0</v>
      </c>
      <c r="N487" s="1021">
        <f>SUM(N485:N486)</f>
        <v>0</v>
      </c>
      <c r="O487" s="586"/>
    </row>
    <row r="488" spans="1:15" s="56" customFormat="1" ht="24" customHeight="1">
      <c r="A488" s="1194">
        <v>481</v>
      </c>
      <c r="B488" s="81"/>
      <c r="C488" s="77">
        <v>102</v>
      </c>
      <c r="D488" s="82" t="s">
        <v>303</v>
      </c>
      <c r="E488" s="77" t="s">
        <v>31</v>
      </c>
      <c r="F488" s="46">
        <v>2622</v>
      </c>
      <c r="G488" s="46">
        <v>6000</v>
      </c>
      <c r="H488" s="83">
        <v>4167</v>
      </c>
      <c r="I488" s="550"/>
      <c r="J488" s="1020"/>
      <c r="K488" s="1020"/>
      <c r="L488" s="1020"/>
      <c r="M488" s="1020"/>
      <c r="N488" s="1021"/>
      <c r="O488" s="1110"/>
    </row>
    <row r="489" spans="1:15" s="56" customFormat="1" ht="16.5">
      <c r="A489" s="1194">
        <v>482</v>
      </c>
      <c r="B489" s="854"/>
      <c r="C489" s="71"/>
      <c r="D489" s="72" t="s">
        <v>635</v>
      </c>
      <c r="E489" s="855"/>
      <c r="F489" s="856"/>
      <c r="G489" s="856"/>
      <c r="H489" s="857"/>
      <c r="I489" s="874">
        <f t="shared" si="7"/>
        <v>6000</v>
      </c>
      <c r="J489" s="84"/>
      <c r="K489" s="84"/>
      <c r="L489" s="84">
        <v>6000</v>
      </c>
      <c r="M489" s="84"/>
      <c r="N489" s="85"/>
      <c r="O489" s="63">
        <f>SUM(J489:N489)-I489</f>
        <v>0</v>
      </c>
    </row>
    <row r="490" spans="1:15" s="862" customFormat="1" ht="17.25">
      <c r="A490" s="1194">
        <v>483</v>
      </c>
      <c r="B490" s="858"/>
      <c r="C490" s="87"/>
      <c r="D490" s="80" t="s">
        <v>707</v>
      </c>
      <c r="E490" s="859"/>
      <c r="F490" s="860"/>
      <c r="G490" s="860"/>
      <c r="H490" s="861"/>
      <c r="I490" s="875">
        <f t="shared" si="7"/>
        <v>3212</v>
      </c>
      <c r="J490" s="1018"/>
      <c r="K490" s="1018"/>
      <c r="L490" s="1018">
        <v>3212</v>
      </c>
      <c r="M490" s="1018"/>
      <c r="N490" s="1019"/>
      <c r="O490" s="86"/>
    </row>
    <row r="491" spans="1:15" s="1110" customFormat="1" ht="17.25">
      <c r="A491" s="1194">
        <v>484</v>
      </c>
      <c r="B491" s="863"/>
      <c r="C491" s="864"/>
      <c r="D491" s="865" t="s">
        <v>637</v>
      </c>
      <c r="E491" s="866"/>
      <c r="F491" s="867"/>
      <c r="G491" s="867"/>
      <c r="H491" s="868"/>
      <c r="I491" s="550">
        <f t="shared" si="7"/>
        <v>9212</v>
      </c>
      <c r="J491" s="1020">
        <f>SUM(J489:J490)</f>
        <v>0</v>
      </c>
      <c r="K491" s="1020">
        <f>SUM(K489:K490)</f>
        <v>0</v>
      </c>
      <c r="L491" s="1020">
        <f>SUM(L489:L490)</f>
        <v>9212</v>
      </c>
      <c r="M491" s="1020">
        <f>SUM(M489:M490)</f>
        <v>0</v>
      </c>
      <c r="N491" s="1021">
        <f>SUM(N489:N490)</f>
        <v>0</v>
      </c>
      <c r="O491" s="586"/>
    </row>
    <row r="492" spans="1:15" s="56" customFormat="1" ht="24" customHeight="1">
      <c r="A492" s="1194">
        <v>485</v>
      </c>
      <c r="B492" s="81"/>
      <c r="C492" s="77">
        <v>103</v>
      </c>
      <c r="D492" s="82" t="s">
        <v>304</v>
      </c>
      <c r="E492" s="77" t="s">
        <v>31</v>
      </c>
      <c r="F492" s="46">
        <v>448</v>
      </c>
      <c r="G492" s="46">
        <v>2000</v>
      </c>
      <c r="H492" s="83">
        <v>334</v>
      </c>
      <c r="I492" s="550"/>
      <c r="J492" s="1020"/>
      <c r="K492" s="1020"/>
      <c r="L492" s="1020"/>
      <c r="M492" s="1020"/>
      <c r="N492" s="1021"/>
      <c r="O492" s="1110"/>
    </row>
    <row r="493" spans="1:15" s="56" customFormat="1" ht="16.5">
      <c r="A493" s="1194">
        <v>486</v>
      </c>
      <c r="B493" s="854"/>
      <c r="C493" s="71"/>
      <c r="D493" s="72" t="s">
        <v>635</v>
      </c>
      <c r="E493" s="855"/>
      <c r="F493" s="856"/>
      <c r="G493" s="856"/>
      <c r="H493" s="857"/>
      <c r="I493" s="874">
        <f t="shared" si="7"/>
        <v>2000</v>
      </c>
      <c r="J493" s="84"/>
      <c r="K493" s="84"/>
      <c r="L493" s="84">
        <v>2000</v>
      </c>
      <c r="M493" s="84"/>
      <c r="N493" s="85"/>
      <c r="O493" s="63">
        <f>SUM(J493:N493)-I493</f>
        <v>0</v>
      </c>
    </row>
    <row r="494" spans="1:15" s="862" customFormat="1" ht="17.25">
      <c r="A494" s="1194">
        <v>487</v>
      </c>
      <c r="B494" s="858"/>
      <c r="C494" s="87"/>
      <c r="D494" s="80" t="s">
        <v>871</v>
      </c>
      <c r="E494" s="859"/>
      <c r="F494" s="860"/>
      <c r="G494" s="860"/>
      <c r="H494" s="861"/>
      <c r="I494" s="875">
        <f t="shared" si="7"/>
        <v>1666</v>
      </c>
      <c r="J494" s="1018"/>
      <c r="K494" s="1018"/>
      <c r="L494" s="1018">
        <v>1666</v>
      </c>
      <c r="M494" s="1018"/>
      <c r="N494" s="1019"/>
      <c r="O494" s="86"/>
    </row>
    <row r="495" spans="1:15" s="1110" customFormat="1" ht="17.25">
      <c r="A495" s="1194">
        <v>488</v>
      </c>
      <c r="B495" s="863"/>
      <c r="C495" s="864"/>
      <c r="D495" s="865" t="s">
        <v>637</v>
      </c>
      <c r="E495" s="866"/>
      <c r="F495" s="867"/>
      <c r="G495" s="867"/>
      <c r="H495" s="868"/>
      <c r="I495" s="550">
        <f t="shared" si="7"/>
        <v>3666</v>
      </c>
      <c r="J495" s="1020">
        <f>SUM(J493:J494)</f>
        <v>0</v>
      </c>
      <c r="K495" s="1020">
        <f>SUM(K493:K494)</f>
        <v>0</v>
      </c>
      <c r="L495" s="1020">
        <f>SUM(L493:L494)</f>
        <v>3666</v>
      </c>
      <c r="M495" s="1020">
        <f>SUM(M493:M494)</f>
        <v>0</v>
      </c>
      <c r="N495" s="1021">
        <f>SUM(N493:N494)</f>
        <v>0</v>
      </c>
      <c r="O495" s="586"/>
    </row>
    <row r="496" spans="1:15" s="56" customFormat="1" ht="24" customHeight="1">
      <c r="A496" s="1194">
        <v>489</v>
      </c>
      <c r="B496" s="81"/>
      <c r="C496" s="77">
        <v>104</v>
      </c>
      <c r="D496" s="82" t="s">
        <v>305</v>
      </c>
      <c r="E496" s="77" t="s">
        <v>31</v>
      </c>
      <c r="F496" s="46">
        <v>25288</v>
      </c>
      <c r="G496" s="46">
        <v>32500</v>
      </c>
      <c r="H496" s="83">
        <v>29026</v>
      </c>
      <c r="I496" s="550"/>
      <c r="J496" s="1020"/>
      <c r="K496" s="1020"/>
      <c r="L496" s="1020"/>
      <c r="M496" s="1020"/>
      <c r="N496" s="1021"/>
      <c r="O496" s="1110"/>
    </row>
    <row r="497" spans="1:15" s="56" customFormat="1" ht="16.5">
      <c r="A497" s="1194">
        <v>490</v>
      </c>
      <c r="B497" s="854"/>
      <c r="C497" s="71"/>
      <c r="D497" s="72" t="s">
        <v>635</v>
      </c>
      <c r="E497" s="855"/>
      <c r="F497" s="856"/>
      <c r="G497" s="856"/>
      <c r="H497" s="857"/>
      <c r="I497" s="874">
        <f t="shared" si="7"/>
        <v>37827</v>
      </c>
      <c r="J497" s="84"/>
      <c r="K497" s="84"/>
      <c r="L497" s="84">
        <v>37827</v>
      </c>
      <c r="M497" s="84"/>
      <c r="N497" s="85"/>
      <c r="O497" s="63">
        <f>SUM(J497:N497)-I497</f>
        <v>0</v>
      </c>
    </row>
    <row r="498" spans="1:15" s="862" customFormat="1" ht="17.25">
      <c r="A498" s="1194">
        <v>491</v>
      </c>
      <c r="B498" s="858"/>
      <c r="C498" s="87"/>
      <c r="D498" s="80" t="s">
        <v>707</v>
      </c>
      <c r="E498" s="859"/>
      <c r="F498" s="860"/>
      <c r="G498" s="860"/>
      <c r="H498" s="861"/>
      <c r="I498" s="875">
        <f t="shared" si="7"/>
        <v>4396</v>
      </c>
      <c r="J498" s="1018"/>
      <c r="K498" s="1018"/>
      <c r="L498" s="1018">
        <v>4396</v>
      </c>
      <c r="M498" s="1018"/>
      <c r="N498" s="1019"/>
      <c r="O498" s="86"/>
    </row>
    <row r="499" spans="1:15" s="1110" customFormat="1" ht="17.25">
      <c r="A499" s="1194">
        <v>492</v>
      </c>
      <c r="B499" s="863"/>
      <c r="C499" s="864"/>
      <c r="D499" s="865" t="s">
        <v>637</v>
      </c>
      <c r="E499" s="866"/>
      <c r="F499" s="867"/>
      <c r="G499" s="867"/>
      <c r="H499" s="868"/>
      <c r="I499" s="550">
        <f t="shared" si="7"/>
        <v>42223</v>
      </c>
      <c r="J499" s="1020">
        <f>SUM(J497:J498)</f>
        <v>0</v>
      </c>
      <c r="K499" s="1020">
        <f>SUM(K497:K498)</f>
        <v>0</v>
      </c>
      <c r="L499" s="1020">
        <f>SUM(L497:L498)</f>
        <v>42223</v>
      </c>
      <c r="M499" s="1020">
        <f>SUM(M497:M498)</f>
        <v>0</v>
      </c>
      <c r="N499" s="1021">
        <f>SUM(N497:N498)</f>
        <v>0</v>
      </c>
      <c r="O499" s="586"/>
    </row>
    <row r="500" spans="1:15" s="56" customFormat="1" ht="24" customHeight="1">
      <c r="A500" s="1194">
        <v>493</v>
      </c>
      <c r="B500" s="81"/>
      <c r="C500" s="77">
        <v>105</v>
      </c>
      <c r="D500" s="82" t="s">
        <v>15</v>
      </c>
      <c r="E500" s="77" t="s">
        <v>31</v>
      </c>
      <c r="F500" s="46">
        <v>38863</v>
      </c>
      <c r="G500" s="46">
        <v>43500</v>
      </c>
      <c r="H500" s="83">
        <v>43300</v>
      </c>
      <c r="I500" s="550"/>
      <c r="J500" s="1020"/>
      <c r="K500" s="1020"/>
      <c r="L500" s="1020"/>
      <c r="M500" s="1020"/>
      <c r="N500" s="1021"/>
      <c r="O500" s="1110"/>
    </row>
    <row r="501" spans="1:15" s="56" customFormat="1" ht="16.5">
      <c r="A501" s="1194">
        <v>494</v>
      </c>
      <c r="B501" s="854"/>
      <c r="C501" s="71"/>
      <c r="D501" s="72" t="s">
        <v>635</v>
      </c>
      <c r="E501" s="855"/>
      <c r="F501" s="856"/>
      <c r="G501" s="856"/>
      <c r="H501" s="857"/>
      <c r="I501" s="874">
        <f t="shared" si="7"/>
        <v>52802</v>
      </c>
      <c r="J501" s="84"/>
      <c r="K501" s="84"/>
      <c r="L501" s="84">
        <v>52802</v>
      </c>
      <c r="M501" s="84"/>
      <c r="N501" s="85"/>
      <c r="O501" s="63">
        <f>SUM(J501:N501)-I501</f>
        <v>0</v>
      </c>
    </row>
    <row r="502" spans="1:15" s="862" customFormat="1" ht="17.25">
      <c r="A502" s="1194">
        <v>495</v>
      </c>
      <c r="B502" s="858"/>
      <c r="C502" s="87"/>
      <c r="D502" s="80" t="s">
        <v>707</v>
      </c>
      <c r="E502" s="859"/>
      <c r="F502" s="860"/>
      <c r="G502" s="860"/>
      <c r="H502" s="861"/>
      <c r="I502" s="875">
        <f t="shared" si="7"/>
        <v>2200</v>
      </c>
      <c r="J502" s="1018"/>
      <c r="K502" s="1018"/>
      <c r="L502" s="1018">
        <v>2200</v>
      </c>
      <c r="M502" s="1018"/>
      <c r="N502" s="1019"/>
      <c r="O502" s="86"/>
    </row>
    <row r="503" spans="1:15" s="1110" customFormat="1" ht="17.25">
      <c r="A503" s="1194">
        <v>496</v>
      </c>
      <c r="B503" s="863"/>
      <c r="C503" s="864"/>
      <c r="D503" s="865" t="s">
        <v>637</v>
      </c>
      <c r="E503" s="866"/>
      <c r="F503" s="867"/>
      <c r="G503" s="867"/>
      <c r="H503" s="868"/>
      <c r="I503" s="550">
        <f t="shared" si="7"/>
        <v>55002</v>
      </c>
      <c r="J503" s="1020">
        <f>SUM(J501:J502)</f>
        <v>0</v>
      </c>
      <c r="K503" s="1020">
        <f>SUM(K501:K502)</f>
        <v>0</v>
      </c>
      <c r="L503" s="1020">
        <f>SUM(L501:L502)</f>
        <v>55002</v>
      </c>
      <c r="M503" s="1020">
        <f>SUM(M501:M502)</f>
        <v>0</v>
      </c>
      <c r="N503" s="1021">
        <f>SUM(N501:N502)</f>
        <v>0</v>
      </c>
      <c r="O503" s="586"/>
    </row>
    <row r="504" spans="1:15" s="63" customFormat="1" ht="17.25">
      <c r="A504" s="1194">
        <v>497</v>
      </c>
      <c r="B504" s="70"/>
      <c r="C504" s="71">
        <v>106</v>
      </c>
      <c r="D504" s="72" t="s">
        <v>593</v>
      </c>
      <c r="E504" s="71" t="s">
        <v>31</v>
      </c>
      <c r="F504" s="48">
        <v>4093</v>
      </c>
      <c r="G504" s="48">
        <v>16000</v>
      </c>
      <c r="H504" s="73">
        <v>25541</v>
      </c>
      <c r="I504" s="550"/>
      <c r="J504" s="1020"/>
      <c r="K504" s="1020"/>
      <c r="L504" s="1020"/>
      <c r="M504" s="1020"/>
      <c r="N504" s="1021"/>
      <c r="O504" s="586"/>
    </row>
    <row r="505" spans="1:15" s="56" customFormat="1" ht="16.5">
      <c r="A505" s="1194">
        <v>498</v>
      </c>
      <c r="B505" s="854"/>
      <c r="C505" s="71"/>
      <c r="D505" s="72" t="s">
        <v>635</v>
      </c>
      <c r="E505" s="855"/>
      <c r="F505" s="856"/>
      <c r="G505" s="856"/>
      <c r="H505" s="857"/>
      <c r="I505" s="874">
        <f t="shared" si="7"/>
        <v>18500</v>
      </c>
      <c r="J505" s="84"/>
      <c r="K505" s="84"/>
      <c r="L505" s="84">
        <v>18500</v>
      </c>
      <c r="M505" s="84"/>
      <c r="N505" s="85"/>
      <c r="O505" s="63">
        <f>SUM(J505:N505)-I505</f>
        <v>0</v>
      </c>
    </row>
    <row r="506" spans="1:15" s="862" customFormat="1" ht="17.25">
      <c r="A506" s="1194">
        <v>499</v>
      </c>
      <c r="B506" s="858"/>
      <c r="C506" s="87"/>
      <c r="D506" s="80" t="s">
        <v>707</v>
      </c>
      <c r="E506" s="859"/>
      <c r="F506" s="860"/>
      <c r="G506" s="860"/>
      <c r="H506" s="861"/>
      <c r="I506" s="875">
        <f t="shared" si="7"/>
        <v>1962</v>
      </c>
      <c r="J506" s="1018"/>
      <c r="K506" s="1018"/>
      <c r="L506" s="1018">
        <v>1962</v>
      </c>
      <c r="M506" s="1018"/>
      <c r="N506" s="1019"/>
      <c r="O506" s="86"/>
    </row>
    <row r="507" spans="1:15" s="1110" customFormat="1" ht="17.25">
      <c r="A507" s="1194">
        <v>500</v>
      </c>
      <c r="B507" s="863"/>
      <c r="C507" s="864"/>
      <c r="D507" s="865" t="s">
        <v>637</v>
      </c>
      <c r="E507" s="866"/>
      <c r="F507" s="867"/>
      <c r="G507" s="867"/>
      <c r="H507" s="868"/>
      <c r="I507" s="550">
        <f t="shared" si="7"/>
        <v>20462</v>
      </c>
      <c r="J507" s="1020">
        <f>SUM(J505:J506)</f>
        <v>0</v>
      </c>
      <c r="K507" s="1020">
        <f>SUM(K505:K506)</f>
        <v>0</v>
      </c>
      <c r="L507" s="1020">
        <f>SUM(L505:L506)</f>
        <v>20462</v>
      </c>
      <c r="M507" s="1020">
        <f>SUM(M505:M506)</f>
        <v>0</v>
      </c>
      <c r="N507" s="1021">
        <f>SUM(N505:N506)</f>
        <v>0</v>
      </c>
      <c r="O507" s="586"/>
    </row>
    <row r="508" spans="1:15" s="63" customFormat="1" ht="17.25">
      <c r="A508" s="1194">
        <v>501</v>
      </c>
      <c r="B508" s="70"/>
      <c r="C508" s="71">
        <v>107</v>
      </c>
      <c r="D508" s="72" t="s">
        <v>565</v>
      </c>
      <c r="E508" s="71" t="s">
        <v>31</v>
      </c>
      <c r="F508" s="48">
        <v>485</v>
      </c>
      <c r="G508" s="48">
        <v>1000</v>
      </c>
      <c r="H508" s="73">
        <v>910</v>
      </c>
      <c r="I508" s="550"/>
      <c r="J508" s="1020"/>
      <c r="K508" s="1020"/>
      <c r="L508" s="1020"/>
      <c r="M508" s="1020"/>
      <c r="N508" s="1021"/>
      <c r="O508" s="586"/>
    </row>
    <row r="509" spans="1:15" s="56" customFormat="1" ht="16.5">
      <c r="A509" s="1194">
        <v>502</v>
      </c>
      <c r="B509" s="854"/>
      <c r="C509" s="71"/>
      <c r="D509" s="72" t="s">
        <v>635</v>
      </c>
      <c r="E509" s="855"/>
      <c r="F509" s="856"/>
      <c r="G509" s="856"/>
      <c r="H509" s="857"/>
      <c r="I509" s="874">
        <f t="shared" si="7"/>
        <v>2000</v>
      </c>
      <c r="J509" s="84"/>
      <c r="K509" s="84"/>
      <c r="L509" s="84">
        <v>2000</v>
      </c>
      <c r="M509" s="84"/>
      <c r="N509" s="85"/>
      <c r="O509" s="63">
        <f>SUM(J509:N509)-I509</f>
        <v>0</v>
      </c>
    </row>
    <row r="510" spans="1:15" s="862" customFormat="1" ht="17.25">
      <c r="A510" s="1194">
        <v>503</v>
      </c>
      <c r="B510" s="858"/>
      <c r="C510" s="87"/>
      <c r="D510" s="80" t="s">
        <v>707</v>
      </c>
      <c r="E510" s="859"/>
      <c r="F510" s="860"/>
      <c r="G510" s="860"/>
      <c r="H510" s="861"/>
      <c r="I510" s="875">
        <f t="shared" si="7"/>
        <v>90</v>
      </c>
      <c r="J510" s="1018"/>
      <c r="K510" s="1018"/>
      <c r="L510" s="1018">
        <v>90</v>
      </c>
      <c r="M510" s="1018"/>
      <c r="N510" s="1019"/>
      <c r="O510" s="86"/>
    </row>
    <row r="511" spans="1:15" s="1110" customFormat="1" ht="17.25">
      <c r="A511" s="1194">
        <v>504</v>
      </c>
      <c r="B511" s="863"/>
      <c r="C511" s="864"/>
      <c r="D511" s="865" t="s">
        <v>637</v>
      </c>
      <c r="E511" s="866"/>
      <c r="F511" s="867"/>
      <c r="G511" s="867"/>
      <c r="H511" s="868"/>
      <c r="I511" s="550">
        <f t="shared" si="7"/>
        <v>2090</v>
      </c>
      <c r="J511" s="1020">
        <f>SUM(J509:J510)</f>
        <v>0</v>
      </c>
      <c r="K511" s="1020">
        <f>SUM(K509:K510)</f>
        <v>0</v>
      </c>
      <c r="L511" s="1020">
        <f>SUM(L509:L510)</f>
        <v>2090</v>
      </c>
      <c r="M511" s="1020">
        <f>SUM(M509:M510)</f>
        <v>0</v>
      </c>
      <c r="N511" s="1021">
        <f>SUM(N509:N510)</f>
        <v>0</v>
      </c>
      <c r="O511" s="586"/>
    </row>
    <row r="512" spans="1:15" s="63" customFormat="1" ht="17.25">
      <c r="A512" s="1194">
        <v>505</v>
      </c>
      <c r="B512" s="70"/>
      <c r="C512" s="71">
        <v>108</v>
      </c>
      <c r="D512" s="72" t="s">
        <v>594</v>
      </c>
      <c r="E512" s="71" t="s">
        <v>33</v>
      </c>
      <c r="F512" s="48">
        <f>2659+502</f>
        <v>3161</v>
      </c>
      <c r="G512" s="48">
        <f>5356+1970</f>
        <v>7326</v>
      </c>
      <c r="H512" s="73">
        <v>1132</v>
      </c>
      <c r="I512" s="550"/>
      <c r="J512" s="1020"/>
      <c r="K512" s="1020"/>
      <c r="L512" s="1020"/>
      <c r="M512" s="1020"/>
      <c r="N512" s="1021"/>
      <c r="O512" s="586"/>
    </row>
    <row r="513" spans="1:15" s="56" customFormat="1" ht="16.5">
      <c r="A513" s="1194">
        <v>506</v>
      </c>
      <c r="B513" s="854"/>
      <c r="C513" s="71"/>
      <c r="D513" s="72" t="s">
        <v>635</v>
      </c>
      <c r="E513" s="855"/>
      <c r="F513" s="856"/>
      <c r="G513" s="856"/>
      <c r="H513" s="857"/>
      <c r="I513" s="874">
        <f t="shared" si="7"/>
        <v>4820</v>
      </c>
      <c r="J513" s="84"/>
      <c r="K513" s="84"/>
      <c r="L513" s="84">
        <f>2270+750+300+1000+500</f>
        <v>4820</v>
      </c>
      <c r="M513" s="84"/>
      <c r="N513" s="85"/>
      <c r="O513" s="63">
        <f>SUM(J513:N513)-I513</f>
        <v>0</v>
      </c>
    </row>
    <row r="514" spans="1:15" s="862" customFormat="1" ht="17.25">
      <c r="A514" s="1194">
        <v>507</v>
      </c>
      <c r="B514" s="858"/>
      <c r="C514" s="87"/>
      <c r="D514" s="80" t="s">
        <v>707</v>
      </c>
      <c r="E514" s="859"/>
      <c r="F514" s="860"/>
      <c r="G514" s="860"/>
      <c r="H514" s="861"/>
      <c r="I514" s="875">
        <f t="shared" si="7"/>
        <v>5359</v>
      </c>
      <c r="J514" s="1018"/>
      <c r="K514" s="1018"/>
      <c r="L514" s="1018">
        <v>5359</v>
      </c>
      <c r="M514" s="1018"/>
      <c r="N514" s="1019"/>
      <c r="O514" s="86"/>
    </row>
    <row r="515" spans="1:15" s="1110" customFormat="1" ht="17.25">
      <c r="A515" s="1194">
        <v>508</v>
      </c>
      <c r="B515" s="863"/>
      <c r="C515" s="864"/>
      <c r="D515" s="865" t="s">
        <v>637</v>
      </c>
      <c r="E515" s="866"/>
      <c r="F515" s="867"/>
      <c r="G515" s="867"/>
      <c r="H515" s="868"/>
      <c r="I515" s="550">
        <f t="shared" si="7"/>
        <v>10179</v>
      </c>
      <c r="J515" s="1020">
        <f>SUM(J513:J514)</f>
        <v>0</v>
      </c>
      <c r="K515" s="1020">
        <f>SUM(K513:K514)</f>
        <v>0</v>
      </c>
      <c r="L515" s="1020">
        <f>SUM(L513:L514)</f>
        <v>10179</v>
      </c>
      <c r="M515" s="1020">
        <f>SUM(M513:M514)</f>
        <v>0</v>
      </c>
      <c r="N515" s="1021">
        <f>SUM(N513:N514)</f>
        <v>0</v>
      </c>
      <c r="O515" s="586"/>
    </row>
    <row r="516" spans="1:15" s="63" customFormat="1" ht="17.25">
      <c r="A516" s="1194">
        <v>509</v>
      </c>
      <c r="B516" s="70"/>
      <c r="C516" s="71">
        <v>109</v>
      </c>
      <c r="D516" s="72" t="s">
        <v>306</v>
      </c>
      <c r="E516" s="71" t="s">
        <v>33</v>
      </c>
      <c r="F516" s="48">
        <v>5904</v>
      </c>
      <c r="G516" s="48">
        <v>9000</v>
      </c>
      <c r="H516" s="73">
        <v>8275</v>
      </c>
      <c r="I516" s="550"/>
      <c r="J516" s="1020"/>
      <c r="K516" s="1020"/>
      <c r="L516" s="1020"/>
      <c r="M516" s="1020"/>
      <c r="N516" s="1021"/>
      <c r="O516" s="586"/>
    </row>
    <row r="517" spans="1:15" s="56" customFormat="1" ht="16.5">
      <c r="A517" s="1194">
        <v>510</v>
      </c>
      <c r="B517" s="854"/>
      <c r="C517" s="71"/>
      <c r="D517" s="72" t="s">
        <v>635</v>
      </c>
      <c r="E517" s="855"/>
      <c r="F517" s="856"/>
      <c r="G517" s="856"/>
      <c r="H517" s="857"/>
      <c r="I517" s="874">
        <f t="shared" si="7"/>
        <v>11000</v>
      </c>
      <c r="J517" s="84"/>
      <c r="K517" s="84"/>
      <c r="L517" s="84">
        <v>11000</v>
      </c>
      <c r="M517" s="84"/>
      <c r="N517" s="85"/>
      <c r="O517" s="63">
        <f>SUM(J517:N517)-I517</f>
        <v>0</v>
      </c>
    </row>
    <row r="518" spans="1:15" s="862" customFormat="1" ht="17.25">
      <c r="A518" s="1194">
        <v>511</v>
      </c>
      <c r="B518" s="858"/>
      <c r="C518" s="87"/>
      <c r="D518" s="80" t="s">
        <v>707</v>
      </c>
      <c r="E518" s="859"/>
      <c r="F518" s="860"/>
      <c r="G518" s="860"/>
      <c r="H518" s="861"/>
      <c r="I518" s="875">
        <f t="shared" si="7"/>
        <v>1630</v>
      </c>
      <c r="J518" s="1018"/>
      <c r="K518" s="1018"/>
      <c r="L518" s="1018">
        <v>1630</v>
      </c>
      <c r="M518" s="1018"/>
      <c r="N518" s="1019"/>
      <c r="O518" s="86"/>
    </row>
    <row r="519" spans="1:15" s="1110" customFormat="1" ht="17.25">
      <c r="A519" s="1194">
        <v>512</v>
      </c>
      <c r="B519" s="863"/>
      <c r="C519" s="864"/>
      <c r="D519" s="865" t="s">
        <v>637</v>
      </c>
      <c r="E519" s="866"/>
      <c r="F519" s="867"/>
      <c r="G519" s="867"/>
      <c r="H519" s="868"/>
      <c r="I519" s="550">
        <f t="shared" si="7"/>
        <v>12630</v>
      </c>
      <c r="J519" s="1020">
        <f>SUM(J517:J518)</f>
        <v>0</v>
      </c>
      <c r="K519" s="1020">
        <f>SUM(K517:K518)</f>
        <v>0</v>
      </c>
      <c r="L519" s="1020">
        <f>SUM(L517:L518)</f>
        <v>12630</v>
      </c>
      <c r="M519" s="1020">
        <f>SUM(M517:M518)</f>
        <v>0</v>
      </c>
      <c r="N519" s="1021">
        <f>SUM(N517:N518)</f>
        <v>0</v>
      </c>
      <c r="O519" s="586"/>
    </row>
    <row r="520" spans="1:15" s="63" customFormat="1" ht="33">
      <c r="A520" s="1194">
        <v>513</v>
      </c>
      <c r="B520" s="70"/>
      <c r="C520" s="71">
        <v>110</v>
      </c>
      <c r="D520" s="72" t="s">
        <v>307</v>
      </c>
      <c r="E520" s="71" t="s">
        <v>33</v>
      </c>
      <c r="F520" s="48">
        <v>2010</v>
      </c>
      <c r="G520" s="48">
        <v>3000</v>
      </c>
      <c r="H520" s="73">
        <v>2526</v>
      </c>
      <c r="I520" s="550"/>
      <c r="J520" s="1020"/>
      <c r="K520" s="1020"/>
      <c r="L520" s="1020"/>
      <c r="M520" s="1020"/>
      <c r="N520" s="1021"/>
      <c r="O520" s="586"/>
    </row>
    <row r="521" spans="1:15" s="56" customFormat="1" ht="16.5">
      <c r="A521" s="1194">
        <v>514</v>
      </c>
      <c r="B521" s="854"/>
      <c r="C521" s="71"/>
      <c r="D521" s="72" t="s">
        <v>635</v>
      </c>
      <c r="E521" s="855"/>
      <c r="F521" s="856"/>
      <c r="G521" s="856"/>
      <c r="H521" s="857"/>
      <c r="I521" s="874">
        <f t="shared" si="7"/>
        <v>3000</v>
      </c>
      <c r="J521" s="84"/>
      <c r="K521" s="84"/>
      <c r="L521" s="84"/>
      <c r="M521" s="84"/>
      <c r="N521" s="85">
        <v>3000</v>
      </c>
      <c r="O521" s="63">
        <f>SUM(J521:N521)-I521</f>
        <v>0</v>
      </c>
    </row>
    <row r="522" spans="1:15" s="862" customFormat="1" ht="17.25">
      <c r="A522" s="1194">
        <v>515</v>
      </c>
      <c r="B522" s="858"/>
      <c r="C522" s="87"/>
      <c r="D522" s="80" t="s">
        <v>636</v>
      </c>
      <c r="E522" s="859"/>
      <c r="F522" s="860"/>
      <c r="G522" s="860"/>
      <c r="H522" s="861"/>
      <c r="I522" s="875">
        <f t="shared" si="7"/>
        <v>0</v>
      </c>
      <c r="J522" s="1018"/>
      <c r="K522" s="1018"/>
      <c r="L522" s="1018"/>
      <c r="M522" s="1018"/>
      <c r="N522" s="1019"/>
      <c r="O522" s="86"/>
    </row>
    <row r="523" spans="1:15" s="1110" customFormat="1" ht="17.25">
      <c r="A523" s="1194">
        <v>516</v>
      </c>
      <c r="B523" s="863"/>
      <c r="C523" s="864"/>
      <c r="D523" s="865" t="s">
        <v>637</v>
      </c>
      <c r="E523" s="866"/>
      <c r="F523" s="867"/>
      <c r="G523" s="867"/>
      <c r="H523" s="868"/>
      <c r="I523" s="550">
        <f>SUM(J523:N523)</f>
        <v>3000</v>
      </c>
      <c r="J523" s="1020">
        <f>SUM(J521:J522)</f>
        <v>0</v>
      </c>
      <c r="K523" s="1020">
        <f>SUM(K521:K522)</f>
        <v>0</v>
      </c>
      <c r="L523" s="1020">
        <f>SUM(L521:L522)</f>
        <v>0</v>
      </c>
      <c r="M523" s="1020">
        <f>SUM(M521:M522)</f>
        <v>0</v>
      </c>
      <c r="N523" s="1021">
        <f>SUM(N521:N522)</f>
        <v>3000</v>
      </c>
      <c r="O523" s="586"/>
    </row>
    <row r="524" spans="1:14" s="56" customFormat="1" ht="17.25">
      <c r="A524" s="1194">
        <v>517</v>
      </c>
      <c r="B524" s="81"/>
      <c r="C524" s="77">
        <v>111</v>
      </c>
      <c r="D524" s="82" t="s">
        <v>308</v>
      </c>
      <c r="E524" s="77" t="s">
        <v>31</v>
      </c>
      <c r="F524" s="46">
        <f>SUM(F528:F544)</f>
        <v>3250</v>
      </c>
      <c r="G524" s="46">
        <f>SUM(G528:G544)</f>
        <v>3250</v>
      </c>
      <c r="H524" s="83">
        <f>SUM(H528:H544)</f>
        <v>3250</v>
      </c>
      <c r="I524" s="550"/>
      <c r="J524" s="84"/>
      <c r="K524" s="84"/>
      <c r="L524" s="84"/>
      <c r="M524" s="84"/>
      <c r="N524" s="85"/>
    </row>
    <row r="525" spans="1:15" s="56" customFormat="1" ht="16.5">
      <c r="A525" s="1194">
        <v>518</v>
      </c>
      <c r="B525" s="854"/>
      <c r="C525" s="71"/>
      <c r="D525" s="72" t="s">
        <v>635</v>
      </c>
      <c r="E525" s="855"/>
      <c r="F525" s="856"/>
      <c r="G525" s="856"/>
      <c r="H525" s="857"/>
      <c r="I525" s="874">
        <f t="shared" si="7"/>
        <v>3250</v>
      </c>
      <c r="J525" s="84">
        <f>SUM(J529,J533,J537,J541,J545)</f>
        <v>0</v>
      </c>
      <c r="K525" s="84">
        <f>SUM(K529,K533,K537,K541,K545)</f>
        <v>0</v>
      </c>
      <c r="L525" s="84">
        <f>SUM(L529,L533,L537,L541,L545)</f>
        <v>0</v>
      </c>
      <c r="M525" s="84">
        <f>SUM(M529,M533,M537,M541,M545)</f>
        <v>0</v>
      </c>
      <c r="N525" s="85">
        <f>SUM(N529,N533,N537,N541,N545)</f>
        <v>3250</v>
      </c>
      <c r="O525" s="63">
        <f>SUM(J525:N525)-I525</f>
        <v>0</v>
      </c>
    </row>
    <row r="526" spans="1:15" s="862" customFormat="1" ht="17.25">
      <c r="A526" s="1194">
        <v>519</v>
      </c>
      <c r="B526" s="858"/>
      <c r="C526" s="87"/>
      <c r="D526" s="80" t="s">
        <v>636</v>
      </c>
      <c r="E526" s="859"/>
      <c r="F526" s="860"/>
      <c r="G526" s="860"/>
      <c r="H526" s="861"/>
      <c r="I526" s="875">
        <f t="shared" si="7"/>
        <v>0</v>
      </c>
      <c r="J526" s="1018">
        <f>SUM(J530,J534,J538,J542,J546)</f>
        <v>0</v>
      </c>
      <c r="K526" s="1018">
        <f>SUM(K530,K534,K538,K542,K546)</f>
        <v>0</v>
      </c>
      <c r="L526" s="1018">
        <f>SUM(L530,L534,L538,L542,L546)</f>
        <v>0</v>
      </c>
      <c r="M526" s="1018">
        <f>SUM(M530,M534,M538,M542,M546)</f>
        <v>0</v>
      </c>
      <c r="N526" s="1019">
        <f>SUM(N530,N534,N538,N542,N546)</f>
        <v>0</v>
      </c>
      <c r="O526" s="86"/>
    </row>
    <row r="527" spans="1:15" s="1110" customFormat="1" ht="17.25">
      <c r="A527" s="1194">
        <v>520</v>
      </c>
      <c r="B527" s="863"/>
      <c r="C527" s="864"/>
      <c r="D527" s="865" t="s">
        <v>637</v>
      </c>
      <c r="E527" s="866"/>
      <c r="F527" s="867"/>
      <c r="G527" s="867"/>
      <c r="H527" s="868"/>
      <c r="I527" s="550">
        <f t="shared" si="7"/>
        <v>3250</v>
      </c>
      <c r="J527" s="1020">
        <f>SUM(J525:J526)</f>
        <v>0</v>
      </c>
      <c r="K527" s="1020">
        <f>SUM(K525:K526)</f>
        <v>0</v>
      </c>
      <c r="L527" s="1020">
        <f>SUM(L525:L526)</f>
        <v>0</v>
      </c>
      <c r="M527" s="1020">
        <f>SUM(M525:M526)</f>
        <v>0</v>
      </c>
      <c r="N527" s="1021">
        <f>SUM(N525:N526)</f>
        <v>3250</v>
      </c>
      <c r="O527" s="586"/>
    </row>
    <row r="528" spans="1:15" s="1073" customFormat="1" ht="15">
      <c r="A528" s="1194">
        <v>521</v>
      </c>
      <c r="B528" s="1208"/>
      <c r="C528" s="1199"/>
      <c r="D528" s="1067" t="s">
        <v>309</v>
      </c>
      <c r="E528" s="1199"/>
      <c r="F528" s="1209">
        <v>650</v>
      </c>
      <c r="G528" s="1209">
        <v>650</v>
      </c>
      <c r="H528" s="1210">
        <v>650</v>
      </c>
      <c r="I528" s="1054"/>
      <c r="J528" s="1063"/>
      <c r="K528" s="1063"/>
      <c r="L528" s="1063"/>
      <c r="M528" s="1063"/>
      <c r="N528" s="1064"/>
      <c r="O528" s="1065"/>
    </row>
    <row r="529" spans="1:15" s="1065" customFormat="1" ht="15">
      <c r="A529" s="1194">
        <v>522</v>
      </c>
      <c r="B529" s="1059"/>
      <c r="C529" s="1052"/>
      <c r="D529" s="1211" t="s">
        <v>635</v>
      </c>
      <c r="E529" s="1060"/>
      <c r="F529" s="1061"/>
      <c r="G529" s="1061"/>
      <c r="H529" s="1082"/>
      <c r="I529" s="1062">
        <f t="shared" si="7"/>
        <v>650</v>
      </c>
      <c r="J529" s="1063"/>
      <c r="K529" s="1063"/>
      <c r="L529" s="1063"/>
      <c r="M529" s="1063"/>
      <c r="N529" s="1064">
        <v>650</v>
      </c>
      <c r="O529" s="1058">
        <f>SUM(J529:N529)-I529</f>
        <v>0</v>
      </c>
    </row>
    <row r="530" spans="1:15" s="1074" customFormat="1" ht="15">
      <c r="A530" s="1194">
        <v>523</v>
      </c>
      <c r="B530" s="1066"/>
      <c r="C530" s="1199"/>
      <c r="D530" s="1212" t="s">
        <v>636</v>
      </c>
      <c r="E530" s="1068"/>
      <c r="F530" s="1069"/>
      <c r="G530" s="1069"/>
      <c r="H530" s="1083"/>
      <c r="I530" s="1070">
        <f t="shared" si="7"/>
        <v>0</v>
      </c>
      <c r="J530" s="1071"/>
      <c r="K530" s="1071"/>
      <c r="L530" s="1071"/>
      <c r="M530" s="1071"/>
      <c r="N530" s="1072"/>
      <c r="O530" s="1073"/>
    </row>
    <row r="531" spans="1:15" s="1079" customFormat="1" ht="15">
      <c r="A531" s="1194">
        <v>524</v>
      </c>
      <c r="B531" s="1075"/>
      <c r="C531" s="1198"/>
      <c r="D531" s="1213" t="s">
        <v>637</v>
      </c>
      <c r="E531" s="1077"/>
      <c r="F531" s="1078"/>
      <c r="G531" s="1078"/>
      <c r="H531" s="1080"/>
      <c r="I531" s="1054">
        <f t="shared" si="7"/>
        <v>650</v>
      </c>
      <c r="J531" s="1055">
        <f>SUM(J529:J530)</f>
        <v>0</v>
      </c>
      <c r="K531" s="1055">
        <f>SUM(K529:K530)</f>
        <v>0</v>
      </c>
      <c r="L531" s="1055">
        <f>SUM(L529:L530)</f>
        <v>0</v>
      </c>
      <c r="M531" s="1055">
        <f>SUM(M529:M530)</f>
        <v>0</v>
      </c>
      <c r="N531" s="1056">
        <f>SUM(N529:N530)</f>
        <v>650</v>
      </c>
      <c r="O531" s="1057"/>
    </row>
    <row r="532" spans="1:15" s="1073" customFormat="1" ht="15">
      <c r="A532" s="1194">
        <v>525</v>
      </c>
      <c r="B532" s="1208"/>
      <c r="C532" s="1199"/>
      <c r="D532" s="1212" t="s">
        <v>310</v>
      </c>
      <c r="E532" s="1199"/>
      <c r="F532" s="1209">
        <v>650</v>
      </c>
      <c r="G532" s="1209">
        <v>650</v>
      </c>
      <c r="H532" s="1210">
        <v>650</v>
      </c>
      <c r="I532" s="1054"/>
      <c r="J532" s="1063"/>
      <c r="K532" s="1063"/>
      <c r="L532" s="1063"/>
      <c r="M532" s="1063"/>
      <c r="N532" s="1064"/>
      <c r="O532" s="1065"/>
    </row>
    <row r="533" spans="1:15" s="1065" customFormat="1" ht="15">
      <c r="A533" s="1194">
        <v>526</v>
      </c>
      <c r="B533" s="1059"/>
      <c r="C533" s="1052"/>
      <c r="D533" s="1211" t="s">
        <v>635</v>
      </c>
      <c r="E533" s="1060"/>
      <c r="F533" s="1061"/>
      <c r="G533" s="1061"/>
      <c r="H533" s="1082"/>
      <c r="I533" s="1062">
        <f t="shared" si="7"/>
        <v>650</v>
      </c>
      <c r="J533" s="1063"/>
      <c r="K533" s="1063"/>
      <c r="L533" s="1063"/>
      <c r="M533" s="1063"/>
      <c r="N533" s="1064">
        <v>650</v>
      </c>
      <c r="O533" s="1058">
        <f>SUM(J533:N533)-I533</f>
        <v>0</v>
      </c>
    </row>
    <row r="534" spans="1:15" s="1074" customFormat="1" ht="15">
      <c r="A534" s="1194">
        <v>527</v>
      </c>
      <c r="B534" s="1066"/>
      <c r="C534" s="1199"/>
      <c r="D534" s="1212" t="s">
        <v>636</v>
      </c>
      <c r="E534" s="1068"/>
      <c r="F534" s="1069"/>
      <c r="G534" s="1069"/>
      <c r="H534" s="1083"/>
      <c r="I534" s="1070">
        <f t="shared" si="7"/>
        <v>0</v>
      </c>
      <c r="J534" s="1071"/>
      <c r="K534" s="1071"/>
      <c r="L534" s="1071"/>
      <c r="M534" s="1071"/>
      <c r="N534" s="1072"/>
      <c r="O534" s="1073"/>
    </row>
    <row r="535" spans="1:15" s="1079" customFormat="1" ht="15">
      <c r="A535" s="1194">
        <v>528</v>
      </c>
      <c r="B535" s="1075"/>
      <c r="C535" s="1198"/>
      <c r="D535" s="1213" t="s">
        <v>637</v>
      </c>
      <c r="E535" s="1077"/>
      <c r="F535" s="1078"/>
      <c r="G535" s="1078"/>
      <c r="H535" s="1080"/>
      <c r="I535" s="1054">
        <f t="shared" si="7"/>
        <v>650</v>
      </c>
      <c r="J535" s="1055">
        <f>SUM(J533:J534)</f>
        <v>0</v>
      </c>
      <c r="K535" s="1055">
        <f>SUM(K533:K534)</f>
        <v>0</v>
      </c>
      <c r="L535" s="1055">
        <f>SUM(L533:L534)</f>
        <v>0</v>
      </c>
      <c r="M535" s="1055">
        <f>SUM(M533:M534)</f>
        <v>0</v>
      </c>
      <c r="N535" s="1056">
        <f>SUM(N533:N534)</f>
        <v>650</v>
      </c>
      <c r="O535" s="1057"/>
    </row>
    <row r="536" spans="1:15" s="1073" customFormat="1" ht="15">
      <c r="A536" s="1194">
        <v>529</v>
      </c>
      <c r="B536" s="1208"/>
      <c r="C536" s="1199"/>
      <c r="D536" s="1212" t="s">
        <v>311</v>
      </c>
      <c r="E536" s="1199"/>
      <c r="F536" s="1209">
        <v>650</v>
      </c>
      <c r="G536" s="1209">
        <v>650</v>
      </c>
      <c r="H536" s="1210">
        <v>650</v>
      </c>
      <c r="I536" s="1054"/>
      <c r="J536" s="1063"/>
      <c r="K536" s="1063"/>
      <c r="L536" s="1063"/>
      <c r="M536" s="1063"/>
      <c r="N536" s="1064"/>
      <c r="O536" s="1065"/>
    </row>
    <row r="537" spans="1:15" s="1065" customFormat="1" ht="15">
      <c r="A537" s="1194">
        <v>530</v>
      </c>
      <c r="B537" s="1059"/>
      <c r="C537" s="1052"/>
      <c r="D537" s="1211" t="s">
        <v>635</v>
      </c>
      <c r="E537" s="1060"/>
      <c r="F537" s="1061"/>
      <c r="G537" s="1061"/>
      <c r="H537" s="1082"/>
      <c r="I537" s="1062">
        <f t="shared" si="7"/>
        <v>650</v>
      </c>
      <c r="J537" s="1063"/>
      <c r="K537" s="1063"/>
      <c r="L537" s="1063"/>
      <c r="M537" s="1063"/>
      <c r="N537" s="1064">
        <v>650</v>
      </c>
      <c r="O537" s="1058">
        <f>SUM(J537:N537)-I537</f>
        <v>0</v>
      </c>
    </row>
    <row r="538" spans="1:15" s="1074" customFormat="1" ht="15">
      <c r="A538" s="1194">
        <v>531</v>
      </c>
      <c r="B538" s="1066"/>
      <c r="C538" s="1199"/>
      <c r="D538" s="1212" t="s">
        <v>636</v>
      </c>
      <c r="E538" s="1068"/>
      <c r="F538" s="1069"/>
      <c r="G538" s="1069"/>
      <c r="H538" s="1083"/>
      <c r="I538" s="1070">
        <f t="shared" si="7"/>
        <v>0</v>
      </c>
      <c r="J538" s="1071"/>
      <c r="K538" s="1071"/>
      <c r="L538" s="1071"/>
      <c r="M538" s="1071"/>
      <c r="N538" s="1072"/>
      <c r="O538" s="1073"/>
    </row>
    <row r="539" spans="1:15" s="1079" customFormat="1" ht="15">
      <c r="A539" s="1194">
        <v>532</v>
      </c>
      <c r="B539" s="1075"/>
      <c r="C539" s="1198"/>
      <c r="D539" s="1213" t="s">
        <v>637</v>
      </c>
      <c r="E539" s="1077"/>
      <c r="F539" s="1078"/>
      <c r="G539" s="1078"/>
      <c r="H539" s="1080"/>
      <c r="I539" s="1054">
        <f t="shared" si="7"/>
        <v>650</v>
      </c>
      <c r="J539" s="1055">
        <f>SUM(J537:J538)</f>
        <v>0</v>
      </c>
      <c r="K539" s="1055">
        <f>SUM(K537:K538)</f>
        <v>0</v>
      </c>
      <c r="L539" s="1055">
        <f>SUM(L537:L538)</f>
        <v>0</v>
      </c>
      <c r="M539" s="1055">
        <f>SUM(M537:M538)</f>
        <v>0</v>
      </c>
      <c r="N539" s="1056">
        <f>SUM(N537:N538)</f>
        <v>650</v>
      </c>
      <c r="O539" s="1057"/>
    </row>
    <row r="540" spans="1:15" s="1073" customFormat="1" ht="15">
      <c r="A540" s="1194">
        <v>533</v>
      </c>
      <c r="B540" s="1208"/>
      <c r="C540" s="1199"/>
      <c r="D540" s="1212" t="s">
        <v>312</v>
      </c>
      <c r="E540" s="1199"/>
      <c r="F540" s="1209">
        <v>650</v>
      </c>
      <c r="G540" s="1209">
        <v>650</v>
      </c>
      <c r="H540" s="1210">
        <v>650</v>
      </c>
      <c r="I540" s="1054"/>
      <c r="J540" s="1063"/>
      <c r="K540" s="1063"/>
      <c r="L540" s="1063"/>
      <c r="M540" s="1063"/>
      <c r="N540" s="1064"/>
      <c r="O540" s="1065"/>
    </row>
    <row r="541" spans="1:15" s="1065" customFormat="1" ht="15">
      <c r="A541" s="1194">
        <v>534</v>
      </c>
      <c r="B541" s="1059"/>
      <c r="C541" s="1052"/>
      <c r="D541" s="1211" t="s">
        <v>635</v>
      </c>
      <c r="E541" s="1060"/>
      <c r="F541" s="1061"/>
      <c r="G541" s="1061"/>
      <c r="H541" s="1082"/>
      <c r="I541" s="1062">
        <f t="shared" si="7"/>
        <v>650</v>
      </c>
      <c r="J541" s="1063"/>
      <c r="K541" s="1063"/>
      <c r="L541" s="1063"/>
      <c r="M541" s="1063"/>
      <c r="N541" s="1064">
        <v>650</v>
      </c>
      <c r="O541" s="1058">
        <f>SUM(J541:N541)-I541</f>
        <v>0</v>
      </c>
    </row>
    <row r="542" spans="1:15" s="1074" customFormat="1" ht="15">
      <c r="A542" s="1194">
        <v>535</v>
      </c>
      <c r="B542" s="1066"/>
      <c r="C542" s="1199"/>
      <c r="D542" s="1212" t="s">
        <v>636</v>
      </c>
      <c r="E542" s="1068"/>
      <c r="F542" s="1069"/>
      <c r="G542" s="1069"/>
      <c r="H542" s="1083"/>
      <c r="I542" s="1070">
        <f t="shared" si="7"/>
        <v>0</v>
      </c>
      <c r="J542" s="1071"/>
      <c r="K542" s="1071"/>
      <c r="L542" s="1071"/>
      <c r="M542" s="1071"/>
      <c r="N542" s="1072"/>
      <c r="O542" s="1073"/>
    </row>
    <row r="543" spans="1:15" s="1079" customFormat="1" ht="15">
      <c r="A543" s="1194">
        <v>536</v>
      </c>
      <c r="B543" s="1075"/>
      <c r="C543" s="1198"/>
      <c r="D543" s="1213" t="s">
        <v>637</v>
      </c>
      <c r="E543" s="1077"/>
      <c r="F543" s="1078"/>
      <c r="G543" s="1078"/>
      <c r="H543" s="1080"/>
      <c r="I543" s="1054">
        <f t="shared" si="7"/>
        <v>650</v>
      </c>
      <c r="J543" s="1055">
        <f>SUM(J541:J542)</f>
        <v>0</v>
      </c>
      <c r="K543" s="1055">
        <f>SUM(K541:K542)</f>
        <v>0</v>
      </c>
      <c r="L543" s="1055">
        <f>SUM(L541:L542)</f>
        <v>0</v>
      </c>
      <c r="M543" s="1055">
        <f>SUM(M541:M542)</f>
        <v>0</v>
      </c>
      <c r="N543" s="1056">
        <f>SUM(N541:N542)</f>
        <v>650</v>
      </c>
      <c r="O543" s="1057"/>
    </row>
    <row r="544" spans="1:15" s="1073" customFormat="1" ht="15">
      <c r="A544" s="1194">
        <v>537</v>
      </c>
      <c r="B544" s="1208"/>
      <c r="C544" s="1199"/>
      <c r="D544" s="1212" t="s">
        <v>313</v>
      </c>
      <c r="E544" s="1199"/>
      <c r="F544" s="1209">
        <v>650</v>
      </c>
      <c r="G544" s="1209">
        <v>650</v>
      </c>
      <c r="H544" s="1210">
        <v>650</v>
      </c>
      <c r="I544" s="1054"/>
      <c r="J544" s="1063"/>
      <c r="K544" s="1063"/>
      <c r="L544" s="1063"/>
      <c r="M544" s="1063"/>
      <c r="N544" s="1064"/>
      <c r="O544" s="1065"/>
    </row>
    <row r="545" spans="1:15" s="1065" customFormat="1" ht="15">
      <c r="A545" s="1194">
        <v>538</v>
      </c>
      <c r="B545" s="1059"/>
      <c r="C545" s="1052"/>
      <c r="D545" s="1211" t="s">
        <v>635</v>
      </c>
      <c r="E545" s="1060"/>
      <c r="F545" s="1061"/>
      <c r="G545" s="1061"/>
      <c r="H545" s="1082"/>
      <c r="I545" s="1062">
        <f t="shared" si="7"/>
        <v>650</v>
      </c>
      <c r="J545" s="1063"/>
      <c r="K545" s="1063"/>
      <c r="L545" s="1063"/>
      <c r="M545" s="1063"/>
      <c r="N545" s="1064">
        <v>650</v>
      </c>
      <c r="O545" s="1058">
        <f>SUM(J545:N545)-I545</f>
        <v>0</v>
      </c>
    </row>
    <row r="546" spans="1:15" s="1074" customFormat="1" ht="15">
      <c r="A546" s="1194">
        <v>539</v>
      </c>
      <c r="B546" s="1066"/>
      <c r="C546" s="1199"/>
      <c r="D546" s="1212" t="s">
        <v>636</v>
      </c>
      <c r="E546" s="1068"/>
      <c r="F546" s="1069"/>
      <c r="G546" s="1069"/>
      <c r="H546" s="1083"/>
      <c r="I546" s="1070">
        <f t="shared" si="7"/>
        <v>0</v>
      </c>
      <c r="J546" s="1071"/>
      <c r="K546" s="1071"/>
      <c r="L546" s="1071"/>
      <c r="M546" s="1071"/>
      <c r="N546" s="1072"/>
      <c r="O546" s="1073"/>
    </row>
    <row r="547" spans="1:15" s="1079" customFormat="1" ht="15">
      <c r="A547" s="1194">
        <v>540</v>
      </c>
      <c r="B547" s="1075"/>
      <c r="C547" s="1198"/>
      <c r="D547" s="1213" t="s">
        <v>637</v>
      </c>
      <c r="E547" s="1077"/>
      <c r="F547" s="1078"/>
      <c r="G547" s="1078"/>
      <c r="H547" s="1080"/>
      <c r="I547" s="1054">
        <f t="shared" si="7"/>
        <v>650</v>
      </c>
      <c r="J547" s="1055">
        <f>SUM(J545:J546)</f>
        <v>0</v>
      </c>
      <c r="K547" s="1055">
        <f>SUM(K545:K546)</f>
        <v>0</v>
      </c>
      <c r="L547" s="1055">
        <f>SUM(L545:L546)</f>
        <v>0</v>
      </c>
      <c r="M547" s="1055">
        <f>SUM(M545:M546)</f>
        <v>0</v>
      </c>
      <c r="N547" s="1056">
        <f>SUM(N545:N546)</f>
        <v>650</v>
      </c>
      <c r="O547" s="1057"/>
    </row>
    <row r="548" spans="1:15" s="63" customFormat="1" ht="17.25">
      <c r="A548" s="1194">
        <v>541</v>
      </c>
      <c r="B548" s="70"/>
      <c r="C548" s="71">
        <v>112</v>
      </c>
      <c r="D548" s="1051" t="s">
        <v>1151</v>
      </c>
      <c r="E548" s="71" t="s">
        <v>33</v>
      </c>
      <c r="F548" s="48">
        <v>429</v>
      </c>
      <c r="G548" s="48">
        <v>4627</v>
      </c>
      <c r="H548" s="73">
        <v>8259</v>
      </c>
      <c r="I548" s="550"/>
      <c r="J548" s="1020"/>
      <c r="K548" s="1020"/>
      <c r="L548" s="1020"/>
      <c r="M548" s="1020"/>
      <c r="N548" s="1021"/>
      <c r="O548" s="586"/>
    </row>
    <row r="549" spans="1:15" s="862" customFormat="1" ht="17.25">
      <c r="A549" s="1194">
        <v>542</v>
      </c>
      <c r="B549" s="858"/>
      <c r="C549" s="87"/>
      <c r="D549" s="80" t="s">
        <v>707</v>
      </c>
      <c r="E549" s="859"/>
      <c r="F549" s="860"/>
      <c r="G549" s="860"/>
      <c r="H549" s="861"/>
      <c r="I549" s="875">
        <f aca="true" t="shared" si="8" ref="I549:I629">SUM(J549:N549)</f>
        <v>1413</v>
      </c>
      <c r="J549" s="1018"/>
      <c r="K549" s="1018"/>
      <c r="L549" s="1018">
        <v>1413</v>
      </c>
      <c r="M549" s="1018"/>
      <c r="N549" s="1019"/>
      <c r="O549" s="86"/>
    </row>
    <row r="550" spans="1:15" s="1110" customFormat="1" ht="17.25">
      <c r="A550" s="1194">
        <v>543</v>
      </c>
      <c r="B550" s="863"/>
      <c r="C550" s="864"/>
      <c r="D550" s="865" t="s">
        <v>637</v>
      </c>
      <c r="E550" s="866"/>
      <c r="F550" s="867"/>
      <c r="G550" s="867"/>
      <c r="H550" s="868"/>
      <c r="I550" s="550">
        <f t="shared" si="8"/>
        <v>1413</v>
      </c>
      <c r="J550" s="1020">
        <f>SUM(J549:J549)</f>
        <v>0</v>
      </c>
      <c r="K550" s="1020">
        <f>SUM(K549:K549)</f>
        <v>0</v>
      </c>
      <c r="L550" s="1020">
        <f>SUM(L549:L549)</f>
        <v>1413</v>
      </c>
      <c r="M550" s="1020">
        <f>SUM(M549:M549)</f>
        <v>0</v>
      </c>
      <c r="N550" s="1021">
        <f>SUM(N549:N549)</f>
        <v>0</v>
      </c>
      <c r="O550" s="586"/>
    </row>
    <row r="551" spans="1:15" s="63" customFormat="1" ht="30">
      <c r="A551" s="1194">
        <v>544</v>
      </c>
      <c r="B551" s="70"/>
      <c r="C551" s="71">
        <v>113</v>
      </c>
      <c r="D551" s="1051" t="s">
        <v>134</v>
      </c>
      <c r="E551" s="71" t="s">
        <v>33</v>
      </c>
      <c r="F551" s="48">
        <v>6133</v>
      </c>
      <c r="G551" s="48">
        <v>56542</v>
      </c>
      <c r="H551" s="73">
        <v>124341</v>
      </c>
      <c r="I551" s="550"/>
      <c r="J551" s="1020"/>
      <c r="K551" s="1020"/>
      <c r="L551" s="1020"/>
      <c r="M551" s="1020"/>
      <c r="N551" s="1021"/>
      <c r="O551" s="586"/>
    </row>
    <row r="552" spans="1:15" s="862" customFormat="1" ht="17.25">
      <c r="A552" s="1194">
        <v>545</v>
      </c>
      <c r="B552" s="858"/>
      <c r="C552" s="87"/>
      <c r="D552" s="80" t="s">
        <v>707</v>
      </c>
      <c r="E552" s="859"/>
      <c r="F552" s="860"/>
      <c r="G552" s="860"/>
      <c r="H552" s="861"/>
      <c r="I552" s="875">
        <f t="shared" si="8"/>
        <v>56951</v>
      </c>
      <c r="J552" s="1018"/>
      <c r="K552" s="1018"/>
      <c r="L552" s="1018">
        <v>56951</v>
      </c>
      <c r="M552" s="1018"/>
      <c r="N552" s="1019"/>
      <c r="O552" s="86"/>
    </row>
    <row r="553" spans="1:15" s="1110" customFormat="1" ht="17.25">
      <c r="A553" s="1194">
        <v>546</v>
      </c>
      <c r="B553" s="863"/>
      <c r="C553" s="864"/>
      <c r="D553" s="865" t="s">
        <v>637</v>
      </c>
      <c r="E553" s="866"/>
      <c r="F553" s="867"/>
      <c r="G553" s="867"/>
      <c r="H553" s="868"/>
      <c r="I553" s="550">
        <f t="shared" si="8"/>
        <v>56951</v>
      </c>
      <c r="J553" s="1020">
        <f>SUM(J552:J552)</f>
        <v>0</v>
      </c>
      <c r="K553" s="1020">
        <f>SUM(K552:K552)</f>
        <v>0</v>
      </c>
      <c r="L553" s="1020">
        <f>SUM(L552:L552)</f>
        <v>56951</v>
      </c>
      <c r="M553" s="1020">
        <f>SUM(M552:M552)</f>
        <v>0</v>
      </c>
      <c r="N553" s="1021">
        <f>SUM(N552:N552)</f>
        <v>0</v>
      </c>
      <c r="O553" s="586"/>
    </row>
    <row r="554" spans="1:15" s="63" customFormat="1" ht="17.25">
      <c r="A554" s="1194">
        <v>547</v>
      </c>
      <c r="B554" s="70"/>
      <c r="C554" s="71">
        <v>114</v>
      </c>
      <c r="D554" s="72" t="s">
        <v>315</v>
      </c>
      <c r="E554" s="71" t="s">
        <v>33</v>
      </c>
      <c r="F554" s="48"/>
      <c r="G554" s="48">
        <v>4747</v>
      </c>
      <c r="H554" s="73">
        <v>286</v>
      </c>
      <c r="I554" s="550"/>
      <c r="J554" s="1020"/>
      <c r="K554" s="1020"/>
      <c r="L554" s="1020"/>
      <c r="M554" s="1020"/>
      <c r="N554" s="1021"/>
      <c r="O554" s="586"/>
    </row>
    <row r="555" spans="1:15" s="56" customFormat="1" ht="16.5">
      <c r="A555" s="1194">
        <v>548</v>
      </c>
      <c r="B555" s="854"/>
      <c r="C555" s="71"/>
      <c r="D555" s="72" t="s">
        <v>635</v>
      </c>
      <c r="E555" s="855"/>
      <c r="F555" s="856"/>
      <c r="G555" s="856"/>
      <c r="H555" s="857"/>
      <c r="I555" s="874">
        <f t="shared" si="8"/>
        <v>1582</v>
      </c>
      <c r="J555" s="84">
        <v>1155</v>
      </c>
      <c r="K555" s="84">
        <v>427</v>
      </c>
      <c r="L555" s="84"/>
      <c r="M555" s="84"/>
      <c r="N555" s="85"/>
      <c r="O555" s="63">
        <f>SUM(J555:N555)-I555</f>
        <v>0</v>
      </c>
    </row>
    <row r="556" spans="1:15" s="862" customFormat="1" ht="17.25">
      <c r="A556" s="1194">
        <v>549</v>
      </c>
      <c r="B556" s="858"/>
      <c r="C556" s="87"/>
      <c r="D556" s="80" t="s">
        <v>1187</v>
      </c>
      <c r="E556" s="859"/>
      <c r="F556" s="860"/>
      <c r="G556" s="860"/>
      <c r="H556" s="861"/>
      <c r="I556" s="875">
        <f t="shared" si="8"/>
        <v>-1582</v>
      </c>
      <c r="J556" s="1018">
        <v>-1155</v>
      </c>
      <c r="K556" s="1018">
        <v>-427</v>
      </c>
      <c r="L556" s="1018"/>
      <c r="M556" s="1018"/>
      <c r="N556" s="1019"/>
      <c r="O556" s="86"/>
    </row>
    <row r="557" spans="1:15" s="1110" customFormat="1" ht="17.25">
      <c r="A557" s="1194">
        <v>550</v>
      </c>
      <c r="B557" s="863"/>
      <c r="C557" s="864"/>
      <c r="D557" s="865" t="s">
        <v>637</v>
      </c>
      <c r="E557" s="866"/>
      <c r="F557" s="867"/>
      <c r="G557" s="867"/>
      <c r="H557" s="868"/>
      <c r="I557" s="550">
        <f t="shared" si="8"/>
        <v>0</v>
      </c>
      <c r="J557" s="1020">
        <f>SUM(J555:J556)</f>
        <v>0</v>
      </c>
      <c r="K557" s="1020">
        <f>SUM(K555:K556)</f>
        <v>0</v>
      </c>
      <c r="L557" s="1020">
        <f>SUM(L555:L556)</f>
        <v>0</v>
      </c>
      <c r="M557" s="1020">
        <f>SUM(M555:M556)</f>
        <v>0</v>
      </c>
      <c r="N557" s="1021">
        <f>SUM(N555:N556)</f>
        <v>0</v>
      </c>
      <c r="O557" s="586"/>
    </row>
    <row r="558" spans="1:15" s="63" customFormat="1" ht="17.25">
      <c r="A558" s="1194">
        <v>551</v>
      </c>
      <c r="B558" s="70"/>
      <c r="C558" s="71">
        <v>115</v>
      </c>
      <c r="D558" s="72" t="s">
        <v>316</v>
      </c>
      <c r="E558" s="71" t="s">
        <v>33</v>
      </c>
      <c r="F558" s="48">
        <v>112</v>
      </c>
      <c r="G558" s="48"/>
      <c r="H558" s="73"/>
      <c r="I558" s="550"/>
      <c r="J558" s="1020"/>
      <c r="K558" s="1020"/>
      <c r="L558" s="1020"/>
      <c r="M558" s="1020"/>
      <c r="N558" s="1021"/>
      <c r="O558" s="586"/>
    </row>
    <row r="559" spans="1:15" s="862" customFormat="1" ht="17.25">
      <c r="A559" s="1194">
        <v>552</v>
      </c>
      <c r="B559" s="858"/>
      <c r="C559" s="87"/>
      <c r="D559" s="80" t="s">
        <v>707</v>
      </c>
      <c r="E559" s="859"/>
      <c r="F559" s="860"/>
      <c r="G559" s="860"/>
      <c r="H559" s="861"/>
      <c r="I559" s="875">
        <f t="shared" si="8"/>
        <v>16662</v>
      </c>
      <c r="J559" s="1018"/>
      <c r="K559" s="1018"/>
      <c r="L559" s="1018"/>
      <c r="M559" s="1018"/>
      <c r="N559" s="1019">
        <v>16662</v>
      </c>
      <c r="O559" s="86"/>
    </row>
    <row r="560" spans="1:15" s="1110" customFormat="1" ht="17.25">
      <c r="A560" s="1194">
        <v>553</v>
      </c>
      <c r="B560" s="863"/>
      <c r="C560" s="864"/>
      <c r="D560" s="865" t="s">
        <v>637</v>
      </c>
      <c r="E560" s="866"/>
      <c r="F560" s="867"/>
      <c r="G560" s="867"/>
      <c r="H560" s="868"/>
      <c r="I560" s="550">
        <f t="shared" si="8"/>
        <v>16662</v>
      </c>
      <c r="J560" s="1020">
        <f>SUM(J559:J559)</f>
        <v>0</v>
      </c>
      <c r="K560" s="1020">
        <f>SUM(K559:K559)</f>
        <v>0</v>
      </c>
      <c r="L560" s="1020">
        <f>SUM(L559:L559)</f>
        <v>0</v>
      </c>
      <c r="M560" s="1020">
        <f>SUM(M559:M559)</f>
        <v>0</v>
      </c>
      <c r="N560" s="1021">
        <f>SUM(N559:N559)</f>
        <v>16662</v>
      </c>
      <c r="O560" s="586"/>
    </row>
    <row r="561" spans="1:15" s="63" customFormat="1" ht="33">
      <c r="A561" s="1194">
        <v>554</v>
      </c>
      <c r="B561" s="70"/>
      <c r="C561" s="71">
        <v>116</v>
      </c>
      <c r="D561" s="72" t="s">
        <v>317</v>
      </c>
      <c r="E561" s="71" t="s">
        <v>33</v>
      </c>
      <c r="F561" s="48">
        <v>336</v>
      </c>
      <c r="G561" s="48"/>
      <c r="H561" s="73">
        <v>7269</v>
      </c>
      <c r="I561" s="550"/>
      <c r="J561" s="1020"/>
      <c r="K561" s="1020"/>
      <c r="L561" s="1020"/>
      <c r="M561" s="1020"/>
      <c r="N561" s="1021"/>
      <c r="O561" s="586"/>
    </row>
    <row r="562" spans="1:15" s="862" customFormat="1" ht="17.25">
      <c r="A562" s="1194">
        <v>555</v>
      </c>
      <c r="B562" s="858"/>
      <c r="C562" s="87"/>
      <c r="D562" s="80" t="s">
        <v>707</v>
      </c>
      <c r="E562" s="859"/>
      <c r="F562" s="860"/>
      <c r="G562" s="860"/>
      <c r="H562" s="861"/>
      <c r="I562" s="875">
        <f t="shared" si="8"/>
        <v>3634</v>
      </c>
      <c r="J562" s="1018">
        <v>2924</v>
      </c>
      <c r="K562" s="1018">
        <v>710</v>
      </c>
      <c r="L562" s="1018"/>
      <c r="M562" s="1018"/>
      <c r="N562" s="1019"/>
      <c r="O562" s="86"/>
    </row>
    <row r="563" spans="1:15" s="1110" customFormat="1" ht="17.25">
      <c r="A563" s="1194">
        <v>556</v>
      </c>
      <c r="B563" s="863"/>
      <c r="C563" s="864"/>
      <c r="D563" s="865" t="s">
        <v>637</v>
      </c>
      <c r="E563" s="866"/>
      <c r="F563" s="867"/>
      <c r="G563" s="867"/>
      <c r="H563" s="868"/>
      <c r="I563" s="550">
        <f t="shared" si="8"/>
        <v>3634</v>
      </c>
      <c r="J563" s="1020">
        <f>SUM(J562:J562)</f>
        <v>2924</v>
      </c>
      <c r="K563" s="1020">
        <f>SUM(K562:K562)</f>
        <v>710</v>
      </c>
      <c r="L563" s="1020">
        <f>SUM(L562:L562)</f>
        <v>0</v>
      </c>
      <c r="M563" s="1020">
        <f>SUM(M562:M562)</f>
        <v>0</v>
      </c>
      <c r="N563" s="1021">
        <f>SUM(N562:N562)</f>
        <v>0</v>
      </c>
      <c r="O563" s="586"/>
    </row>
    <row r="564" spans="1:15" s="63" customFormat="1" ht="17.25">
      <c r="A564" s="1194">
        <v>557</v>
      </c>
      <c r="B564" s="70"/>
      <c r="C564" s="71">
        <v>117</v>
      </c>
      <c r="D564" s="72" t="s">
        <v>595</v>
      </c>
      <c r="E564" s="71" t="s">
        <v>33</v>
      </c>
      <c r="F564" s="48"/>
      <c r="G564" s="48"/>
      <c r="H564" s="73"/>
      <c r="I564" s="550"/>
      <c r="J564" s="1020"/>
      <c r="K564" s="1020"/>
      <c r="L564" s="1020"/>
      <c r="M564" s="1020"/>
      <c r="N564" s="1021"/>
      <c r="O564" s="586"/>
    </row>
    <row r="565" spans="1:15" s="56" customFormat="1" ht="16.5">
      <c r="A565" s="1194">
        <v>558</v>
      </c>
      <c r="B565" s="854"/>
      <c r="C565" s="71"/>
      <c r="D565" s="72" t="s">
        <v>635</v>
      </c>
      <c r="E565" s="855"/>
      <c r="F565" s="856"/>
      <c r="G565" s="856"/>
      <c r="H565" s="857"/>
      <c r="I565" s="874">
        <f t="shared" si="8"/>
        <v>1989</v>
      </c>
      <c r="J565" s="84">
        <v>1566</v>
      </c>
      <c r="K565" s="84">
        <v>423</v>
      </c>
      <c r="L565" s="84"/>
      <c r="M565" s="84"/>
      <c r="N565" s="85"/>
      <c r="O565" s="63">
        <f>SUM(J565:N565)-I565</f>
        <v>0</v>
      </c>
    </row>
    <row r="566" spans="1:15" s="862" customFormat="1" ht="17.25">
      <c r="A566" s="1194">
        <v>559</v>
      </c>
      <c r="B566" s="858"/>
      <c r="C566" s="87"/>
      <c r="D566" s="80" t="s">
        <v>636</v>
      </c>
      <c r="E566" s="859"/>
      <c r="F566" s="860"/>
      <c r="G566" s="860"/>
      <c r="H566" s="861"/>
      <c r="I566" s="875">
        <f t="shared" si="8"/>
        <v>0</v>
      </c>
      <c r="J566" s="1018"/>
      <c r="K566" s="1018"/>
      <c r="L566" s="1018"/>
      <c r="M566" s="1018"/>
      <c r="N566" s="1019"/>
      <c r="O566" s="86"/>
    </row>
    <row r="567" spans="1:15" s="1110" customFormat="1" ht="17.25">
      <c r="A567" s="1194">
        <v>560</v>
      </c>
      <c r="B567" s="863"/>
      <c r="C567" s="864"/>
      <c r="D567" s="865" t="s">
        <v>637</v>
      </c>
      <c r="E567" s="866"/>
      <c r="F567" s="867"/>
      <c r="G567" s="867"/>
      <c r="H567" s="868"/>
      <c r="I567" s="550">
        <f t="shared" si="8"/>
        <v>1989</v>
      </c>
      <c r="J567" s="1020">
        <f>SUM(J565:J566)</f>
        <v>1566</v>
      </c>
      <c r="K567" s="1020">
        <f>SUM(K565:K566)</f>
        <v>423</v>
      </c>
      <c r="L567" s="1020">
        <f>SUM(L565:L566)</f>
        <v>0</v>
      </c>
      <c r="M567" s="1020">
        <f>SUM(M565:M566)</f>
        <v>0</v>
      </c>
      <c r="N567" s="1021">
        <f>SUM(N565:N566)</f>
        <v>0</v>
      </c>
      <c r="O567" s="586"/>
    </row>
    <row r="568" spans="1:15" s="63" customFormat="1" ht="17.25">
      <c r="A568" s="1194">
        <v>561</v>
      </c>
      <c r="B568" s="70"/>
      <c r="C568" s="71">
        <v>118</v>
      </c>
      <c r="D568" s="72" t="s">
        <v>318</v>
      </c>
      <c r="E568" s="71" t="s">
        <v>33</v>
      </c>
      <c r="F568" s="48"/>
      <c r="G568" s="48"/>
      <c r="H568" s="73"/>
      <c r="I568" s="550"/>
      <c r="J568" s="1020"/>
      <c r="K568" s="1020"/>
      <c r="L568" s="1020"/>
      <c r="M568" s="1020"/>
      <c r="N568" s="1021"/>
      <c r="O568" s="586"/>
    </row>
    <row r="569" spans="1:15" s="56" customFormat="1" ht="16.5">
      <c r="A569" s="1194">
        <v>562</v>
      </c>
      <c r="B569" s="854"/>
      <c r="C569" s="71"/>
      <c r="D569" s="72" t="s">
        <v>635</v>
      </c>
      <c r="E569" s="855"/>
      <c r="F569" s="856"/>
      <c r="G569" s="856"/>
      <c r="H569" s="857"/>
      <c r="I569" s="874">
        <f t="shared" si="8"/>
        <v>3163</v>
      </c>
      <c r="J569" s="84">
        <v>2220</v>
      </c>
      <c r="K569" s="84">
        <v>600</v>
      </c>
      <c r="L569" s="84">
        <v>343</v>
      </c>
      <c r="M569" s="84"/>
      <c r="N569" s="85"/>
      <c r="O569" s="63">
        <f>SUM(J569:N569)-I569</f>
        <v>0</v>
      </c>
    </row>
    <row r="570" spans="1:15" s="862" customFormat="1" ht="17.25">
      <c r="A570" s="1194">
        <v>563</v>
      </c>
      <c r="B570" s="858"/>
      <c r="C570" s="87"/>
      <c r="D570" s="80" t="s">
        <v>636</v>
      </c>
      <c r="E570" s="859"/>
      <c r="F570" s="860"/>
      <c r="G570" s="860"/>
      <c r="H570" s="861"/>
      <c r="I570" s="875">
        <f t="shared" si="8"/>
        <v>0</v>
      </c>
      <c r="J570" s="1018"/>
      <c r="K570" s="1018"/>
      <c r="L570" s="1018"/>
      <c r="M570" s="1018"/>
      <c r="N570" s="1019"/>
      <c r="O570" s="86"/>
    </row>
    <row r="571" spans="1:15" s="1110" customFormat="1" ht="17.25">
      <c r="A571" s="1194">
        <v>564</v>
      </c>
      <c r="B571" s="863"/>
      <c r="C571" s="864"/>
      <c r="D571" s="865" t="s">
        <v>637</v>
      </c>
      <c r="E571" s="866"/>
      <c r="F571" s="867"/>
      <c r="G571" s="867"/>
      <c r="H571" s="868"/>
      <c r="I571" s="550">
        <f t="shared" si="8"/>
        <v>3163</v>
      </c>
      <c r="J571" s="1020">
        <f>SUM(J569:J570)</f>
        <v>2220</v>
      </c>
      <c r="K571" s="1020">
        <f>SUM(K569:K570)</f>
        <v>600</v>
      </c>
      <c r="L571" s="1020">
        <f>SUM(L569:L570)</f>
        <v>343</v>
      </c>
      <c r="M571" s="1020">
        <f>SUM(M569:M570)</f>
        <v>0</v>
      </c>
      <c r="N571" s="1021">
        <f>SUM(N569:N570)</f>
        <v>0</v>
      </c>
      <c r="O571" s="586"/>
    </row>
    <row r="572" spans="1:15" s="63" customFormat="1" ht="17.25">
      <c r="A572" s="1194">
        <v>565</v>
      </c>
      <c r="B572" s="70"/>
      <c r="C572" s="71">
        <v>119</v>
      </c>
      <c r="D572" s="72" t="s">
        <v>319</v>
      </c>
      <c r="E572" s="71" t="s">
        <v>33</v>
      </c>
      <c r="F572" s="48"/>
      <c r="G572" s="48"/>
      <c r="H572" s="73"/>
      <c r="I572" s="550"/>
      <c r="J572" s="1020"/>
      <c r="K572" s="1020"/>
      <c r="L572" s="1020"/>
      <c r="M572" s="1020"/>
      <c r="N572" s="1021"/>
      <c r="O572" s="586"/>
    </row>
    <row r="573" spans="1:15" s="56" customFormat="1" ht="16.5">
      <c r="A573" s="1194">
        <v>566</v>
      </c>
      <c r="B573" s="854"/>
      <c r="C573" s="71"/>
      <c r="D573" s="72" t="s">
        <v>635</v>
      </c>
      <c r="E573" s="855"/>
      <c r="F573" s="856"/>
      <c r="G573" s="856"/>
      <c r="H573" s="857"/>
      <c r="I573" s="874">
        <f t="shared" si="8"/>
        <v>994</v>
      </c>
      <c r="J573" s="84">
        <v>800</v>
      </c>
      <c r="K573" s="84">
        <v>194</v>
      </c>
      <c r="L573" s="84"/>
      <c r="M573" s="84"/>
      <c r="N573" s="85"/>
      <c r="O573" s="63">
        <f>SUM(J573:N573)-I573</f>
        <v>0</v>
      </c>
    </row>
    <row r="574" spans="1:15" s="862" customFormat="1" ht="17.25">
      <c r="A574" s="1194">
        <v>567</v>
      </c>
      <c r="B574" s="858"/>
      <c r="C574" s="87"/>
      <c r="D574" s="80" t="s">
        <v>636</v>
      </c>
      <c r="E574" s="859"/>
      <c r="F574" s="860"/>
      <c r="G574" s="860"/>
      <c r="H574" s="861"/>
      <c r="I574" s="875">
        <f t="shared" si="8"/>
        <v>0</v>
      </c>
      <c r="J574" s="1018"/>
      <c r="K574" s="1018"/>
      <c r="L574" s="1018"/>
      <c r="M574" s="1018"/>
      <c r="N574" s="1019"/>
      <c r="O574" s="86"/>
    </row>
    <row r="575" spans="1:15" s="1110" customFormat="1" ht="17.25">
      <c r="A575" s="1194">
        <v>568</v>
      </c>
      <c r="B575" s="863"/>
      <c r="C575" s="864"/>
      <c r="D575" s="865" t="s">
        <v>637</v>
      </c>
      <c r="E575" s="866"/>
      <c r="F575" s="867"/>
      <c r="G575" s="867"/>
      <c r="H575" s="868"/>
      <c r="I575" s="550">
        <f t="shared" si="8"/>
        <v>994</v>
      </c>
      <c r="J575" s="1020">
        <f>SUM(J573:J574)</f>
        <v>800</v>
      </c>
      <c r="K575" s="1020">
        <f>SUM(K573:K574)</f>
        <v>194</v>
      </c>
      <c r="L575" s="1020">
        <f>SUM(L573:L574)</f>
        <v>0</v>
      </c>
      <c r="M575" s="1020">
        <f>SUM(M573:M574)</f>
        <v>0</v>
      </c>
      <c r="N575" s="1021">
        <f>SUM(N573:N574)</f>
        <v>0</v>
      </c>
      <c r="O575" s="586"/>
    </row>
    <row r="576" spans="1:15" s="63" customFormat="1" ht="33">
      <c r="A576" s="1194">
        <v>569</v>
      </c>
      <c r="B576" s="70"/>
      <c r="C576" s="71">
        <v>120</v>
      </c>
      <c r="D576" s="72" t="s">
        <v>320</v>
      </c>
      <c r="E576" s="71" t="s">
        <v>33</v>
      </c>
      <c r="F576" s="48"/>
      <c r="G576" s="48"/>
      <c r="H576" s="73"/>
      <c r="I576" s="550"/>
      <c r="J576" s="1020"/>
      <c r="K576" s="1020"/>
      <c r="L576" s="1020"/>
      <c r="M576" s="1020"/>
      <c r="N576" s="1021"/>
      <c r="O576" s="586"/>
    </row>
    <row r="577" spans="1:15" s="56" customFormat="1" ht="16.5">
      <c r="A577" s="1194">
        <v>570</v>
      </c>
      <c r="B577" s="854"/>
      <c r="C577" s="71"/>
      <c r="D577" s="72" t="s">
        <v>635</v>
      </c>
      <c r="E577" s="855"/>
      <c r="F577" s="856"/>
      <c r="G577" s="856"/>
      <c r="H577" s="857"/>
      <c r="I577" s="874">
        <f t="shared" si="8"/>
        <v>16225</v>
      </c>
      <c r="J577" s="84">
        <v>1572</v>
      </c>
      <c r="K577" s="84">
        <v>425</v>
      </c>
      <c r="L577" s="84">
        <v>14228</v>
      </c>
      <c r="M577" s="84"/>
      <c r="N577" s="85"/>
      <c r="O577" s="63">
        <f>SUM(J577:N577)-I577</f>
        <v>0</v>
      </c>
    </row>
    <row r="578" spans="1:15" s="862" customFormat="1" ht="17.25">
      <c r="A578" s="1194">
        <v>571</v>
      </c>
      <c r="B578" s="858"/>
      <c r="C578" s="87"/>
      <c r="D578" s="80" t="s">
        <v>636</v>
      </c>
      <c r="E578" s="859"/>
      <c r="F578" s="860"/>
      <c r="G578" s="860"/>
      <c r="H578" s="861"/>
      <c r="I578" s="875">
        <f t="shared" si="8"/>
        <v>0</v>
      </c>
      <c r="J578" s="1018"/>
      <c r="K578" s="1018"/>
      <c r="L578" s="1018"/>
      <c r="M578" s="1018"/>
      <c r="N578" s="1019"/>
      <c r="O578" s="86"/>
    </row>
    <row r="579" spans="1:15" s="1110" customFormat="1" ht="17.25">
      <c r="A579" s="1194">
        <v>572</v>
      </c>
      <c r="B579" s="863"/>
      <c r="C579" s="864"/>
      <c r="D579" s="865" t="s">
        <v>637</v>
      </c>
      <c r="E579" s="866"/>
      <c r="F579" s="867"/>
      <c r="G579" s="867"/>
      <c r="H579" s="868"/>
      <c r="I579" s="550">
        <f t="shared" si="8"/>
        <v>16225</v>
      </c>
      <c r="J579" s="1020">
        <f>SUM(J577:J578)</f>
        <v>1572</v>
      </c>
      <c r="K579" s="1020">
        <f>SUM(K577:K578)</f>
        <v>425</v>
      </c>
      <c r="L579" s="1020">
        <f>SUM(L577:L578)</f>
        <v>14228</v>
      </c>
      <c r="M579" s="1020">
        <f>SUM(M577:M578)</f>
        <v>0</v>
      </c>
      <c r="N579" s="1021">
        <f>SUM(N577:N578)</f>
        <v>0</v>
      </c>
      <c r="O579" s="586"/>
    </row>
    <row r="580" spans="1:15" s="63" customFormat="1" ht="17.25">
      <c r="A580" s="1194">
        <v>573</v>
      </c>
      <c r="B580" s="70"/>
      <c r="C580" s="71">
        <v>121</v>
      </c>
      <c r="D580" s="72" t="s">
        <v>327</v>
      </c>
      <c r="E580" s="71" t="s">
        <v>33</v>
      </c>
      <c r="F580" s="48">
        <v>60</v>
      </c>
      <c r="G580" s="48"/>
      <c r="H580" s="73">
        <v>61</v>
      </c>
      <c r="I580" s="550"/>
      <c r="J580" s="74"/>
      <c r="K580" s="74"/>
      <c r="L580" s="74"/>
      <c r="M580" s="74"/>
      <c r="N580" s="75"/>
      <c r="O580" s="63">
        <f>SUM(J580:N580)-I580</f>
        <v>0</v>
      </c>
    </row>
    <row r="581" spans="1:15" s="862" customFormat="1" ht="17.25">
      <c r="A581" s="1194">
        <v>574</v>
      </c>
      <c r="B581" s="858"/>
      <c r="C581" s="87"/>
      <c r="D581" s="80" t="s">
        <v>1150</v>
      </c>
      <c r="E581" s="859"/>
      <c r="F581" s="860"/>
      <c r="G581" s="860"/>
      <c r="H581" s="861"/>
      <c r="I581" s="875">
        <f>SUM(J581:N581)</f>
        <v>100</v>
      </c>
      <c r="J581" s="1018">
        <v>60</v>
      </c>
      <c r="K581" s="1018">
        <v>40</v>
      </c>
      <c r="L581" s="1018"/>
      <c r="M581" s="1018"/>
      <c r="N581" s="1019"/>
      <c r="O581" s="86"/>
    </row>
    <row r="582" spans="1:15" s="1110" customFormat="1" ht="17.25">
      <c r="A582" s="1194">
        <v>575</v>
      </c>
      <c r="B582" s="863"/>
      <c r="C582" s="864"/>
      <c r="D582" s="865" t="s">
        <v>637</v>
      </c>
      <c r="E582" s="866"/>
      <c r="F582" s="867"/>
      <c r="G582" s="867"/>
      <c r="H582" s="868"/>
      <c r="I582" s="550">
        <f>SUM(J582:N582)</f>
        <v>100</v>
      </c>
      <c r="J582" s="1020">
        <f>SUM(J581)</f>
        <v>60</v>
      </c>
      <c r="K582" s="1020">
        <f>SUM(K581)</f>
        <v>40</v>
      </c>
      <c r="L582" s="1020">
        <f>SUM(L581)</f>
        <v>0</v>
      </c>
      <c r="M582" s="1020">
        <f>SUM(M581)</f>
        <v>0</v>
      </c>
      <c r="N582" s="1021">
        <f>SUM(N581)</f>
        <v>0</v>
      </c>
      <c r="O582" s="586"/>
    </row>
    <row r="583" spans="1:15" s="63" customFormat="1" ht="17.25">
      <c r="A583" s="1194">
        <v>576</v>
      </c>
      <c r="B583" s="70"/>
      <c r="C583" s="71">
        <v>122</v>
      </c>
      <c r="D583" s="72" t="s">
        <v>328</v>
      </c>
      <c r="E583" s="71" t="s">
        <v>33</v>
      </c>
      <c r="F583" s="48"/>
      <c r="G583" s="48"/>
      <c r="H583" s="73">
        <v>11383</v>
      </c>
      <c r="I583" s="550"/>
      <c r="J583" s="74"/>
      <c r="K583" s="74"/>
      <c r="L583" s="74"/>
      <c r="M583" s="74"/>
      <c r="N583" s="75"/>
      <c r="O583" s="63">
        <f>SUM(J583:N583)-I583</f>
        <v>0</v>
      </c>
    </row>
    <row r="584" spans="1:15" s="862" customFormat="1" ht="17.25">
      <c r="A584" s="1194">
        <v>577</v>
      </c>
      <c r="B584" s="858"/>
      <c r="C584" s="87"/>
      <c r="D584" s="80" t="s">
        <v>636</v>
      </c>
      <c r="E584" s="859"/>
      <c r="F584" s="860"/>
      <c r="G584" s="860"/>
      <c r="H584" s="861"/>
      <c r="I584" s="875">
        <f>SUM(J584:N584)</f>
        <v>2610</v>
      </c>
      <c r="J584" s="1018"/>
      <c r="K584" s="1018"/>
      <c r="L584" s="1018"/>
      <c r="M584" s="1018"/>
      <c r="N584" s="1019">
        <v>2610</v>
      </c>
      <c r="O584" s="86"/>
    </row>
    <row r="585" spans="1:15" s="1110" customFormat="1" ht="17.25">
      <c r="A585" s="1194">
        <v>578</v>
      </c>
      <c r="B585" s="863"/>
      <c r="C585" s="864"/>
      <c r="D585" s="865" t="s">
        <v>637</v>
      </c>
      <c r="E585" s="866"/>
      <c r="F585" s="867"/>
      <c r="G585" s="867"/>
      <c r="H585" s="868"/>
      <c r="I585" s="550">
        <f>SUM(J585:N585)</f>
        <v>2610</v>
      </c>
      <c r="J585" s="1020">
        <f>SUM(J584)</f>
        <v>0</v>
      </c>
      <c r="K585" s="1020">
        <f>SUM(K584)</f>
        <v>0</v>
      </c>
      <c r="L585" s="1020">
        <f>SUM(L584)</f>
        <v>0</v>
      </c>
      <c r="M585" s="1020">
        <f>SUM(M584)</f>
        <v>0</v>
      </c>
      <c r="N585" s="1021">
        <f>SUM(N584)</f>
        <v>2610</v>
      </c>
      <c r="O585" s="586"/>
    </row>
    <row r="586" spans="1:15" s="63" customFormat="1" ht="17.25">
      <c r="A586" s="1194">
        <v>579</v>
      </c>
      <c r="B586" s="70"/>
      <c r="C586" s="71">
        <v>123</v>
      </c>
      <c r="D586" s="72" t="s">
        <v>135</v>
      </c>
      <c r="E586" s="71" t="s">
        <v>33</v>
      </c>
      <c r="F586" s="48">
        <v>3461</v>
      </c>
      <c r="G586" s="48"/>
      <c r="H586" s="73">
        <v>33687</v>
      </c>
      <c r="I586" s="550"/>
      <c r="J586" s="74"/>
      <c r="K586" s="74"/>
      <c r="L586" s="74"/>
      <c r="M586" s="74"/>
      <c r="N586" s="75"/>
      <c r="O586" s="63">
        <f>SUM(J586:N586)-I586</f>
        <v>0</v>
      </c>
    </row>
    <row r="587" spans="1:15" s="862" customFormat="1" ht="17.25">
      <c r="A587" s="1194">
        <v>580</v>
      </c>
      <c r="B587" s="858"/>
      <c r="C587" s="87"/>
      <c r="D587" s="80" t="s">
        <v>707</v>
      </c>
      <c r="E587" s="859"/>
      <c r="F587" s="860"/>
      <c r="G587" s="860"/>
      <c r="H587" s="861"/>
      <c r="I587" s="875">
        <f t="shared" si="8"/>
        <v>1207</v>
      </c>
      <c r="J587" s="1018"/>
      <c r="K587" s="1018"/>
      <c r="L587" s="1018">
        <v>1207</v>
      </c>
      <c r="M587" s="1018"/>
      <c r="N587" s="1019"/>
      <c r="O587" s="86"/>
    </row>
    <row r="588" spans="1:15" s="1110" customFormat="1" ht="17.25">
      <c r="A588" s="1194">
        <v>581</v>
      </c>
      <c r="B588" s="863"/>
      <c r="C588" s="864"/>
      <c r="D588" s="865" t="s">
        <v>637</v>
      </c>
      <c r="E588" s="866"/>
      <c r="F588" s="867"/>
      <c r="G588" s="867"/>
      <c r="H588" s="868"/>
      <c r="I588" s="550">
        <f t="shared" si="8"/>
        <v>1207</v>
      </c>
      <c r="J588" s="1020">
        <f>SUM(J587)</f>
        <v>0</v>
      </c>
      <c r="K588" s="1020">
        <f>SUM(K587)</f>
        <v>0</v>
      </c>
      <c r="L588" s="1020">
        <f>SUM(L587)</f>
        <v>1207</v>
      </c>
      <c r="M588" s="1020">
        <f>SUM(M587)</f>
        <v>0</v>
      </c>
      <c r="N588" s="1021">
        <f>SUM(N587)</f>
        <v>0</v>
      </c>
      <c r="O588" s="586"/>
    </row>
    <row r="589" spans="1:15" s="63" customFormat="1" ht="17.25">
      <c r="A589" s="1194">
        <v>582</v>
      </c>
      <c r="B589" s="70"/>
      <c r="C589" s="71">
        <v>124</v>
      </c>
      <c r="D589" s="72" t="s">
        <v>322</v>
      </c>
      <c r="E589" s="71" t="s">
        <v>33</v>
      </c>
      <c r="F589" s="48"/>
      <c r="G589" s="48"/>
      <c r="H589" s="73">
        <v>24822</v>
      </c>
      <c r="I589" s="550"/>
      <c r="J589" s="74"/>
      <c r="K589" s="74"/>
      <c r="L589" s="74"/>
      <c r="M589" s="74"/>
      <c r="N589" s="75"/>
      <c r="O589" s="63">
        <f>SUM(J589:N589)-I589</f>
        <v>0</v>
      </c>
    </row>
    <row r="590" spans="1:15" s="862" customFormat="1" ht="17.25">
      <c r="A590" s="1194">
        <v>583</v>
      </c>
      <c r="B590" s="858"/>
      <c r="C590" s="87"/>
      <c r="D590" s="80" t="s">
        <v>796</v>
      </c>
      <c r="E590" s="859"/>
      <c r="F590" s="860"/>
      <c r="G590" s="860"/>
      <c r="H590" s="861"/>
      <c r="I590" s="875">
        <f t="shared" si="8"/>
        <v>15178</v>
      </c>
      <c r="J590" s="1018"/>
      <c r="K590" s="1018"/>
      <c r="L590" s="1018">
        <v>15178</v>
      </c>
      <c r="M590" s="1018"/>
      <c r="N590" s="1019"/>
      <c r="O590" s="86"/>
    </row>
    <row r="591" spans="1:15" s="1110" customFormat="1" ht="17.25">
      <c r="A591" s="1194">
        <v>584</v>
      </c>
      <c r="B591" s="863"/>
      <c r="C591" s="864"/>
      <c r="D591" s="865" t="s">
        <v>637</v>
      </c>
      <c r="E591" s="866"/>
      <c r="F591" s="867"/>
      <c r="G591" s="867"/>
      <c r="H591" s="868"/>
      <c r="I591" s="550">
        <f t="shared" si="8"/>
        <v>15178</v>
      </c>
      <c r="J591" s="1020">
        <f>SUM(J590)</f>
        <v>0</v>
      </c>
      <c r="K591" s="1020">
        <f>SUM(K590)</f>
        <v>0</v>
      </c>
      <c r="L591" s="1020">
        <f>SUM(L590)</f>
        <v>15178</v>
      </c>
      <c r="M591" s="1020">
        <f>SUM(M590)</f>
        <v>0</v>
      </c>
      <c r="N591" s="1021">
        <f>SUM(N590)</f>
        <v>0</v>
      </c>
      <c r="O591" s="586"/>
    </row>
    <row r="592" spans="1:15" s="63" customFormat="1" ht="33">
      <c r="A592" s="1194">
        <v>585</v>
      </c>
      <c r="B592" s="70"/>
      <c r="C592" s="71">
        <v>125</v>
      </c>
      <c r="D592" s="72" t="s">
        <v>323</v>
      </c>
      <c r="E592" s="71" t="s">
        <v>33</v>
      </c>
      <c r="F592" s="48"/>
      <c r="G592" s="48"/>
      <c r="H592" s="73">
        <v>8580</v>
      </c>
      <c r="I592" s="550"/>
      <c r="J592" s="74"/>
      <c r="K592" s="74"/>
      <c r="L592" s="74"/>
      <c r="M592" s="74"/>
      <c r="N592" s="75"/>
      <c r="O592" s="63">
        <f>SUM(J592:N592)-I592</f>
        <v>0</v>
      </c>
    </row>
    <row r="593" spans="1:15" s="862" customFormat="1" ht="17.25">
      <c r="A593" s="1194">
        <v>586</v>
      </c>
      <c r="B593" s="858"/>
      <c r="C593" s="87"/>
      <c r="D593" s="80" t="s">
        <v>636</v>
      </c>
      <c r="E593" s="859"/>
      <c r="F593" s="860"/>
      <c r="G593" s="860"/>
      <c r="H593" s="861"/>
      <c r="I593" s="875">
        <f t="shared" si="8"/>
        <v>762</v>
      </c>
      <c r="J593" s="1018"/>
      <c r="K593" s="1018"/>
      <c r="L593" s="1018">
        <v>762</v>
      </c>
      <c r="M593" s="1018"/>
      <c r="N593" s="1019"/>
      <c r="O593" s="86"/>
    </row>
    <row r="594" spans="1:15" s="1110" customFormat="1" ht="17.25">
      <c r="A594" s="1194">
        <v>587</v>
      </c>
      <c r="B594" s="863"/>
      <c r="C594" s="864"/>
      <c r="D594" s="865" t="s">
        <v>637</v>
      </c>
      <c r="E594" s="866"/>
      <c r="F594" s="867"/>
      <c r="G594" s="867"/>
      <c r="H594" s="868"/>
      <c r="I594" s="550">
        <f t="shared" si="8"/>
        <v>762</v>
      </c>
      <c r="J594" s="1020">
        <f>SUM(J593)</f>
        <v>0</v>
      </c>
      <c r="K594" s="1020">
        <f>SUM(K593)</f>
        <v>0</v>
      </c>
      <c r="L594" s="1020">
        <f>SUM(L593)</f>
        <v>762</v>
      </c>
      <c r="M594" s="1020">
        <f>SUM(M593)</f>
        <v>0</v>
      </c>
      <c r="N594" s="1021">
        <f>SUM(N593)</f>
        <v>0</v>
      </c>
      <c r="O594" s="586"/>
    </row>
    <row r="595" spans="1:15" s="63" customFormat="1" ht="17.25">
      <c r="A595" s="1194">
        <v>588</v>
      </c>
      <c r="B595" s="70"/>
      <c r="C595" s="71">
        <v>126</v>
      </c>
      <c r="D595" s="72" t="s">
        <v>324</v>
      </c>
      <c r="E595" s="71" t="s">
        <v>33</v>
      </c>
      <c r="F595" s="48"/>
      <c r="G595" s="48"/>
      <c r="H595" s="73">
        <v>1931</v>
      </c>
      <c r="I595" s="550"/>
      <c r="J595" s="74"/>
      <c r="K595" s="74"/>
      <c r="L595" s="74"/>
      <c r="M595" s="74"/>
      <c r="N595" s="75"/>
      <c r="O595" s="63">
        <f>SUM(J595:N595)-I595</f>
        <v>0</v>
      </c>
    </row>
    <row r="596" spans="1:15" s="862" customFormat="1" ht="17.25">
      <c r="A596" s="1194">
        <v>589</v>
      </c>
      <c r="B596" s="858"/>
      <c r="C596" s="87"/>
      <c r="D596" s="80" t="s">
        <v>636</v>
      </c>
      <c r="E596" s="859"/>
      <c r="F596" s="860"/>
      <c r="G596" s="860"/>
      <c r="H596" s="861"/>
      <c r="I596" s="875">
        <f t="shared" si="8"/>
        <v>17698</v>
      </c>
      <c r="J596" s="1018"/>
      <c r="K596" s="1018"/>
      <c r="L596" s="1018">
        <v>2905</v>
      </c>
      <c r="M596" s="1018"/>
      <c r="N596" s="1019">
        <v>14793</v>
      </c>
      <c r="O596" s="86"/>
    </row>
    <row r="597" spans="1:15" s="1110" customFormat="1" ht="17.25">
      <c r="A597" s="1194">
        <v>590</v>
      </c>
      <c r="B597" s="863"/>
      <c r="C597" s="864"/>
      <c r="D597" s="865" t="s">
        <v>637</v>
      </c>
      <c r="E597" s="866"/>
      <c r="F597" s="867"/>
      <c r="G597" s="867"/>
      <c r="H597" s="868"/>
      <c r="I597" s="550">
        <f t="shared" si="8"/>
        <v>17698</v>
      </c>
      <c r="J597" s="1020">
        <f>SUM(J596)</f>
        <v>0</v>
      </c>
      <c r="K597" s="1020">
        <f>SUM(K596)</f>
        <v>0</v>
      </c>
      <c r="L597" s="1020">
        <f>SUM(L596)</f>
        <v>2905</v>
      </c>
      <c r="M597" s="1020">
        <f>SUM(M596)</f>
        <v>0</v>
      </c>
      <c r="N597" s="1021">
        <f>SUM(N596)</f>
        <v>14793</v>
      </c>
      <c r="O597" s="586"/>
    </row>
    <row r="598" spans="1:15" s="63" customFormat="1" ht="33">
      <c r="A598" s="1194">
        <v>591</v>
      </c>
      <c r="B598" s="70"/>
      <c r="C598" s="71">
        <v>127</v>
      </c>
      <c r="D598" s="72" t="s">
        <v>325</v>
      </c>
      <c r="E598" s="71" t="s">
        <v>33</v>
      </c>
      <c r="F598" s="48"/>
      <c r="G598" s="48">
        <v>6949</v>
      </c>
      <c r="H598" s="73">
        <v>4321</v>
      </c>
      <c r="I598" s="550"/>
      <c r="J598" s="74"/>
      <c r="K598" s="74"/>
      <c r="L598" s="74"/>
      <c r="M598" s="74"/>
      <c r="N598" s="75"/>
      <c r="O598" s="63">
        <f>SUM(J598:N598)-I598</f>
        <v>0</v>
      </c>
    </row>
    <row r="599" spans="1:15" s="862" customFormat="1" ht="17.25">
      <c r="A599" s="1194">
        <v>592</v>
      </c>
      <c r="B599" s="858"/>
      <c r="C599" s="87"/>
      <c r="D599" s="80" t="s">
        <v>636</v>
      </c>
      <c r="E599" s="859"/>
      <c r="F599" s="860"/>
      <c r="G599" s="860"/>
      <c r="H599" s="861"/>
      <c r="I599" s="875">
        <f t="shared" si="8"/>
        <v>5071</v>
      </c>
      <c r="J599" s="1018">
        <v>3993</v>
      </c>
      <c r="K599" s="1018">
        <v>1078</v>
      </c>
      <c r="L599" s="1018"/>
      <c r="M599" s="1018"/>
      <c r="N599" s="1019"/>
      <c r="O599" s="86"/>
    </row>
    <row r="600" spans="1:15" s="1110" customFormat="1" ht="17.25">
      <c r="A600" s="1194">
        <v>593</v>
      </c>
      <c r="B600" s="863"/>
      <c r="C600" s="864"/>
      <c r="D600" s="865" t="s">
        <v>637</v>
      </c>
      <c r="E600" s="866"/>
      <c r="F600" s="867"/>
      <c r="G600" s="867"/>
      <c r="H600" s="868"/>
      <c r="I600" s="550">
        <f t="shared" si="8"/>
        <v>5071</v>
      </c>
      <c r="J600" s="1020">
        <f>SUM(J599)</f>
        <v>3993</v>
      </c>
      <c r="K600" s="1020">
        <f>SUM(K599)</f>
        <v>1078</v>
      </c>
      <c r="L600" s="1020">
        <f>SUM(L599)</f>
        <v>0</v>
      </c>
      <c r="M600" s="1020">
        <f>SUM(M599)</f>
        <v>0</v>
      </c>
      <c r="N600" s="1021">
        <f>SUM(N599)</f>
        <v>0</v>
      </c>
      <c r="O600" s="586"/>
    </row>
    <row r="601" spans="1:14" s="63" customFormat="1" ht="33">
      <c r="A601" s="1194">
        <v>594</v>
      </c>
      <c r="B601" s="70"/>
      <c r="C601" s="71">
        <v>128</v>
      </c>
      <c r="D601" s="72" t="s">
        <v>1186</v>
      </c>
      <c r="E601" s="71" t="s">
        <v>33</v>
      </c>
      <c r="F601" s="48"/>
      <c r="G601" s="48"/>
      <c r="H601" s="73"/>
      <c r="I601" s="550"/>
      <c r="J601" s="74"/>
      <c r="K601" s="74"/>
      <c r="L601" s="74"/>
      <c r="M601" s="74"/>
      <c r="N601" s="75"/>
    </row>
    <row r="602" spans="1:15" s="862" customFormat="1" ht="17.25">
      <c r="A602" s="1194">
        <v>595</v>
      </c>
      <c r="B602" s="858"/>
      <c r="C602" s="87"/>
      <c r="D602" s="80" t="s">
        <v>796</v>
      </c>
      <c r="E602" s="859"/>
      <c r="F602" s="860"/>
      <c r="G602" s="860"/>
      <c r="H602" s="861"/>
      <c r="I602" s="875">
        <f t="shared" si="8"/>
        <v>1000</v>
      </c>
      <c r="J602" s="1018"/>
      <c r="K602" s="1018"/>
      <c r="L602" s="1018">
        <v>1000</v>
      </c>
      <c r="M602" s="1018"/>
      <c r="N602" s="1019"/>
      <c r="O602" s="86"/>
    </row>
    <row r="603" spans="1:15" s="1110" customFormat="1" ht="17.25">
      <c r="A603" s="1194">
        <v>596</v>
      </c>
      <c r="B603" s="863"/>
      <c r="C603" s="864"/>
      <c r="D603" s="865" t="s">
        <v>637</v>
      </c>
      <c r="E603" s="866"/>
      <c r="F603" s="867"/>
      <c r="G603" s="867"/>
      <c r="H603" s="868"/>
      <c r="I603" s="550">
        <f t="shared" si="8"/>
        <v>1000</v>
      </c>
      <c r="J603" s="1020">
        <f>SUM(J602)</f>
        <v>0</v>
      </c>
      <c r="K603" s="1020">
        <f>SUM(K602)</f>
        <v>0</v>
      </c>
      <c r="L603" s="1020">
        <f>SUM(L602)</f>
        <v>1000</v>
      </c>
      <c r="M603" s="1020">
        <f>SUM(M602)</f>
        <v>0</v>
      </c>
      <c r="N603" s="1021">
        <f>SUM(N602)</f>
        <v>0</v>
      </c>
      <c r="O603" s="586"/>
    </row>
    <row r="604" spans="1:15" s="63" customFormat="1" ht="17.25">
      <c r="A604" s="1194">
        <v>597</v>
      </c>
      <c r="B604" s="70"/>
      <c r="C604" s="71">
        <v>129</v>
      </c>
      <c r="D604" s="72" t="s">
        <v>329</v>
      </c>
      <c r="E604" s="71" t="s">
        <v>31</v>
      </c>
      <c r="F604" s="48"/>
      <c r="G604" s="48"/>
      <c r="H604" s="73">
        <v>5398</v>
      </c>
      <c r="I604" s="550"/>
      <c r="J604" s="74"/>
      <c r="K604" s="74"/>
      <c r="L604" s="74"/>
      <c r="M604" s="74"/>
      <c r="N604" s="75"/>
      <c r="O604" s="63">
        <f>SUM(J604:N604)-I604</f>
        <v>0</v>
      </c>
    </row>
    <row r="605" spans="1:15" s="862" customFormat="1" ht="17.25">
      <c r="A605" s="1194">
        <v>598</v>
      </c>
      <c r="B605" s="858"/>
      <c r="C605" s="87"/>
      <c r="D605" s="80" t="s">
        <v>707</v>
      </c>
      <c r="E605" s="859"/>
      <c r="F605" s="860"/>
      <c r="G605" s="860"/>
      <c r="H605" s="861"/>
      <c r="I605" s="875">
        <f>SUM(J605:N605)</f>
        <v>1202</v>
      </c>
      <c r="J605" s="1018"/>
      <c r="K605" s="1018"/>
      <c r="L605" s="1018">
        <v>1202</v>
      </c>
      <c r="M605" s="1018"/>
      <c r="N605" s="1019"/>
      <c r="O605" s="86"/>
    </row>
    <row r="606" spans="1:15" s="1110" customFormat="1" ht="17.25">
      <c r="A606" s="1194">
        <v>599</v>
      </c>
      <c r="B606" s="863"/>
      <c r="C606" s="864"/>
      <c r="D606" s="865" t="s">
        <v>637</v>
      </c>
      <c r="E606" s="866"/>
      <c r="F606" s="867"/>
      <c r="G606" s="867"/>
      <c r="H606" s="868"/>
      <c r="I606" s="550">
        <f>SUM(J606:N606)</f>
        <v>1202</v>
      </c>
      <c r="J606" s="1020">
        <f>SUM(J605)</f>
        <v>0</v>
      </c>
      <c r="K606" s="1020">
        <f>SUM(K605)</f>
        <v>0</v>
      </c>
      <c r="L606" s="1020">
        <f>SUM(L605)</f>
        <v>1202</v>
      </c>
      <c r="M606" s="1020">
        <f>SUM(M605)</f>
        <v>0</v>
      </c>
      <c r="N606" s="1021">
        <f>SUM(N605)</f>
        <v>0</v>
      </c>
      <c r="O606" s="586"/>
    </row>
    <row r="607" spans="1:15" s="63" customFormat="1" ht="17.25">
      <c r="A607" s="1194">
        <v>600</v>
      </c>
      <c r="B607" s="70"/>
      <c r="C607" s="71">
        <v>130</v>
      </c>
      <c r="D607" s="72" t="s">
        <v>133</v>
      </c>
      <c r="E607" s="71" t="s">
        <v>33</v>
      </c>
      <c r="F607" s="48"/>
      <c r="G607" s="48">
        <v>5262</v>
      </c>
      <c r="H607" s="73"/>
      <c r="I607" s="550">
        <f t="shared" si="8"/>
        <v>0</v>
      </c>
      <c r="J607" s="74"/>
      <c r="K607" s="74"/>
      <c r="L607" s="74"/>
      <c r="M607" s="74"/>
      <c r="N607" s="75"/>
      <c r="O607" s="63">
        <f>SUM(J607:N607)-I607</f>
        <v>0</v>
      </c>
    </row>
    <row r="608" spans="1:14" s="63" customFormat="1" ht="17.25">
      <c r="A608" s="1194">
        <v>601</v>
      </c>
      <c r="B608" s="70"/>
      <c r="C608" s="71">
        <v>131</v>
      </c>
      <c r="D608" s="72" t="s">
        <v>827</v>
      </c>
      <c r="E608" s="71" t="s">
        <v>33</v>
      </c>
      <c r="F608" s="48"/>
      <c r="G608" s="48"/>
      <c r="H608" s="73">
        <v>32465</v>
      </c>
      <c r="I608" s="550">
        <f t="shared" si="8"/>
        <v>0</v>
      </c>
      <c r="J608" s="74"/>
      <c r="K608" s="74"/>
      <c r="L608" s="74"/>
      <c r="M608" s="74"/>
      <c r="N608" s="75"/>
    </row>
    <row r="609" spans="1:15" s="63" customFormat="1" ht="17.25">
      <c r="A609" s="1194">
        <v>602</v>
      </c>
      <c r="B609" s="70"/>
      <c r="C609" s="71">
        <v>132</v>
      </c>
      <c r="D609" s="72" t="s">
        <v>326</v>
      </c>
      <c r="E609" s="71" t="s">
        <v>33</v>
      </c>
      <c r="F609" s="48">
        <v>24396</v>
      </c>
      <c r="G609" s="48"/>
      <c r="H609" s="73">
        <v>75</v>
      </c>
      <c r="I609" s="550">
        <f t="shared" si="8"/>
        <v>0</v>
      </c>
      <c r="J609" s="74"/>
      <c r="K609" s="74"/>
      <c r="L609" s="74"/>
      <c r="M609" s="74"/>
      <c r="N609" s="75"/>
      <c r="O609" s="63">
        <f>SUM(J609:N609)-I609</f>
        <v>0</v>
      </c>
    </row>
    <row r="610" spans="1:15" s="56" customFormat="1" ht="17.25">
      <c r="A610" s="1194">
        <v>603</v>
      </c>
      <c r="B610" s="81"/>
      <c r="C610" s="71">
        <v>133</v>
      </c>
      <c r="D610" s="82" t="s">
        <v>826</v>
      </c>
      <c r="E610" s="77" t="s">
        <v>33</v>
      </c>
      <c r="F610" s="46"/>
      <c r="G610" s="46"/>
      <c r="H610" s="83">
        <v>258</v>
      </c>
      <c r="I610" s="550">
        <f t="shared" si="8"/>
        <v>0</v>
      </c>
      <c r="J610" s="1020"/>
      <c r="K610" s="1020"/>
      <c r="L610" s="1020"/>
      <c r="M610" s="1020"/>
      <c r="N610" s="1021"/>
      <c r="O610" s="1110"/>
    </row>
    <row r="611" spans="1:15" s="63" customFormat="1" ht="33">
      <c r="A611" s="1194">
        <v>604</v>
      </c>
      <c r="B611" s="70"/>
      <c r="C611" s="71">
        <v>134</v>
      </c>
      <c r="D611" s="72" t="s">
        <v>321</v>
      </c>
      <c r="E611" s="71" t="s">
        <v>33</v>
      </c>
      <c r="F611" s="48"/>
      <c r="G611" s="48">
        <v>16410</v>
      </c>
      <c r="H611" s="73"/>
      <c r="I611" s="550">
        <f t="shared" si="8"/>
        <v>0</v>
      </c>
      <c r="J611" s="74"/>
      <c r="K611" s="74"/>
      <c r="L611" s="74"/>
      <c r="M611" s="74"/>
      <c r="N611" s="75"/>
      <c r="O611" s="63">
        <f>SUM(J611:N611)-I611</f>
        <v>0</v>
      </c>
    </row>
    <row r="612" spans="1:15" s="63" customFormat="1" ht="33">
      <c r="A612" s="1194">
        <v>605</v>
      </c>
      <c r="B612" s="70"/>
      <c r="C612" s="71">
        <v>135</v>
      </c>
      <c r="D612" s="72" t="s">
        <v>556</v>
      </c>
      <c r="E612" s="71" t="s">
        <v>33</v>
      </c>
      <c r="F612" s="48"/>
      <c r="G612" s="48"/>
      <c r="H612" s="73">
        <v>1100</v>
      </c>
      <c r="I612" s="550">
        <f t="shared" si="8"/>
        <v>0</v>
      </c>
      <c r="J612" s="74"/>
      <c r="K612" s="74"/>
      <c r="L612" s="74"/>
      <c r="M612" s="74"/>
      <c r="N612" s="75"/>
      <c r="O612" s="63">
        <f aca="true" t="shared" si="9" ref="O612:O629">SUM(J612:N612)-I612</f>
        <v>0</v>
      </c>
    </row>
    <row r="613" spans="1:15" s="63" customFormat="1" ht="17.25">
      <c r="A613" s="1194">
        <v>606</v>
      </c>
      <c r="B613" s="70"/>
      <c r="C613" s="71">
        <v>136</v>
      </c>
      <c r="D613" s="72" t="s">
        <v>330</v>
      </c>
      <c r="E613" s="71" t="s">
        <v>33</v>
      </c>
      <c r="F613" s="48"/>
      <c r="G613" s="48"/>
      <c r="H613" s="73">
        <v>1400</v>
      </c>
      <c r="I613" s="550">
        <f t="shared" si="8"/>
        <v>0</v>
      </c>
      <c r="J613" s="74"/>
      <c r="K613" s="74"/>
      <c r="L613" s="74"/>
      <c r="M613" s="74"/>
      <c r="N613" s="75"/>
      <c r="O613" s="63">
        <f t="shared" si="9"/>
        <v>0</v>
      </c>
    </row>
    <row r="614" spans="1:15" s="63" customFormat="1" ht="17.25">
      <c r="A614" s="1194">
        <v>607</v>
      </c>
      <c r="B614" s="70"/>
      <c r="C614" s="71">
        <v>137</v>
      </c>
      <c r="D614" s="72" t="s">
        <v>331</v>
      </c>
      <c r="E614" s="71" t="s">
        <v>33</v>
      </c>
      <c r="F614" s="48"/>
      <c r="G614" s="48"/>
      <c r="H614" s="73">
        <v>1935</v>
      </c>
      <c r="I614" s="550">
        <f t="shared" si="8"/>
        <v>0</v>
      </c>
      <c r="J614" s="74"/>
      <c r="K614" s="74"/>
      <c r="L614" s="74"/>
      <c r="M614" s="74"/>
      <c r="N614" s="75"/>
      <c r="O614" s="63">
        <f t="shared" si="9"/>
        <v>0</v>
      </c>
    </row>
    <row r="615" spans="1:15" s="63" customFormat="1" ht="17.25">
      <c r="A615" s="1194">
        <v>608</v>
      </c>
      <c r="B615" s="70"/>
      <c r="C615" s="71">
        <v>138</v>
      </c>
      <c r="D615" s="72" t="s">
        <v>332</v>
      </c>
      <c r="E615" s="71" t="s">
        <v>33</v>
      </c>
      <c r="F615" s="48"/>
      <c r="G615" s="48"/>
      <c r="H615" s="73">
        <v>150</v>
      </c>
      <c r="I615" s="550">
        <f t="shared" si="8"/>
        <v>0</v>
      </c>
      <c r="J615" s="74"/>
      <c r="K615" s="74"/>
      <c r="L615" s="74"/>
      <c r="M615" s="74"/>
      <c r="N615" s="75"/>
      <c r="O615" s="63">
        <f t="shared" si="9"/>
        <v>0</v>
      </c>
    </row>
    <row r="616" spans="1:15" s="63" customFormat="1" ht="17.25">
      <c r="A616" s="1194">
        <v>609</v>
      </c>
      <c r="B616" s="70"/>
      <c r="C616" s="71">
        <v>139</v>
      </c>
      <c r="D616" s="72" t="s">
        <v>333</v>
      </c>
      <c r="E616" s="71" t="s">
        <v>33</v>
      </c>
      <c r="F616" s="48"/>
      <c r="G616" s="48"/>
      <c r="H616" s="73">
        <v>900</v>
      </c>
      <c r="I616" s="550">
        <f t="shared" si="8"/>
        <v>0</v>
      </c>
      <c r="J616" s="74"/>
      <c r="K616" s="74"/>
      <c r="L616" s="74"/>
      <c r="M616" s="74"/>
      <c r="N616" s="75"/>
      <c r="O616" s="63">
        <f t="shared" si="9"/>
        <v>0</v>
      </c>
    </row>
    <row r="617" spans="1:15" s="63" customFormat="1" ht="17.25">
      <c r="A617" s="1194">
        <v>610</v>
      </c>
      <c r="B617" s="70"/>
      <c r="C617" s="71">
        <v>140</v>
      </c>
      <c r="D617" s="72" t="s">
        <v>566</v>
      </c>
      <c r="E617" s="71" t="s">
        <v>33</v>
      </c>
      <c r="F617" s="48"/>
      <c r="G617" s="48"/>
      <c r="H617" s="73">
        <v>1000</v>
      </c>
      <c r="I617" s="550">
        <f t="shared" si="8"/>
        <v>0</v>
      </c>
      <c r="J617" s="74"/>
      <c r="K617" s="74"/>
      <c r="L617" s="74"/>
      <c r="M617" s="74"/>
      <c r="N617" s="75"/>
      <c r="O617" s="63">
        <f t="shared" si="9"/>
        <v>0</v>
      </c>
    </row>
    <row r="618" spans="1:15" s="63" customFormat="1" ht="17.25">
      <c r="A618" s="1194">
        <v>611</v>
      </c>
      <c r="B618" s="70"/>
      <c r="C618" s="71">
        <v>141</v>
      </c>
      <c r="D618" s="72" t="s">
        <v>334</v>
      </c>
      <c r="E618" s="71" t="s">
        <v>33</v>
      </c>
      <c r="F618" s="48"/>
      <c r="G618" s="48"/>
      <c r="H618" s="73">
        <v>501</v>
      </c>
      <c r="I618" s="550">
        <f t="shared" si="8"/>
        <v>0</v>
      </c>
      <c r="J618" s="74"/>
      <c r="K618" s="74"/>
      <c r="L618" s="74"/>
      <c r="M618" s="74"/>
      <c r="N618" s="75"/>
      <c r="O618" s="63">
        <f t="shared" si="9"/>
        <v>0</v>
      </c>
    </row>
    <row r="619" spans="1:15" s="63" customFormat="1" ht="17.25">
      <c r="A619" s="1194">
        <v>612</v>
      </c>
      <c r="B619" s="70"/>
      <c r="C619" s="71">
        <v>142</v>
      </c>
      <c r="D619" s="72" t="s">
        <v>335</v>
      </c>
      <c r="E619" s="71" t="s">
        <v>33</v>
      </c>
      <c r="F619" s="48"/>
      <c r="G619" s="48"/>
      <c r="H619" s="73">
        <v>600</v>
      </c>
      <c r="I619" s="550">
        <f t="shared" si="8"/>
        <v>0</v>
      </c>
      <c r="J619" s="74"/>
      <c r="K619" s="74"/>
      <c r="L619" s="74"/>
      <c r="M619" s="74"/>
      <c r="N619" s="75"/>
      <c r="O619" s="63">
        <f t="shared" si="9"/>
        <v>0</v>
      </c>
    </row>
    <row r="620" spans="1:15" s="63" customFormat="1" ht="17.25">
      <c r="A620" s="1194">
        <v>613</v>
      </c>
      <c r="B620" s="70"/>
      <c r="C620" s="71">
        <v>143</v>
      </c>
      <c r="D620" s="72" t="s">
        <v>336</v>
      </c>
      <c r="E620" s="71" t="s">
        <v>33</v>
      </c>
      <c r="F620" s="48">
        <v>1559</v>
      </c>
      <c r="G620" s="48"/>
      <c r="H620" s="73"/>
      <c r="I620" s="550">
        <f t="shared" si="8"/>
        <v>0</v>
      </c>
      <c r="J620" s="74"/>
      <c r="K620" s="74"/>
      <c r="L620" s="74"/>
      <c r="M620" s="74"/>
      <c r="N620" s="75"/>
      <c r="O620" s="63">
        <f t="shared" si="9"/>
        <v>0</v>
      </c>
    </row>
    <row r="621" spans="1:15" s="63" customFormat="1" ht="17.25">
      <c r="A621" s="1194">
        <v>614</v>
      </c>
      <c r="B621" s="70"/>
      <c r="C621" s="71">
        <v>144</v>
      </c>
      <c r="D621" s="72" t="s">
        <v>337</v>
      </c>
      <c r="E621" s="71" t="s">
        <v>33</v>
      </c>
      <c r="F621" s="48">
        <v>25</v>
      </c>
      <c r="G621" s="48"/>
      <c r="H621" s="73"/>
      <c r="I621" s="550">
        <f t="shared" si="8"/>
        <v>0</v>
      </c>
      <c r="J621" s="74"/>
      <c r="K621" s="74"/>
      <c r="L621" s="74"/>
      <c r="M621" s="74"/>
      <c r="N621" s="75"/>
      <c r="O621" s="63">
        <f t="shared" si="9"/>
        <v>0</v>
      </c>
    </row>
    <row r="622" spans="1:15" s="63" customFormat="1" ht="17.25">
      <c r="A622" s="1194">
        <v>615</v>
      </c>
      <c r="B622" s="70"/>
      <c r="C622" s="71">
        <v>145</v>
      </c>
      <c r="D622" s="72" t="s">
        <v>338</v>
      </c>
      <c r="E622" s="71" t="s">
        <v>33</v>
      </c>
      <c r="F622" s="48">
        <v>7723</v>
      </c>
      <c r="G622" s="48"/>
      <c r="H622" s="73"/>
      <c r="I622" s="550">
        <f t="shared" si="8"/>
        <v>0</v>
      </c>
      <c r="J622" s="74"/>
      <c r="K622" s="74"/>
      <c r="L622" s="74"/>
      <c r="M622" s="74"/>
      <c r="N622" s="75"/>
      <c r="O622" s="63">
        <f t="shared" si="9"/>
        <v>0</v>
      </c>
    </row>
    <row r="623" spans="1:15" s="63" customFormat="1" ht="17.25">
      <c r="A623" s="1194">
        <v>616</v>
      </c>
      <c r="B623" s="70"/>
      <c r="C623" s="71">
        <v>146</v>
      </c>
      <c r="D623" s="72" t="s">
        <v>339</v>
      </c>
      <c r="E623" s="71" t="s">
        <v>248</v>
      </c>
      <c r="F623" s="48">
        <v>165</v>
      </c>
      <c r="G623" s="48"/>
      <c r="H623" s="73"/>
      <c r="I623" s="550">
        <f t="shared" si="8"/>
        <v>0</v>
      </c>
      <c r="J623" s="74"/>
      <c r="K623" s="74"/>
      <c r="L623" s="74"/>
      <c r="M623" s="74"/>
      <c r="N623" s="75"/>
      <c r="O623" s="63">
        <f t="shared" si="9"/>
        <v>0</v>
      </c>
    </row>
    <row r="624" spans="1:15" s="63" customFormat="1" ht="17.25">
      <c r="A624" s="1194">
        <v>617</v>
      </c>
      <c r="B624" s="70"/>
      <c r="C624" s="71">
        <v>147</v>
      </c>
      <c r="D624" s="72" t="s">
        <v>340</v>
      </c>
      <c r="E624" s="71" t="s">
        <v>248</v>
      </c>
      <c r="F624" s="48">
        <v>4801</v>
      </c>
      <c r="G624" s="48"/>
      <c r="H624" s="73"/>
      <c r="I624" s="550">
        <f t="shared" si="8"/>
        <v>0</v>
      </c>
      <c r="J624" s="74"/>
      <c r="K624" s="74"/>
      <c r="L624" s="74"/>
      <c r="M624" s="74"/>
      <c r="N624" s="75"/>
      <c r="O624" s="63">
        <f t="shared" si="9"/>
        <v>0</v>
      </c>
    </row>
    <row r="625" spans="1:15" s="63" customFormat="1" ht="17.25">
      <c r="A625" s="1194">
        <v>618</v>
      </c>
      <c r="B625" s="70"/>
      <c r="C625" s="71">
        <v>148</v>
      </c>
      <c r="D625" s="72" t="s">
        <v>341</v>
      </c>
      <c r="E625" s="71" t="s">
        <v>248</v>
      </c>
      <c r="F625" s="48">
        <v>369</v>
      </c>
      <c r="G625" s="48"/>
      <c r="H625" s="73"/>
      <c r="I625" s="550">
        <f t="shared" si="8"/>
        <v>0</v>
      </c>
      <c r="J625" s="74"/>
      <c r="K625" s="74"/>
      <c r="L625" s="74"/>
      <c r="M625" s="74"/>
      <c r="N625" s="75"/>
      <c r="O625" s="63">
        <f t="shared" si="9"/>
        <v>0</v>
      </c>
    </row>
    <row r="626" spans="1:15" s="63" customFormat="1" ht="17.25">
      <c r="A626" s="1194">
        <v>619</v>
      </c>
      <c r="B626" s="70"/>
      <c r="C626" s="71">
        <v>149</v>
      </c>
      <c r="D626" s="72" t="s">
        <v>342</v>
      </c>
      <c r="E626" s="71" t="s">
        <v>31</v>
      </c>
      <c r="F626" s="48">
        <v>63</v>
      </c>
      <c r="G626" s="48"/>
      <c r="H626" s="73"/>
      <c r="I626" s="550">
        <f t="shared" si="8"/>
        <v>0</v>
      </c>
      <c r="J626" s="74"/>
      <c r="K626" s="74"/>
      <c r="L626" s="74"/>
      <c r="M626" s="74"/>
      <c r="N626" s="75"/>
      <c r="O626" s="63">
        <f t="shared" si="9"/>
        <v>0</v>
      </c>
    </row>
    <row r="627" spans="1:15" s="63" customFormat="1" ht="17.25">
      <c r="A627" s="1194">
        <v>620</v>
      </c>
      <c r="B627" s="70"/>
      <c r="C627" s="71">
        <v>150</v>
      </c>
      <c r="D627" s="72" t="s">
        <v>343</v>
      </c>
      <c r="E627" s="71" t="s">
        <v>31</v>
      </c>
      <c r="F627" s="48">
        <v>59</v>
      </c>
      <c r="G627" s="48"/>
      <c r="H627" s="73"/>
      <c r="I627" s="550">
        <f t="shared" si="8"/>
        <v>0</v>
      </c>
      <c r="J627" s="74"/>
      <c r="K627" s="74"/>
      <c r="L627" s="74"/>
      <c r="M627" s="74"/>
      <c r="N627" s="75"/>
      <c r="O627" s="63">
        <f t="shared" si="9"/>
        <v>0</v>
      </c>
    </row>
    <row r="628" spans="1:15" s="63" customFormat="1" ht="17.25">
      <c r="A628" s="1194">
        <v>621</v>
      </c>
      <c r="B628" s="70"/>
      <c r="C628" s="71">
        <v>151</v>
      </c>
      <c r="D628" s="72" t="s">
        <v>344</v>
      </c>
      <c r="E628" s="71" t="s">
        <v>31</v>
      </c>
      <c r="F628" s="48">
        <v>17515</v>
      </c>
      <c r="G628" s="48"/>
      <c r="H628" s="73"/>
      <c r="I628" s="550">
        <f t="shared" si="8"/>
        <v>0</v>
      </c>
      <c r="J628" s="74"/>
      <c r="K628" s="74"/>
      <c r="L628" s="74"/>
      <c r="M628" s="74"/>
      <c r="N628" s="75"/>
      <c r="O628" s="63">
        <f t="shared" si="9"/>
        <v>0</v>
      </c>
    </row>
    <row r="629" spans="1:15" s="63" customFormat="1" ht="33.75" thickBot="1">
      <c r="A629" s="1219">
        <v>622</v>
      </c>
      <c r="B629" s="89"/>
      <c r="C629" s="1197">
        <v>152</v>
      </c>
      <c r="D629" s="90" t="s">
        <v>345</v>
      </c>
      <c r="E629" s="91" t="s">
        <v>31</v>
      </c>
      <c r="F629" s="92">
        <v>4064</v>
      </c>
      <c r="G629" s="92"/>
      <c r="H629" s="93"/>
      <c r="I629" s="1022">
        <f t="shared" si="8"/>
        <v>0</v>
      </c>
      <c r="J629" s="1023"/>
      <c r="K629" s="1023"/>
      <c r="L629" s="1023"/>
      <c r="M629" s="1023"/>
      <c r="N629" s="1024"/>
      <c r="O629" s="63">
        <f t="shared" si="9"/>
        <v>0</v>
      </c>
    </row>
    <row r="630" spans="1:15" s="94" customFormat="1" ht="17.25">
      <c r="A630" s="1194">
        <v>623</v>
      </c>
      <c r="B630" s="578"/>
      <c r="C630" s="1201"/>
      <c r="D630" s="878" t="s">
        <v>19</v>
      </c>
      <c r="E630" s="879"/>
      <c r="F630" s="880">
        <f>SUM(F8:F629)-F38-F184-F524-F109</f>
        <v>3823797</v>
      </c>
      <c r="G630" s="880">
        <f>SUM(G8:G629)-G38-G184-G524-G109</f>
        <v>4181144</v>
      </c>
      <c r="H630" s="880">
        <f>SUM(H8:H629)-H38-H184-H524-H109</f>
        <v>4362635</v>
      </c>
      <c r="I630" s="1013"/>
      <c r="J630" s="1014"/>
      <c r="K630" s="1014"/>
      <c r="L630" s="1014"/>
      <c r="M630" s="1014"/>
      <c r="N630" s="1015"/>
      <c r="O630" s="63">
        <f>SUM(J631:N631)-I631</f>
        <v>0</v>
      </c>
    </row>
    <row r="631" spans="1:15" s="94" customFormat="1" ht="17.25">
      <c r="A631" s="1194">
        <v>624</v>
      </c>
      <c r="B631" s="70"/>
      <c r="C631" s="1197"/>
      <c r="D631" s="72" t="s">
        <v>635</v>
      </c>
      <c r="E631" s="864"/>
      <c r="F631" s="869"/>
      <c r="G631" s="869"/>
      <c r="H631" s="870"/>
      <c r="I631" s="1032">
        <f>SUM(J631:N631)</f>
        <v>4180802</v>
      </c>
      <c r="J631" s="48">
        <f>#VALUE!</f>
        <v>36038</v>
      </c>
      <c r="K631" s="48">
        <f>#VALUE!</f>
        <v>9202</v>
      </c>
      <c r="L631" s="48">
        <f>#VALUE!</f>
        <v>2797553</v>
      </c>
      <c r="M631" s="48">
        <f>#VALUE!</f>
        <v>122600</v>
      </c>
      <c r="N631" s="48">
        <f>#VALUE!</f>
        <v>1215409</v>
      </c>
      <c r="O631" s="63"/>
    </row>
    <row r="632" spans="1:15" s="94" customFormat="1" ht="17.25">
      <c r="A632" s="1194">
        <v>625</v>
      </c>
      <c r="B632" s="70"/>
      <c r="C632" s="1197"/>
      <c r="D632" s="80" t="s">
        <v>636</v>
      </c>
      <c r="E632" s="864"/>
      <c r="F632" s="869"/>
      <c r="G632" s="869"/>
      <c r="H632" s="870"/>
      <c r="I632" s="1218">
        <f>SUM(J632:N632)</f>
        <v>847931</v>
      </c>
      <c r="J632" s="88">
        <f>SUM(J578+J574+J570+J566+J562+J559+J556+J552+J549+J526+J522+J518+J514+J510+J506+J502+J498+J494+J490+J486+J482+J478+J473+J469+J465+J461+J456+J452+J447+J443+J439+J435+J431+J427+J423+J419+J415+J411+J407+J403+J399+J395+J391+J387+J383+J379+J375+J371+J367+J363+J359+J355+J351+J347+J343+J339+J335+J331+J327+J320+J316+J312+J308+J304+J300+J296+J292+J285+J278+J274+J270+J266+J262+J258+J254+J250+J246+J242+J238+J234+J230+J226+J222+J218+J214+J210+J186+J181+J177+J173+J169+J165+J161+J157+J150+J146+J142+J135+J111+J107+J103+J99+J95+J91+J80+J76+J72+J68+J40+J36+J32+J26+J22+J18+J14+J10)+J279+J280+J286+J287+J83+J82+J81+J182+J584+J581+J84+J87+J153+J138+J605+J457+J448+J27+J474+J28+J288+J281+J602+J599+J593+J587+J596+J590+J323</f>
        <v>8752</v>
      </c>
      <c r="K632" s="88">
        <f>SUM(K578+K574+K570+K566+K562+K559+K556+K552+K549+K526+K522+K518+K514+K510+K506+K502+K498+K494+K490+K486+K482+K478+K473+K469+K465+K461+K456+K452+K447+K443+K439+K435+K431+K427+K423+K419+K415+K411+K407+K403+K399+K395+K391+K387+K383+K379+K375+K371+K367+K363+K359+K355+K351+K347+K343+K339+K335+K331+K327+K320+K316+K312+K308+K304+K300+K296+K292+K285+K278+K274+K270+K266+K262+K258+K254+K250+K246+K242+K238+K234+K230+K226+K222+K218+K214+K210+K186+K181+K177+K173+K169+K165+K161+K157+K150+K146+K142+K135+K111+K107+K103+K99+K95+K91+K80+K76+K72+K68+K40+K36+K32+K26+K22+K18+K14+K10)+K279+K280+K286+K287+K83+K82+K81+K182+K584+K581+K84+K87+K153+K138+K605+K457+K448+K27+K474+K28+K288+K281+K602+K599+K593+K587+K596+K590+K323</f>
        <v>2136</v>
      </c>
      <c r="L632" s="88">
        <f>SUM(L578+L574+L570+L566+L562+L559+L556+L552+L549+L526+L522+L518+L514+L510+L506+L502+L498+L494+L490+L486+L482+L478+L473+L469+L465+L461+L456+L452+L447+L443+L439+L435+L431+L427+L423+L419+L415+L411+L407+L403+L399+L395+L391+L387+L383+L379+L375+L371+L367+L363+L359+L355+L351+L347+L343+L339+L335+L331+L327+L320+L316+L312+L308+L304+L300+L296+L292+L285+L278+L274+L270+L266+L262+L258+L254+L250+L246+L242+L238+L234+L230+L226+L222+L218+L214+L210+L186+L181+L177+L173+L169+L165+L161+L157+L150+L146+L142+L135+L111+L107+L103+L99+L95+L91+L80+L76+L72+L68+L40+L36+L32+L26+L22+L18+L14+L10)+L279+L280+L286+L287+L83+L82+L81+L182+L584+L581+L84+L87+L153+L138+L605+L457+L448+L27+L474+L28+L288+L281+L602+L599+L593+L587+L596+L590+L323</f>
        <v>415596</v>
      </c>
      <c r="M632" s="88">
        <f>SUM(M578+M574+M570+M566+M562+M559+M556+M552+M549+M526+M522+M518+M514+M510+M506+M502+M498+M494+M490+M486+M482+M478+M473+M469+M465+M461+M456+M452+M447+M443+M439+M435+M431+M427+M423+M419+M415+M411+M407+M403+M399+M395+M391+M387+M383+M379+M375+M371+M367+M363+M359+M355+M351+M347+M343+M339+M335+M331+M327+M320+M316+M312+M308+M304+M300+M296+M292+M285+M278+M274+M270+M266+M262+M258+M254+M250+M246+M242+M238+M234+M230+M226+M222+M218+M214+M210+M186+M181+M177+M173+M169+M165+M161+M157+M150+M146+M142+M135+M111+M107+M103+M99+M95+M91+M80+M76+M72+M68+M40+M36+M32+M26+M22+M18+M14+M10)+M279+M280+M286+M287+M83+M82+M81+M182+M584+M581+M84+M87+M153+M138+M605+M457+M448+M27+M474+M28+M288+M281+M602+M599+M593+M587+M596+M590+M323</f>
        <v>0</v>
      </c>
      <c r="N632" s="88">
        <f>SUM(N578+N574+N570+N566+N562+N559+N556+N552+N549+N526+N522+N518+N514+N510+N506+N502+N498+N494+N490+N486+N482+N478+N473+N469+N465+N461+N456+N452+N447+N443+N439+N435+N431+N427+N423+N419+N415+N411+N407+N403+N399+N395+N391+N387+N383+N379+N375+N371+N367+N363+N359+N355+N351+N347+N343+N339+N335+N331+N327+N320+N316+N312+N308+N304+N300+N296+N292+N285+N278+N274+N270+N266+N262+N258+N254+N250+N246+N242+N238+N234+N230+N226+N222+N218+N214+N210+N186+N181+N177+N173+N169+N165+N161+N157+N150+N146+N142+N135+N111+N107+N103+N99+N95+N91+N80+N76+N72+N68+N40+N36+N32+N26+N22+N18+N14+N10)+N279+N280+N286+N287+N83+N82+N81+N182+N584+N581+N84+N87+N153+N138+N605+N457+N448+N27+N474+N28+N288+N281+N602+N599+N593+N587+N596+N590+N323</f>
        <v>421447</v>
      </c>
      <c r="O632" s="63"/>
    </row>
    <row r="633" spans="1:15" s="94" customFormat="1" ht="18" thickBot="1">
      <c r="A633" s="1194">
        <v>626</v>
      </c>
      <c r="B633" s="881"/>
      <c r="C633" s="1202"/>
      <c r="D633" s="882" t="s">
        <v>637</v>
      </c>
      <c r="E633" s="883"/>
      <c r="F633" s="884"/>
      <c r="G633" s="884"/>
      <c r="H633" s="885"/>
      <c r="I633" s="886">
        <f>SUM(J633:N633)</f>
        <v>5028733</v>
      </c>
      <c r="J633" s="884">
        <f>SUM(J631:J632)</f>
        <v>44790</v>
      </c>
      <c r="K633" s="884">
        <f>SUM(K631:K632)</f>
        <v>11338</v>
      </c>
      <c r="L633" s="884">
        <f>SUM(L631:L632)</f>
        <v>3213149</v>
      </c>
      <c r="M633" s="884">
        <f>SUM(M631:M632)</f>
        <v>122600</v>
      </c>
      <c r="N633" s="887">
        <f>SUM(N631:N632)</f>
        <v>1636856</v>
      </c>
      <c r="O633" s="63"/>
    </row>
    <row r="634" spans="1:14" s="500" customFormat="1" ht="15">
      <c r="A634" s="1194">
        <v>627</v>
      </c>
      <c r="B634" s="993"/>
      <c r="C634" s="994"/>
      <c r="D634" s="995" t="s">
        <v>346</v>
      </c>
      <c r="E634" s="994"/>
      <c r="F634" s="996">
        <f>SUM(F8:F16,F163:F171,F232:F252,F264:F290,F306,F345:F373,F433:F476,F484:F508,F524,F604,F626:F629)</f>
        <v>2575522</v>
      </c>
      <c r="G634" s="996">
        <f>SUM(G8:G16,G163:G171,G232:G252,G264:G290,G306,G345:G373,G433:G476,G484:G508,G524,G604,G626:G629)</f>
        <v>2870429</v>
      </c>
      <c r="H634" s="1002">
        <f>SUM(H8:H16,H163:H171,H232:H252,H264:H290,H306,H345:H373,H433:H476,H484:H508,H524,H604,H626:H629)</f>
        <v>3088342</v>
      </c>
      <c r="I634" s="1006"/>
      <c r="J634" s="997"/>
      <c r="K634" s="997"/>
      <c r="L634" s="997"/>
      <c r="M634" s="997"/>
      <c r="N634" s="998"/>
    </row>
    <row r="635" spans="1:14" s="500" customFormat="1" ht="15">
      <c r="A635" s="1194">
        <v>628</v>
      </c>
      <c r="B635" s="501"/>
      <c r="C635" s="502"/>
      <c r="D635" s="1051" t="s">
        <v>635</v>
      </c>
      <c r="E635" s="502"/>
      <c r="F635" s="504"/>
      <c r="G635" s="504"/>
      <c r="H635" s="1003"/>
      <c r="I635" s="1007">
        <f>SUM(J635:N635)</f>
        <v>3005084</v>
      </c>
      <c r="J635" s="505">
        <f>#VALUE!</f>
        <v>14489</v>
      </c>
      <c r="K635" s="505">
        <f>#VALUE!</f>
        <v>2020</v>
      </c>
      <c r="L635" s="505">
        <f>#VALUE!</f>
        <v>2172033</v>
      </c>
      <c r="M635" s="505">
        <f>#VALUE!</f>
        <v>37460</v>
      </c>
      <c r="N635" s="505">
        <f>#VALUE!</f>
        <v>779082</v>
      </c>
    </row>
    <row r="636" spans="1:14" s="989" customFormat="1" ht="15">
      <c r="A636" s="1194">
        <v>629</v>
      </c>
      <c r="B636" s="986"/>
      <c r="C636" s="987"/>
      <c r="D636" s="1067" t="s">
        <v>636</v>
      </c>
      <c r="E636" s="987"/>
      <c r="F636" s="985"/>
      <c r="G636" s="985"/>
      <c r="H636" s="1004"/>
      <c r="I636" s="1008">
        <f>SUM(J636:N636)</f>
        <v>558123</v>
      </c>
      <c r="J636" s="988">
        <f>SUM(J526+J510+J506+J502+J498+J494+J490+J486+J478+J473+J469+J465+J461+J456+J452+J447+J443+J439+J435+J375+J371+J367+J363+J359+J355+J351+J347+J308+J292+J285+J278+J274+J270+J266+J254+J250+J246+J242+J238+J234+J173+J169+J165+J18+J14+J10)+J287+J286+J280+J279+J605+J474+J457+J448+J288+J281+J323</f>
        <v>659</v>
      </c>
      <c r="K636" s="988">
        <f>SUM(K526+K510+K506+K502+K498+K494+K490+K486+K478+K473+K469+K465+K461+K456+K452+K447+K443+K439+K435+K375+K371+K367+K363+K359+K355+K351+K347+K308+K292+K285+K278+K274+K270+K266+K254+K250+K246+K242+K238+K234+K173+K169+K165+K18+K14+K10)+K287+K286+K280+K279+K605+K474+K457+K448+K288+K281+K323</f>
        <v>0</v>
      </c>
      <c r="L636" s="988">
        <f>SUM(L526+L510+L506+L502+L498+L494+L490+L486+L478+L473+L469+L465+L461+L456+L452+L447+L443+L439+L435+L375+L371+L367+L363+L359+L355+L351+L347+L308+L292+L285+L278+L274+L270+L266+L254+L250+L246+L242+L238+L234+L173+L169+L165+L18+L14+L10)+L287+L286+L280+L279+L605+L474+L457+L448+L288+L281+L323</f>
        <v>178764</v>
      </c>
      <c r="M636" s="988">
        <f>SUM(M526+M510+M506+M502+M498+M494+M490+M486+M478+M473+M469+M465+M461+M456+M452+M447+M443+M439+M435+M375+M371+M367+M363+M359+M355+M351+M347+M308+M292+M285+M278+M274+M270+M266+M254+M250+M246+M242+M238+M234+M173+M169+M165+M18+M14+M10)+M287+M286+M280+M279+M605+M474+M457+M448+M288+M281+M323</f>
        <v>0</v>
      </c>
      <c r="N636" s="988">
        <f>SUM(N526+N510+N506+N502+N498+N494+N490+N486+N478+N473+N469+N465+N461+N456+N452+N447+N443+N439+N435+N375+N371+N367+N363+N359+N355+N351+N347+N308+N292+N285+N278+N274+N270+N266+N254+N250+N246+N242+N238+N234+N173+N169+N165+N18+N14+N10)+N287+N286+N280+N279+N605+N474+N457+N448+N288+N281+N323</f>
        <v>378700</v>
      </c>
    </row>
    <row r="637" spans="1:14" s="500" customFormat="1" ht="15">
      <c r="A637" s="1194">
        <v>630</v>
      </c>
      <c r="B637" s="501"/>
      <c r="C637" s="502"/>
      <c r="D637" s="1076" t="s">
        <v>637</v>
      </c>
      <c r="E637" s="502"/>
      <c r="F637" s="504"/>
      <c r="G637" s="504"/>
      <c r="H637" s="1003"/>
      <c r="I637" s="1009">
        <f>SUM(J637:N637)</f>
        <v>3563207</v>
      </c>
      <c r="J637" s="991">
        <f>SUM(J635:J636)</f>
        <v>15148</v>
      </c>
      <c r="K637" s="991">
        <f>SUM(K635:K636)</f>
        <v>2020</v>
      </c>
      <c r="L637" s="991">
        <f>SUM(L635:L636)</f>
        <v>2350797</v>
      </c>
      <c r="M637" s="991">
        <f>SUM(M635:M636)</f>
        <v>37460</v>
      </c>
      <c r="N637" s="999">
        <f>SUM(N635:N636)</f>
        <v>1157782</v>
      </c>
    </row>
    <row r="638" spans="1:14" s="500" customFormat="1" ht="15">
      <c r="A638" s="1194">
        <v>631</v>
      </c>
      <c r="B638" s="501"/>
      <c r="C638" s="502"/>
      <c r="D638" s="503" t="s">
        <v>347</v>
      </c>
      <c r="E638" s="502"/>
      <c r="F638" s="504">
        <f>SUM(F20:F38,F66:F109,F133:F159,F175:F184,F256:F260,F294:F302,F310:F341,F377:F409,F413:F429,F480,F512:F520,F548:F583,F612:F622,)</f>
        <v>980914</v>
      </c>
      <c r="G638" s="504">
        <f>SUM(G20:G38,G66:G109,G133:G159,G175:G184,G256:G260,G294:G302,G310:G341,G377:G409,G413:G429,G480,G512:G520,G548:G583,G612:G622,)</f>
        <v>1038194</v>
      </c>
      <c r="H638" s="1003">
        <f>SUM(H20:H38,H66:H109,H133:H159,H175:H184,H256:H260,H294:H302,H310:H341,H377:H409,H413:H429,H480,H512:H520,H548:H583,H612:H622,)</f>
        <v>998027</v>
      </c>
      <c r="I638" s="1009"/>
      <c r="J638" s="505"/>
      <c r="K638" s="505"/>
      <c r="L638" s="505"/>
      <c r="M638" s="505"/>
      <c r="N638" s="506"/>
    </row>
    <row r="639" spans="1:14" s="500" customFormat="1" ht="15">
      <c r="A639" s="1194">
        <v>632</v>
      </c>
      <c r="B639" s="501"/>
      <c r="C639" s="502"/>
      <c r="D639" s="1051" t="s">
        <v>635</v>
      </c>
      <c r="E639" s="502"/>
      <c r="F639" s="504"/>
      <c r="G639" s="504"/>
      <c r="H639" s="1003"/>
      <c r="I639" s="1007">
        <f aca="true" t="shared" si="10" ref="I639:I645">SUM(J639:N639)</f>
        <v>1096078</v>
      </c>
      <c r="J639" s="505">
        <f>#VALUE!</f>
        <v>21549</v>
      </c>
      <c r="K639" s="505">
        <f>#VALUE!</f>
        <v>7182</v>
      </c>
      <c r="L639" s="505">
        <f>#VALUE!</f>
        <v>625520</v>
      </c>
      <c r="M639" s="505">
        <f>#VALUE!</f>
        <v>5500</v>
      </c>
      <c r="N639" s="505">
        <f>#VALUE!</f>
        <v>436327</v>
      </c>
    </row>
    <row r="640" spans="1:14" s="500" customFormat="1" ht="15">
      <c r="A640" s="1194">
        <v>633</v>
      </c>
      <c r="B640" s="501"/>
      <c r="C640" s="502"/>
      <c r="D640" s="1067" t="s">
        <v>636</v>
      </c>
      <c r="E640" s="502"/>
      <c r="F640" s="504"/>
      <c r="G640" s="504"/>
      <c r="H640" s="1003"/>
      <c r="I640" s="1010">
        <f>SUM(J640:N640)</f>
        <v>289808</v>
      </c>
      <c r="J640" s="985">
        <f>SUM(J578+J574+J570+J566+J562+J559+J556+J552+J549+J522+J518+J514+J482+J431+J427+J423+J419+J415+J411+J407+J403+J399+J395+J391+J387+J383+J379+J339+J335+J331+J327+J320+J316+J312+J304+J300+J296+J262+J258+J186+J181+J177+J161+J157+J150+J146+J142+J135+J111+J107+J103+J99+J95+J91+J80+J76+J72+J68+J40+J36+J32+J26+J22)+J83+J82+J81+J182+J584+J581+J84+J87+J153+J138+J27+J28+J602+J599+J593+J587+J596+J590</f>
        <v>8093</v>
      </c>
      <c r="K640" s="985">
        <f>SUM(K578+K574+K570+K566+K562+K559+K556+K552+K549+K522+K518+K514+K482+K431+K427+K423+K419+K415+K411+K407+K403+K399+K395+K391+K387+K383+K379+K339+K335+K331+K327+K320+K316+K312+K304+K300+K296+K262+K258+K186+K181+K177+K161+K157+K150+K146+K142+K135+K111+K107+K103+K99+K95+K91+K80+K76+K72+K68+K40+K36+K32+K26+K22)+K83+K82+K81+K182+K584+K581+K84+K87+K153+K138+K27+K28+K602+K599+K593+K587+K596+K590</f>
        <v>2136</v>
      </c>
      <c r="L640" s="985">
        <f>SUM(L578+L574+L570+L566+L562+L559+L556+L552+L549+L522+L518+L514+L482+L431+L427+L423+L419+L415+L411+L407+L403+L399+L395+L391+L387+L383+L379+L339+L335+L331+L327+L320+L316+L312+L304+L300+L296+L262+L258+L186+L181+L177+L161+L157+L150+L146+L142+L135+L111+L107+L103+L99+L95+L91+L80+L76+L72+L68+L40+L36+L32+L26+L22)+L83+L82+L81+L182+L584+L581+L84+L87+L153+L138+L27+L28+L602+L599+L593+L587+L596+L590</f>
        <v>236832</v>
      </c>
      <c r="M640" s="985">
        <f>SUM(M578+M574+M570+M566+M562+M559+M556+M552+M549+M522+M518+M514+M482+M431+M427+M423+M419+M415+M411+M407+M403+M399+M395+M391+M387+M383+M379+M339+M335+M331+M327+M320+M316+M312+M304+M300+M296+M262+M258+M186+M181+M177+M161+M157+M150+M146+M142+M135+M111+M107+M103+M99+M95+M91+M80+M76+M72+M68+M40+M36+M32+M26+M22)+M83+M82+M81+M182+M584+M581+M84+M87+M153+M138+M27+M28+M602+M599+M593+M587+M596+M590</f>
        <v>0</v>
      </c>
      <c r="N640" s="985">
        <f>SUM(N578+N574+N570+N566+N562+N559+N556+N552+N549+N522+N518+N514+N482+N431+N427+N423+N419+N415+N411+N407+N403+N399+N395+N391+N387+N383+N379+N339+N335+N331+N327+N320+N316+N312+N304+N300+N296+N262+N258+N186+N181+N177+N161+N157+N150+N146+N142+N135+N111+N107+N103+N99+N95+N91+N80+N76+N72+N68+N40+N36+N32+N26+N22)+N83+N82+N81+N182+N584+N581+N84+N87+N153+N138+N27+N28+N602+N599+N593+N587+N596+N590</f>
        <v>42747</v>
      </c>
    </row>
    <row r="641" spans="1:14" s="500" customFormat="1" ht="15">
      <c r="A641" s="1194">
        <v>634</v>
      </c>
      <c r="B641" s="501"/>
      <c r="C641" s="502"/>
      <c r="D641" s="1076" t="s">
        <v>637</v>
      </c>
      <c r="E641" s="502"/>
      <c r="F641" s="504"/>
      <c r="G641" s="504"/>
      <c r="H641" s="1003"/>
      <c r="I641" s="1009">
        <f t="shared" si="10"/>
        <v>1385886</v>
      </c>
      <c r="J641" s="991">
        <f>SUM(J639:J640)</f>
        <v>29642</v>
      </c>
      <c r="K641" s="991">
        <f>SUM(K639:K640)</f>
        <v>9318</v>
      </c>
      <c r="L641" s="991">
        <f>SUM(L639:L640)</f>
        <v>862352</v>
      </c>
      <c r="M641" s="991">
        <f>SUM(M639:M640)</f>
        <v>5500</v>
      </c>
      <c r="N641" s="999">
        <f>SUM(N639:N640)</f>
        <v>479074</v>
      </c>
    </row>
    <row r="642" spans="1:14" s="500" customFormat="1" ht="15">
      <c r="A642" s="1194">
        <v>635</v>
      </c>
      <c r="B642" s="501"/>
      <c r="C642" s="502"/>
      <c r="D642" s="503" t="s">
        <v>348</v>
      </c>
      <c r="E642" s="502"/>
      <c r="F642" s="504">
        <f>SUM(F208:F228,F623:F625)</f>
        <v>239504</v>
      </c>
      <c r="G642" s="504">
        <f>SUM(G208:G228,G623:G625)</f>
        <v>243900</v>
      </c>
      <c r="H642" s="1003">
        <f>SUM(H208:H228,H623:H625)</f>
        <v>170127</v>
      </c>
      <c r="I642" s="1009"/>
      <c r="J642" s="505"/>
      <c r="K642" s="505"/>
      <c r="L642" s="505"/>
      <c r="M642" s="505"/>
      <c r="N642" s="506"/>
    </row>
    <row r="643" spans="1:14" s="500" customFormat="1" ht="15">
      <c r="A643" s="1194">
        <v>636</v>
      </c>
      <c r="B643" s="501"/>
      <c r="C643" s="502"/>
      <c r="D643" s="1051" t="s">
        <v>635</v>
      </c>
      <c r="E643" s="502"/>
      <c r="F643" s="504"/>
      <c r="G643" s="504"/>
      <c r="H643" s="1003"/>
      <c r="I643" s="1007">
        <f t="shared" si="10"/>
        <v>79640</v>
      </c>
      <c r="J643" s="505">
        <f>SUM(J623:J625,J229,J225,J221,J217,J213,J209)</f>
        <v>0</v>
      </c>
      <c r="K643" s="505">
        <f>SUM(K623:K625,K229,K225,K221,K217,K213,K209)</f>
        <v>0</v>
      </c>
      <c r="L643" s="505">
        <f>SUM(L623:L625,L229,L225,L221,L217,L213,L209)</f>
        <v>0</v>
      </c>
      <c r="M643" s="505">
        <f>SUM(M623:M625,M229,M225,M221,M217,M213,M209)</f>
        <v>79640</v>
      </c>
      <c r="N643" s="506">
        <f>SUM(N623:N625,N229,N225,N221,N217,N213,N209)</f>
        <v>0</v>
      </c>
    </row>
    <row r="644" spans="1:14" s="989" customFormat="1" ht="15">
      <c r="A644" s="1194">
        <v>637</v>
      </c>
      <c r="B644" s="986"/>
      <c r="C644" s="987"/>
      <c r="D644" s="1067" t="s">
        <v>636</v>
      </c>
      <c r="E644" s="987"/>
      <c r="F644" s="985"/>
      <c r="G644" s="985"/>
      <c r="H644" s="1004"/>
      <c r="I644" s="1011">
        <f>SUM(J644:N644)</f>
        <v>0</v>
      </c>
      <c r="J644" s="990">
        <f>SUM(J230+J226+J222+J218+J214+J210)</f>
        <v>0</v>
      </c>
      <c r="K644" s="990">
        <f>SUM(K230+K226+K222+K218+K214+K210)</f>
        <v>0</v>
      </c>
      <c r="L644" s="990">
        <f>SUM(L230+L226+L222+L218+L214+L210)</f>
        <v>0</v>
      </c>
      <c r="M644" s="990">
        <f>SUM(M230+M226+M222+M218+M214+M210)</f>
        <v>0</v>
      </c>
      <c r="N644" s="1000">
        <f>SUM(N230+N226+N222+N218+N214+N210)</f>
        <v>0</v>
      </c>
    </row>
    <row r="645" spans="1:14" s="500" customFormat="1" ht="15.75" thickBot="1">
      <c r="A645" s="1194">
        <v>638</v>
      </c>
      <c r="B645" s="507"/>
      <c r="C645" s="508"/>
      <c r="D645" s="1214" t="s">
        <v>637</v>
      </c>
      <c r="E645" s="508"/>
      <c r="F645" s="509"/>
      <c r="G645" s="509"/>
      <c r="H645" s="1005"/>
      <c r="I645" s="1012">
        <f t="shared" si="10"/>
        <v>79640</v>
      </c>
      <c r="J645" s="992">
        <f>SUM(J643:J644)</f>
        <v>0</v>
      </c>
      <c r="K645" s="992">
        <f>SUM(K643:K644)</f>
        <v>0</v>
      </c>
      <c r="L645" s="992">
        <f>SUM(L643:L644)</f>
        <v>0</v>
      </c>
      <c r="M645" s="992">
        <f>SUM(M643:M644)</f>
        <v>79640</v>
      </c>
      <c r="N645" s="1001">
        <f>SUM(N643:N644)</f>
        <v>0</v>
      </c>
    </row>
    <row r="646" spans="1:14" s="1217" customFormat="1" ht="13.5">
      <c r="A646" s="1203"/>
      <c r="B646" s="1443" t="s">
        <v>126</v>
      </c>
      <c r="C646" s="1443"/>
      <c r="D646" s="1443"/>
      <c r="E646" s="1443"/>
      <c r="F646" s="1215"/>
      <c r="G646" s="1215"/>
      <c r="H646" s="1215"/>
      <c r="I646" s="1216"/>
      <c r="J646" s="1215"/>
      <c r="K646" s="1215"/>
      <c r="L646" s="1215"/>
      <c r="M646" s="1215"/>
      <c r="N646" s="1215"/>
    </row>
    <row r="647" spans="1:14" s="1217" customFormat="1" ht="13.5">
      <c r="A647" s="1203"/>
      <c r="B647" s="1443" t="s">
        <v>127</v>
      </c>
      <c r="C647" s="1443"/>
      <c r="D647" s="1443"/>
      <c r="E647" s="1443"/>
      <c r="F647" s="1215"/>
      <c r="G647" s="1215"/>
      <c r="H647" s="1215"/>
      <c r="I647" s="1216"/>
      <c r="J647" s="1215"/>
      <c r="K647" s="1215"/>
      <c r="L647" s="1215"/>
      <c r="M647" s="1215"/>
      <c r="N647" s="1215"/>
    </row>
    <row r="648" spans="1:14" s="1217" customFormat="1" ht="13.5">
      <c r="A648" s="1203"/>
      <c r="B648" s="1443" t="s">
        <v>128</v>
      </c>
      <c r="C648" s="1443"/>
      <c r="D648" s="1443"/>
      <c r="E648" s="1443"/>
      <c r="F648" s="1215"/>
      <c r="G648" s="1215"/>
      <c r="H648" s="1215"/>
      <c r="I648" s="1216"/>
      <c r="J648" s="1215"/>
      <c r="K648" s="1215"/>
      <c r="L648" s="1215"/>
      <c r="M648" s="1215"/>
      <c r="N648" s="1215"/>
    </row>
    <row r="649" spans="1:14" s="1217" customFormat="1" ht="13.5">
      <c r="A649" s="1203"/>
      <c r="B649" s="1443" t="s">
        <v>349</v>
      </c>
      <c r="C649" s="1443"/>
      <c r="D649" s="1443"/>
      <c r="E649" s="1443"/>
      <c r="F649" s="1215"/>
      <c r="G649" s="1215"/>
      <c r="H649" s="1215"/>
      <c r="I649" s="1216"/>
      <c r="J649" s="1215"/>
      <c r="K649" s="1215"/>
      <c r="L649" s="1215"/>
      <c r="M649" s="1215"/>
      <c r="N649" s="1215"/>
    </row>
    <row r="650" spans="4:14" ht="17.25">
      <c r="D650" s="96"/>
      <c r="E650" s="97"/>
      <c r="F650" s="98">
        <f>+F630-F634-F638-F642</f>
        <v>27857</v>
      </c>
      <c r="G650" s="98">
        <f>+G630-G634-G638-G642</f>
        <v>28621</v>
      </c>
      <c r="H650" s="98">
        <f>+H630-H634-H638-H642</f>
        <v>106139</v>
      </c>
      <c r="I650" s="98">
        <f aca="true" t="shared" si="11" ref="I650:N650">+I631-I635-I639-I643</f>
        <v>0</v>
      </c>
      <c r="J650" s="98">
        <f t="shared" si="11"/>
        <v>0</v>
      </c>
      <c r="K650" s="98">
        <f t="shared" si="11"/>
        <v>0</v>
      </c>
      <c r="L650" s="98">
        <f t="shared" si="11"/>
        <v>0</v>
      </c>
      <c r="M650" s="98">
        <f t="shared" si="11"/>
        <v>0</v>
      </c>
      <c r="N650" s="98">
        <f t="shared" si="11"/>
        <v>0</v>
      </c>
    </row>
    <row r="651" spans="4:8" ht="17.25">
      <c r="D651" s="96"/>
      <c r="E651" s="97"/>
      <c r="F651" s="98"/>
      <c r="G651" s="98"/>
      <c r="H651" s="98"/>
    </row>
    <row r="652" spans="4:8" ht="17.25">
      <c r="D652" s="96"/>
      <c r="E652" s="97"/>
      <c r="F652" s="98"/>
      <c r="G652" s="98"/>
      <c r="H652" s="98"/>
    </row>
    <row r="653" spans="4:8" ht="17.25">
      <c r="D653" s="96"/>
      <c r="E653" s="97"/>
      <c r="F653" s="98"/>
      <c r="G653" s="98"/>
      <c r="H653" s="98"/>
    </row>
    <row r="654" spans="4:8" ht="17.25">
      <c r="D654" s="96"/>
      <c r="E654" s="97"/>
      <c r="F654" s="98"/>
      <c r="G654" s="98"/>
      <c r="H654" s="98"/>
    </row>
    <row r="655" spans="4:8" ht="17.25">
      <c r="D655" s="99"/>
      <c r="E655" s="100"/>
      <c r="F655" s="98"/>
      <c r="G655" s="98"/>
      <c r="H655" s="98"/>
    </row>
    <row r="656" spans="4:8" ht="17.25">
      <c r="D656" s="99"/>
      <c r="E656" s="100"/>
      <c r="F656" s="98"/>
      <c r="G656" s="98"/>
      <c r="H656" s="98"/>
    </row>
    <row r="657" spans="4:8" ht="17.25">
      <c r="D657" s="96"/>
      <c r="E657" s="97"/>
      <c r="F657" s="98"/>
      <c r="G657" s="98"/>
      <c r="H657" s="98"/>
    </row>
    <row r="658" spans="4:8" ht="17.25">
      <c r="D658" s="96"/>
      <c r="E658" s="97"/>
      <c r="F658" s="98"/>
      <c r="G658" s="98"/>
      <c r="H658" s="98"/>
    </row>
    <row r="659" spans="4:8" ht="17.25">
      <c r="D659" s="96"/>
      <c r="E659" s="97"/>
      <c r="F659" s="98"/>
      <c r="G659" s="98"/>
      <c r="H659" s="98"/>
    </row>
    <row r="660" spans="4:8" ht="17.25">
      <c r="D660" s="96"/>
      <c r="E660" s="97"/>
      <c r="F660" s="98"/>
      <c r="G660" s="98"/>
      <c r="H660" s="98"/>
    </row>
    <row r="661" spans="4:8" ht="17.25">
      <c r="D661" s="96"/>
      <c r="E661" s="97"/>
      <c r="F661" s="98"/>
      <c r="G661" s="98"/>
      <c r="H661" s="98"/>
    </row>
    <row r="662" spans="4:8" ht="17.25">
      <c r="D662" s="96"/>
      <c r="E662" s="97"/>
      <c r="F662" s="98"/>
      <c r="G662" s="98"/>
      <c r="H662" s="98"/>
    </row>
    <row r="663" spans="4:8" ht="17.25">
      <c r="D663" s="96"/>
      <c r="E663" s="97"/>
      <c r="F663" s="98"/>
      <c r="G663" s="98"/>
      <c r="H663" s="98"/>
    </row>
    <row r="664" spans="4:8" ht="17.25">
      <c r="D664" s="96"/>
      <c r="E664" s="97"/>
      <c r="F664" s="98"/>
      <c r="G664" s="98"/>
      <c r="H664" s="98"/>
    </row>
    <row r="665" spans="4:8" ht="17.25">
      <c r="D665" s="96"/>
      <c r="E665" s="97"/>
      <c r="F665" s="98"/>
      <c r="G665" s="98"/>
      <c r="H665" s="98"/>
    </row>
    <row r="666" spans="4:8" ht="17.25">
      <c r="D666" s="96"/>
      <c r="E666" s="97"/>
      <c r="F666" s="98"/>
      <c r="G666" s="98"/>
      <c r="H666" s="98"/>
    </row>
    <row r="667" spans="4:8" ht="17.25">
      <c r="D667" s="99"/>
      <c r="E667" s="100"/>
      <c r="F667" s="98"/>
      <c r="G667" s="98"/>
      <c r="H667" s="98"/>
    </row>
    <row r="668" spans="4:8" ht="17.25">
      <c r="D668" s="99"/>
      <c r="E668" s="100"/>
      <c r="F668" s="98"/>
      <c r="G668" s="98"/>
      <c r="H668" s="98"/>
    </row>
    <row r="669" spans="4:8" ht="17.25">
      <c r="D669" s="96"/>
      <c r="E669" s="97"/>
      <c r="F669" s="98"/>
      <c r="G669" s="98"/>
      <c r="H669" s="98"/>
    </row>
    <row r="670" spans="4:8" ht="17.25">
      <c r="D670" s="96"/>
      <c r="E670" s="97"/>
      <c r="F670" s="98"/>
      <c r="G670" s="98"/>
      <c r="H670" s="98"/>
    </row>
    <row r="671" spans="6:8" ht="17.25">
      <c r="F671" s="58"/>
      <c r="H671" s="58"/>
    </row>
    <row r="672" spans="6:8" ht="17.25">
      <c r="F672" s="58"/>
      <c r="H672" s="58"/>
    </row>
    <row r="673" spans="6:8" ht="17.25">
      <c r="F673" s="58"/>
      <c r="H673" s="58"/>
    </row>
    <row r="674" spans="6:8" ht="17.25">
      <c r="F674" s="58"/>
      <c r="H674" s="58"/>
    </row>
    <row r="675" spans="6:8" ht="17.25">
      <c r="F675" s="58"/>
      <c r="H675" s="58"/>
    </row>
    <row r="676" spans="6:8" ht="17.25">
      <c r="F676" s="58"/>
      <c r="H676" s="58"/>
    </row>
    <row r="677" spans="6:8" ht="17.25">
      <c r="F677" s="58"/>
      <c r="H677" s="58"/>
    </row>
    <row r="678" spans="6:8" ht="17.25">
      <c r="F678" s="58"/>
      <c r="H678" s="58"/>
    </row>
    <row r="679" spans="6:8" ht="17.25">
      <c r="F679" s="58"/>
      <c r="H679" s="58"/>
    </row>
    <row r="680" spans="6:8" ht="17.25">
      <c r="F680" s="58"/>
      <c r="H680" s="58"/>
    </row>
    <row r="681" spans="6:8" ht="17.25">
      <c r="F681" s="58"/>
      <c r="H681" s="58"/>
    </row>
    <row r="682" spans="6:8" ht="17.25">
      <c r="F682" s="58"/>
      <c r="H682" s="58"/>
    </row>
    <row r="683" spans="6:8" ht="17.25">
      <c r="F683" s="58"/>
      <c r="H683" s="58"/>
    </row>
    <row r="684" spans="6:8" ht="17.25">
      <c r="F684" s="58"/>
      <c r="H684" s="58"/>
    </row>
    <row r="685" spans="6:8" ht="17.25">
      <c r="F685" s="58"/>
      <c r="H685" s="58"/>
    </row>
    <row r="686" spans="6:8" ht="17.25">
      <c r="F686" s="58"/>
      <c r="H686" s="58"/>
    </row>
    <row r="687" spans="6:8" ht="17.25">
      <c r="F687" s="58"/>
      <c r="H687" s="58"/>
    </row>
    <row r="688" spans="6:8" ht="17.25">
      <c r="F688" s="58"/>
      <c r="H688" s="58"/>
    </row>
    <row r="689" spans="6:8" ht="17.25">
      <c r="F689" s="58"/>
      <c r="H689" s="58"/>
    </row>
    <row r="690" spans="4:8" ht="17.25">
      <c r="D690" s="96"/>
      <c r="E690" s="97"/>
      <c r="F690" s="98"/>
      <c r="G690" s="98"/>
      <c r="H690" s="98"/>
    </row>
    <row r="691" spans="4:8" ht="17.25">
      <c r="D691" s="96"/>
      <c r="E691" s="97"/>
      <c r="F691" s="98"/>
      <c r="G691" s="98"/>
      <c r="H691" s="98"/>
    </row>
    <row r="692" spans="4:8" ht="17.25">
      <c r="D692" s="96"/>
      <c r="E692" s="97"/>
      <c r="F692" s="98"/>
      <c r="G692" s="98"/>
      <c r="H692" s="98"/>
    </row>
    <row r="693" spans="4:14" ht="17.25">
      <c r="D693" s="102"/>
      <c r="E693" s="97"/>
      <c r="F693" s="100"/>
      <c r="G693" s="100"/>
      <c r="H693" s="100"/>
      <c r="I693" s="100"/>
      <c r="J693" s="100"/>
      <c r="K693" s="100"/>
      <c r="L693" s="100"/>
      <c r="M693" s="100"/>
      <c r="N693" s="100"/>
    </row>
    <row r="694" spans="4:14" ht="17.25">
      <c r="D694" s="102"/>
      <c r="E694" s="97"/>
      <c r="F694" s="100"/>
      <c r="G694" s="100"/>
      <c r="H694" s="100"/>
      <c r="I694" s="100"/>
      <c r="J694" s="100"/>
      <c r="K694" s="100"/>
      <c r="L694" s="100"/>
      <c r="M694" s="100"/>
      <c r="N694" s="100"/>
    </row>
    <row r="695" spans="4:14" ht="17.25">
      <c r="D695" s="102"/>
      <c r="E695" s="97"/>
      <c r="F695" s="100"/>
      <c r="G695" s="100"/>
      <c r="H695" s="100"/>
      <c r="I695" s="100"/>
      <c r="J695" s="100"/>
      <c r="K695" s="100"/>
      <c r="L695" s="100"/>
      <c r="M695" s="100"/>
      <c r="N695" s="100"/>
    </row>
    <row r="696" spans="4:14" ht="17.25">
      <c r="D696" s="102"/>
      <c r="E696" s="97"/>
      <c r="F696" s="100"/>
      <c r="G696" s="100"/>
      <c r="H696" s="100"/>
      <c r="I696" s="100"/>
      <c r="J696" s="100"/>
      <c r="K696" s="100"/>
      <c r="L696" s="100"/>
      <c r="M696" s="100"/>
      <c r="N696" s="100"/>
    </row>
    <row r="697" spans="4:8" ht="17.25">
      <c r="D697" s="96"/>
      <c r="E697" s="97"/>
      <c r="F697" s="98"/>
      <c r="G697" s="98"/>
      <c r="H697" s="98"/>
    </row>
    <row r="698" spans="4:8" ht="17.25">
      <c r="D698" s="96"/>
      <c r="E698" s="97"/>
      <c r="F698" s="98"/>
      <c r="G698" s="98"/>
      <c r="H698" s="98"/>
    </row>
    <row r="699" spans="4:8" ht="17.25">
      <c r="D699" s="96"/>
      <c r="E699" s="97"/>
      <c r="F699" s="98"/>
      <c r="G699" s="98"/>
      <c r="H699" s="98"/>
    </row>
    <row r="700" spans="4:8" ht="17.25">
      <c r="D700" s="96"/>
      <c r="E700" s="97"/>
      <c r="F700" s="98"/>
      <c r="G700" s="98"/>
      <c r="H700" s="98"/>
    </row>
    <row r="701" spans="4:8" ht="17.25">
      <c r="D701" s="96"/>
      <c r="E701" s="97"/>
      <c r="F701" s="98"/>
      <c r="G701" s="98"/>
      <c r="H701" s="98"/>
    </row>
    <row r="702" spans="4:8" ht="17.25">
      <c r="D702" s="99"/>
      <c r="E702" s="100"/>
      <c r="F702" s="98"/>
      <c r="G702" s="98"/>
      <c r="H702" s="98"/>
    </row>
    <row r="703" spans="4:8" ht="17.25">
      <c r="D703" s="99"/>
      <c r="E703" s="100"/>
      <c r="F703" s="98"/>
      <c r="G703" s="98"/>
      <c r="H703" s="98"/>
    </row>
    <row r="704" spans="1:14" s="58" customFormat="1" ht="17.25">
      <c r="A704" s="1196"/>
      <c r="B704" s="56"/>
      <c r="C704" s="1195"/>
      <c r="D704" s="103"/>
      <c r="E704" s="1110"/>
      <c r="I704" s="98"/>
      <c r="J704" s="98"/>
      <c r="K704" s="98"/>
      <c r="L704" s="98"/>
      <c r="M704" s="98"/>
      <c r="N704" s="98"/>
    </row>
    <row r="705" spans="1:14" s="58" customFormat="1" ht="17.25">
      <c r="A705" s="1196"/>
      <c r="B705" s="56"/>
      <c r="C705" s="1195"/>
      <c r="D705" s="103"/>
      <c r="E705" s="1110"/>
      <c r="I705" s="98"/>
      <c r="J705" s="98"/>
      <c r="K705" s="98"/>
      <c r="L705" s="98"/>
      <c r="M705" s="98"/>
      <c r="N705" s="98"/>
    </row>
    <row r="706" spans="1:14" s="58" customFormat="1" ht="17.25">
      <c r="A706" s="1196"/>
      <c r="B706" s="56"/>
      <c r="C706" s="1195"/>
      <c r="D706" s="99"/>
      <c r="E706" s="100"/>
      <c r="F706" s="98"/>
      <c r="G706" s="98"/>
      <c r="H706" s="98"/>
      <c r="I706" s="98"/>
      <c r="J706" s="98"/>
      <c r="K706" s="98"/>
      <c r="L706" s="98"/>
      <c r="M706" s="98"/>
      <c r="N706" s="98"/>
    </row>
    <row r="707" spans="1:14" s="58" customFormat="1" ht="17.25">
      <c r="A707" s="1196"/>
      <c r="B707" s="56"/>
      <c r="C707" s="1195"/>
      <c r="D707" s="99"/>
      <c r="E707" s="100"/>
      <c r="F707" s="98"/>
      <c r="G707" s="98"/>
      <c r="H707" s="98"/>
      <c r="I707" s="98"/>
      <c r="J707" s="98"/>
      <c r="K707" s="98"/>
      <c r="L707" s="98"/>
      <c r="M707" s="98"/>
      <c r="N707" s="98"/>
    </row>
    <row r="708" spans="1:14" s="58" customFormat="1" ht="17.25">
      <c r="A708" s="1196"/>
      <c r="B708" s="56"/>
      <c r="C708" s="1195"/>
      <c r="D708" s="99"/>
      <c r="E708" s="100"/>
      <c r="F708" s="98"/>
      <c r="G708" s="98"/>
      <c r="H708" s="98"/>
      <c r="I708" s="98"/>
      <c r="J708" s="98"/>
      <c r="K708" s="98"/>
      <c r="L708" s="98"/>
      <c r="M708" s="98"/>
      <c r="N708" s="98"/>
    </row>
    <row r="709" spans="1:14" s="58" customFormat="1" ht="17.25">
      <c r="A709" s="1196"/>
      <c r="B709" s="56"/>
      <c r="C709" s="1195"/>
      <c r="D709" s="99"/>
      <c r="E709" s="100"/>
      <c r="F709" s="98"/>
      <c r="G709" s="98"/>
      <c r="H709" s="98"/>
      <c r="I709" s="98"/>
      <c r="J709" s="98"/>
      <c r="K709" s="98"/>
      <c r="L709" s="98"/>
      <c r="M709" s="98"/>
      <c r="N709" s="98"/>
    </row>
    <row r="710" spans="1:14" s="58" customFormat="1" ht="17.25">
      <c r="A710" s="1196"/>
      <c r="B710" s="56"/>
      <c r="C710" s="1195"/>
      <c r="D710" s="99"/>
      <c r="E710" s="100"/>
      <c r="F710" s="98"/>
      <c r="G710" s="98"/>
      <c r="H710" s="98"/>
      <c r="I710" s="98"/>
      <c r="J710" s="98"/>
      <c r="K710" s="98"/>
      <c r="L710" s="98"/>
      <c r="M710" s="98"/>
      <c r="N710" s="98"/>
    </row>
    <row r="711" spans="4:8" ht="17.25">
      <c r="D711" s="96"/>
      <c r="E711" s="97"/>
      <c r="F711" s="98"/>
      <c r="G711" s="98"/>
      <c r="H711" s="98"/>
    </row>
    <row r="712" spans="4:8" ht="17.25">
      <c r="D712" s="96"/>
      <c r="E712" s="97"/>
      <c r="F712" s="98"/>
      <c r="G712" s="98"/>
      <c r="H712" s="98"/>
    </row>
    <row r="713" spans="4:8" ht="17.25">
      <c r="D713" s="96"/>
      <c r="E713" s="97"/>
      <c r="F713" s="98"/>
      <c r="G713" s="98"/>
      <c r="H713" s="98"/>
    </row>
    <row r="714" spans="4:8" ht="17.25">
      <c r="D714" s="96"/>
      <c r="E714" s="97"/>
      <c r="F714" s="98"/>
      <c r="G714" s="98"/>
      <c r="H714" s="98"/>
    </row>
    <row r="715" spans="4:8" ht="17.25">
      <c r="D715" s="96"/>
      <c r="E715" s="97"/>
      <c r="F715" s="98"/>
      <c r="G715" s="98"/>
      <c r="H715" s="98"/>
    </row>
    <row r="716" spans="4:8" ht="17.25">
      <c r="D716" s="96"/>
      <c r="E716" s="97"/>
      <c r="F716" s="98"/>
      <c r="G716" s="98"/>
      <c r="H716" s="98"/>
    </row>
    <row r="717" spans="4:8" ht="17.25">
      <c r="D717" s="96"/>
      <c r="E717" s="97"/>
      <c r="F717" s="98"/>
      <c r="G717" s="98"/>
      <c r="H717" s="98"/>
    </row>
    <row r="718" spans="4:8" ht="17.25">
      <c r="D718" s="96"/>
      <c r="E718" s="97"/>
      <c r="F718" s="98"/>
      <c r="G718" s="98"/>
      <c r="H718" s="98"/>
    </row>
    <row r="719" spans="4:8" ht="17.25">
      <c r="D719" s="96"/>
      <c r="E719" s="97"/>
      <c r="F719" s="98"/>
      <c r="G719" s="98"/>
      <c r="H719" s="98"/>
    </row>
    <row r="720" spans="4:8" ht="17.25">
      <c r="D720" s="96"/>
      <c r="E720" s="97"/>
      <c r="F720" s="98"/>
      <c r="G720" s="98"/>
      <c r="H720" s="98"/>
    </row>
    <row r="721" spans="4:8" ht="17.25">
      <c r="D721" s="96"/>
      <c r="E721" s="97"/>
      <c r="F721" s="98"/>
      <c r="G721" s="98"/>
      <c r="H721" s="98"/>
    </row>
    <row r="722" spans="4:8" ht="17.25">
      <c r="D722" s="96"/>
      <c r="E722" s="97"/>
      <c r="F722" s="98"/>
      <c r="G722" s="98"/>
      <c r="H722" s="98"/>
    </row>
    <row r="723" spans="4:8" ht="17.25">
      <c r="D723" s="96"/>
      <c r="E723" s="97"/>
      <c r="F723" s="98"/>
      <c r="G723" s="98"/>
      <c r="H723" s="98"/>
    </row>
    <row r="724" spans="1:14" s="58" customFormat="1" ht="17.25">
      <c r="A724" s="1196"/>
      <c r="B724" s="56"/>
      <c r="C724" s="1195"/>
      <c r="D724" s="99"/>
      <c r="E724" s="100"/>
      <c r="F724" s="98"/>
      <c r="G724" s="98"/>
      <c r="H724" s="98"/>
      <c r="I724" s="98"/>
      <c r="J724" s="98"/>
      <c r="K724" s="98"/>
      <c r="L724" s="98"/>
      <c r="M724" s="98"/>
      <c r="N724" s="98"/>
    </row>
    <row r="725" spans="4:8" ht="17.25">
      <c r="D725" s="96"/>
      <c r="E725" s="97"/>
      <c r="F725" s="98"/>
      <c r="G725" s="98"/>
      <c r="H725" s="98"/>
    </row>
    <row r="726" spans="4:8" ht="17.25">
      <c r="D726" s="96"/>
      <c r="E726" s="97"/>
      <c r="F726" s="98"/>
      <c r="G726" s="98"/>
      <c r="H726" s="98"/>
    </row>
    <row r="727" spans="4:8" ht="17.25">
      <c r="D727" s="96"/>
      <c r="E727" s="97"/>
      <c r="F727" s="98"/>
      <c r="G727" s="98"/>
      <c r="H727" s="98"/>
    </row>
    <row r="728" spans="4:8" ht="17.25">
      <c r="D728" s="96"/>
      <c r="E728" s="97"/>
      <c r="F728" s="98"/>
      <c r="G728" s="98"/>
      <c r="H728" s="98"/>
    </row>
    <row r="729" spans="4:8" ht="17.25">
      <c r="D729" s="96"/>
      <c r="E729" s="97"/>
      <c r="F729" s="98"/>
      <c r="G729" s="98"/>
      <c r="H729" s="98"/>
    </row>
    <row r="730" spans="4:8" ht="17.25">
      <c r="D730" s="96"/>
      <c r="E730" s="97"/>
      <c r="F730" s="98"/>
      <c r="G730" s="98"/>
      <c r="H730" s="98"/>
    </row>
    <row r="731" spans="4:8" ht="17.25">
      <c r="D731" s="96"/>
      <c r="E731" s="97"/>
      <c r="F731" s="98"/>
      <c r="G731" s="98"/>
      <c r="H731" s="98"/>
    </row>
    <row r="732" spans="4:8" ht="17.25">
      <c r="D732" s="96"/>
      <c r="E732" s="97"/>
      <c r="F732" s="98"/>
      <c r="G732" s="98"/>
      <c r="H732" s="98"/>
    </row>
    <row r="733" spans="4:8" ht="17.25">
      <c r="D733" s="96"/>
      <c r="E733" s="97"/>
      <c r="F733" s="98"/>
      <c r="G733" s="98"/>
      <c r="H733" s="98"/>
    </row>
    <row r="734" spans="4:8" ht="17.25">
      <c r="D734" s="96"/>
      <c r="E734" s="97"/>
      <c r="F734" s="98"/>
      <c r="G734" s="98"/>
      <c r="H734" s="98"/>
    </row>
    <row r="735" spans="4:8" ht="17.25">
      <c r="D735" s="96"/>
      <c r="E735" s="97"/>
      <c r="F735" s="98"/>
      <c r="G735" s="98"/>
      <c r="H735" s="98"/>
    </row>
    <row r="736" spans="4:8" ht="17.25">
      <c r="D736" s="96"/>
      <c r="E736" s="97"/>
      <c r="F736" s="98"/>
      <c r="G736" s="98"/>
      <c r="H736" s="98"/>
    </row>
    <row r="737" spans="4:8" ht="17.25">
      <c r="D737" s="96"/>
      <c r="E737" s="97"/>
      <c r="F737" s="98"/>
      <c r="G737" s="98"/>
      <c r="H737" s="98"/>
    </row>
    <row r="738" spans="4:8" ht="17.25">
      <c r="D738" s="96"/>
      <c r="E738" s="97"/>
      <c r="F738" s="98"/>
      <c r="G738" s="98"/>
      <c r="H738" s="98"/>
    </row>
    <row r="739" spans="4:8" ht="17.25">
      <c r="D739" s="96"/>
      <c r="E739" s="97"/>
      <c r="F739" s="98"/>
      <c r="G739" s="98"/>
      <c r="H739" s="98"/>
    </row>
    <row r="740" spans="4:8" ht="17.25">
      <c r="D740" s="96"/>
      <c r="E740" s="97"/>
      <c r="F740" s="98"/>
      <c r="G740" s="98"/>
      <c r="H740" s="98"/>
    </row>
    <row r="741" spans="4:8" ht="17.25">
      <c r="D741" s="96"/>
      <c r="E741" s="97"/>
      <c r="F741" s="98"/>
      <c r="G741" s="98"/>
      <c r="H741" s="98"/>
    </row>
    <row r="742" spans="4:8" ht="17.25">
      <c r="D742" s="96"/>
      <c r="E742" s="97"/>
      <c r="F742" s="98"/>
      <c r="G742" s="98"/>
      <c r="H742" s="98"/>
    </row>
    <row r="743" spans="4:8" ht="17.25">
      <c r="D743" s="96"/>
      <c r="E743" s="97"/>
      <c r="F743" s="98"/>
      <c r="G743" s="98"/>
      <c r="H743" s="98"/>
    </row>
    <row r="744" spans="4:8" ht="17.25">
      <c r="D744" s="96"/>
      <c r="E744" s="97"/>
      <c r="F744" s="98"/>
      <c r="G744" s="98"/>
      <c r="H744" s="98"/>
    </row>
    <row r="745" spans="4:8" ht="17.25">
      <c r="D745" s="96"/>
      <c r="E745" s="97"/>
      <c r="F745" s="98"/>
      <c r="G745" s="98"/>
      <c r="H745" s="98"/>
    </row>
    <row r="746" spans="4:8" ht="17.25">
      <c r="D746" s="96"/>
      <c r="E746" s="97"/>
      <c r="F746" s="98"/>
      <c r="G746" s="98"/>
      <c r="H746" s="98"/>
    </row>
    <row r="747" spans="4:8" ht="17.25">
      <c r="D747" s="96"/>
      <c r="E747" s="97"/>
      <c r="F747" s="98"/>
      <c r="G747" s="98"/>
      <c r="H747" s="98"/>
    </row>
    <row r="748" spans="4:8" ht="17.25">
      <c r="D748" s="96"/>
      <c r="E748" s="97"/>
      <c r="F748" s="98"/>
      <c r="G748" s="98"/>
      <c r="H748" s="98"/>
    </row>
    <row r="749" spans="4:8" ht="17.25">
      <c r="D749" s="96"/>
      <c r="E749" s="97"/>
      <c r="F749" s="98"/>
      <c r="G749" s="98"/>
      <c r="H749" s="98"/>
    </row>
    <row r="750" spans="4:8" ht="17.25">
      <c r="D750" s="96"/>
      <c r="E750" s="97"/>
      <c r="F750" s="98"/>
      <c r="G750" s="98"/>
      <c r="H750" s="98"/>
    </row>
    <row r="751" spans="4:8" ht="17.25">
      <c r="D751" s="96"/>
      <c r="E751" s="97"/>
      <c r="F751" s="98"/>
      <c r="G751" s="98"/>
      <c r="H751" s="98"/>
    </row>
    <row r="752" spans="4:8" ht="17.25">
      <c r="D752" s="96"/>
      <c r="E752" s="97"/>
      <c r="F752" s="98"/>
      <c r="G752" s="98"/>
      <c r="H752" s="98"/>
    </row>
    <row r="753" spans="4:8" ht="17.25">
      <c r="D753" s="96"/>
      <c r="E753" s="97"/>
      <c r="F753" s="98"/>
      <c r="G753" s="98"/>
      <c r="H753" s="98"/>
    </row>
    <row r="754" spans="4:8" ht="17.25">
      <c r="D754" s="96"/>
      <c r="E754" s="97"/>
      <c r="F754" s="98"/>
      <c r="G754" s="98"/>
      <c r="H754" s="98"/>
    </row>
    <row r="755" spans="4:8" ht="17.25">
      <c r="D755" s="96"/>
      <c r="E755" s="97"/>
      <c r="F755" s="98"/>
      <c r="G755" s="98"/>
      <c r="H755" s="98"/>
    </row>
    <row r="756" spans="4:8" ht="17.25">
      <c r="D756" s="96"/>
      <c r="E756" s="97"/>
      <c r="F756" s="98"/>
      <c r="G756" s="98"/>
      <c r="H756" s="98"/>
    </row>
    <row r="757" spans="4:8" ht="17.25">
      <c r="D757" s="96"/>
      <c r="E757" s="97"/>
      <c r="F757" s="98"/>
      <c r="G757" s="98"/>
      <c r="H757" s="98"/>
    </row>
    <row r="758" spans="4:8" ht="17.25">
      <c r="D758" s="96"/>
      <c r="E758" s="97"/>
      <c r="F758" s="98"/>
      <c r="G758" s="98"/>
      <c r="H758" s="98"/>
    </row>
    <row r="759" spans="4:8" ht="17.25">
      <c r="D759" s="96"/>
      <c r="E759" s="97"/>
      <c r="F759" s="98"/>
      <c r="G759" s="98"/>
      <c r="H759" s="98"/>
    </row>
    <row r="760" spans="4:8" ht="17.25">
      <c r="D760" s="96"/>
      <c r="E760" s="97"/>
      <c r="F760" s="98"/>
      <c r="G760" s="98"/>
      <c r="H760" s="98"/>
    </row>
    <row r="761" spans="4:8" ht="17.25">
      <c r="D761" s="96"/>
      <c r="E761" s="97"/>
      <c r="F761" s="98"/>
      <c r="G761" s="98"/>
      <c r="H761" s="98"/>
    </row>
    <row r="762" spans="4:8" ht="17.25">
      <c r="D762" s="96"/>
      <c r="E762" s="97"/>
      <c r="F762" s="98"/>
      <c r="G762" s="98"/>
      <c r="H762" s="98"/>
    </row>
    <row r="763" spans="4:8" ht="17.25">
      <c r="D763" s="96"/>
      <c r="E763" s="97"/>
      <c r="F763" s="98"/>
      <c r="G763" s="98"/>
      <c r="H763" s="98"/>
    </row>
    <row r="764" spans="4:8" ht="17.25">
      <c r="D764" s="96"/>
      <c r="E764" s="97"/>
      <c r="F764" s="98"/>
      <c r="G764" s="98"/>
      <c r="H764" s="98"/>
    </row>
    <row r="765" spans="4:8" ht="17.25">
      <c r="D765" s="96"/>
      <c r="E765" s="97"/>
      <c r="F765" s="98"/>
      <c r="G765" s="98"/>
      <c r="H765" s="98"/>
    </row>
    <row r="766" spans="4:8" ht="17.25">
      <c r="D766" s="96"/>
      <c r="E766" s="97"/>
      <c r="F766" s="98"/>
      <c r="G766" s="98"/>
      <c r="H766" s="98"/>
    </row>
    <row r="767" spans="4:8" ht="17.25">
      <c r="D767" s="96"/>
      <c r="E767" s="97"/>
      <c r="F767" s="98"/>
      <c r="G767" s="98"/>
      <c r="H767" s="98"/>
    </row>
    <row r="768" spans="4:8" ht="17.25">
      <c r="D768" s="96"/>
      <c r="E768" s="97"/>
      <c r="F768" s="98"/>
      <c r="G768" s="98"/>
      <c r="H768" s="98"/>
    </row>
    <row r="769" spans="6:8" ht="17.25">
      <c r="F769" s="58"/>
      <c r="H769" s="58"/>
    </row>
    <row r="770" spans="6:8" ht="17.25">
      <c r="F770" s="58"/>
      <c r="H770" s="58"/>
    </row>
    <row r="771" spans="6:8" ht="17.25">
      <c r="F771" s="58"/>
      <c r="H771" s="58"/>
    </row>
    <row r="772" spans="6:8" ht="17.25">
      <c r="F772" s="58"/>
      <c r="H772" s="58"/>
    </row>
    <row r="773" spans="6:8" ht="17.25">
      <c r="F773" s="58"/>
      <c r="H773" s="58"/>
    </row>
    <row r="774" spans="6:8" ht="17.25">
      <c r="F774" s="58"/>
      <c r="H774" s="58"/>
    </row>
    <row r="775" spans="6:8" ht="17.25">
      <c r="F775" s="58"/>
      <c r="H775" s="58"/>
    </row>
    <row r="776" spans="6:8" ht="17.25">
      <c r="F776" s="58"/>
      <c r="H776" s="58"/>
    </row>
    <row r="777" spans="6:8" ht="17.25">
      <c r="F777" s="58"/>
      <c r="H777" s="58"/>
    </row>
    <row r="778" spans="6:8" ht="17.25">
      <c r="F778" s="58"/>
      <c r="H778" s="58"/>
    </row>
  </sheetData>
  <sheetProtection/>
  <mergeCells count="18">
    <mergeCell ref="B648:E648"/>
    <mergeCell ref="B649:E649"/>
    <mergeCell ref="G6:G7"/>
    <mergeCell ref="H6:H7"/>
    <mergeCell ref="I6:I7"/>
    <mergeCell ref="J6:N6"/>
    <mergeCell ref="B646:E646"/>
    <mergeCell ref="B647:E647"/>
    <mergeCell ref="B1:D1"/>
    <mergeCell ref="H1:I1"/>
    <mergeCell ref="B2:N2"/>
    <mergeCell ref="B3:N3"/>
    <mergeCell ref="M4:N4"/>
    <mergeCell ref="B6:B7"/>
    <mergeCell ref="C6:C7"/>
    <mergeCell ref="D6:D7"/>
    <mergeCell ref="E6:E7"/>
    <mergeCell ref="F6:F7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93"/>
  <sheetViews>
    <sheetView view="pageBreakPreview" zoomScale="80" zoomScaleSheetLayoutView="80" zoomScalePageLayoutView="0" workbookViewId="0" topLeftCell="A169">
      <selection activeCell="D170" sqref="D170"/>
    </sheetView>
  </sheetViews>
  <sheetFormatPr defaultColWidth="9.00390625" defaultRowHeight="12.75"/>
  <cols>
    <col min="1" max="1" width="3.375" style="584" bestFit="1" customWidth="1"/>
    <col min="2" max="2" width="4.75390625" style="1317" customWidth="1"/>
    <col min="3" max="3" width="4.75390625" style="575" customWidth="1"/>
    <col min="4" max="4" width="65.75390625" style="1223" customWidth="1"/>
    <col min="5" max="5" width="5.75390625" style="576" customWidth="1"/>
    <col min="6" max="6" width="14.125" style="583" bestFit="1" customWidth="1"/>
    <col min="7" max="7" width="19.25390625" style="583" bestFit="1" customWidth="1"/>
    <col min="8" max="8" width="17.875" style="583" bestFit="1" customWidth="1"/>
    <col min="9" max="9" width="16.75390625" style="583" bestFit="1" customWidth="1"/>
    <col min="10" max="10" width="12.125" style="1221" bestFit="1" customWidth="1"/>
    <col min="11" max="11" width="13.25390625" style="1222" bestFit="1" customWidth="1"/>
    <col min="12" max="12" width="14.875" style="583" bestFit="1" customWidth="1"/>
    <col min="13" max="15" width="14.00390625" style="582" customWidth="1"/>
    <col min="16" max="16384" width="8.875" style="582" customWidth="1"/>
  </cols>
  <sheetData>
    <row r="1" spans="1:5" ht="17.25">
      <c r="A1" s="889"/>
      <c r="B1" s="1462" t="s">
        <v>1209</v>
      </c>
      <c r="C1" s="1462"/>
      <c r="D1" s="1462"/>
      <c r="E1" s="575"/>
    </row>
    <row r="2" spans="2:12" ht="25.5" customHeight="1">
      <c r="B2" s="1463" t="s">
        <v>20</v>
      </c>
      <c r="C2" s="1463"/>
      <c r="D2" s="1463"/>
      <c r="E2" s="1463"/>
      <c r="F2" s="1463"/>
      <c r="G2" s="1463"/>
      <c r="H2" s="1463"/>
      <c r="I2" s="1463"/>
      <c r="J2" s="1463"/>
      <c r="K2" s="1463"/>
      <c r="L2" s="1463"/>
    </row>
    <row r="3" spans="2:15" ht="25.5" customHeight="1">
      <c r="B3" s="1464" t="s">
        <v>644</v>
      </c>
      <c r="C3" s="1464"/>
      <c r="D3" s="1464"/>
      <c r="E3" s="1464"/>
      <c r="F3" s="1464"/>
      <c r="G3" s="1464"/>
      <c r="H3" s="1464"/>
      <c r="I3" s="1464"/>
      <c r="J3" s="1464"/>
      <c r="K3" s="1464"/>
      <c r="L3" s="1464"/>
      <c r="M3" s="888"/>
      <c r="N3" s="888"/>
      <c r="O3" s="888"/>
    </row>
    <row r="4" ht="17.25">
      <c r="L4" s="1224" t="s">
        <v>0</v>
      </c>
    </row>
    <row r="5" spans="1:12" s="1225" customFormat="1" ht="15" thickBot="1">
      <c r="A5" s="584"/>
      <c r="B5" s="1318" t="s">
        <v>1</v>
      </c>
      <c r="C5" s="577" t="s">
        <v>3</v>
      </c>
      <c r="D5" s="577" t="s">
        <v>2</v>
      </c>
      <c r="E5" s="577" t="s">
        <v>4</v>
      </c>
      <c r="F5" s="577" t="s">
        <v>5</v>
      </c>
      <c r="G5" s="577" t="s">
        <v>21</v>
      </c>
      <c r="H5" s="577" t="s">
        <v>22</v>
      </c>
      <c r="I5" s="577" t="s">
        <v>23</v>
      </c>
      <c r="J5" s="577" t="s">
        <v>201</v>
      </c>
      <c r="K5" s="577" t="s">
        <v>129</v>
      </c>
      <c r="L5" s="577" t="s">
        <v>31</v>
      </c>
    </row>
    <row r="6" spans="1:12" s="575" customFormat="1" ht="75" customHeight="1" thickBot="1">
      <c r="A6" s="584"/>
      <c r="B6" s="1319" t="s">
        <v>24</v>
      </c>
      <c r="C6" s="42" t="s">
        <v>25</v>
      </c>
      <c r="D6" s="43" t="s">
        <v>6</v>
      </c>
      <c r="E6" s="26" t="s">
        <v>26</v>
      </c>
      <c r="F6" s="44" t="s">
        <v>27</v>
      </c>
      <c r="G6" s="45" t="s">
        <v>130</v>
      </c>
      <c r="H6" s="1226" t="s">
        <v>801</v>
      </c>
      <c r="I6" s="1034" t="s">
        <v>600</v>
      </c>
      <c r="J6" s="1035" t="s">
        <v>352</v>
      </c>
      <c r="K6" s="1031" t="s">
        <v>679</v>
      </c>
      <c r="L6" s="1028" t="s">
        <v>28</v>
      </c>
    </row>
    <row r="7" spans="1:14" s="1231" customFormat="1" ht="25.5" customHeight="1">
      <c r="A7" s="584">
        <v>1</v>
      </c>
      <c r="B7" s="1308">
        <v>18</v>
      </c>
      <c r="C7" s="510"/>
      <c r="D7" s="1309" t="s">
        <v>131</v>
      </c>
      <c r="E7" s="1310"/>
      <c r="F7" s="1311"/>
      <c r="G7" s="1311"/>
      <c r="H7" s="1312"/>
      <c r="I7" s="1313"/>
      <c r="J7" s="1314"/>
      <c r="K7" s="1315"/>
      <c r="L7" s="1316"/>
      <c r="N7" s="1232"/>
    </row>
    <row r="8" spans="1:14" ht="33">
      <c r="A8" s="890">
        <v>2</v>
      </c>
      <c r="B8" s="1244"/>
      <c r="C8" s="574">
        <v>1</v>
      </c>
      <c r="D8" s="5" t="s">
        <v>8</v>
      </c>
      <c r="E8" s="562" t="s">
        <v>33</v>
      </c>
      <c r="F8" s="47">
        <f>SUM(G8:H8,K8,L8)</f>
        <v>529284</v>
      </c>
      <c r="G8" s="47">
        <v>0</v>
      </c>
      <c r="H8" s="1227">
        <v>51349</v>
      </c>
      <c r="I8" s="1032">
        <v>35174</v>
      </c>
      <c r="J8" s="88">
        <v>442761</v>
      </c>
      <c r="K8" s="1036">
        <f>SUM(I8:J8)</f>
        <v>477935</v>
      </c>
      <c r="L8" s="1029"/>
      <c r="N8" s="583"/>
    </row>
    <row r="9" spans="1:14" ht="33">
      <c r="A9" s="890">
        <v>3</v>
      </c>
      <c r="B9" s="1244"/>
      <c r="C9" s="574">
        <v>2</v>
      </c>
      <c r="D9" s="5" t="s">
        <v>9</v>
      </c>
      <c r="E9" s="562" t="s">
        <v>33</v>
      </c>
      <c r="F9" s="47">
        <f aca="true" t="shared" si="0" ref="F9:F76">SUM(G9:H9,K9,L9)</f>
        <v>752956</v>
      </c>
      <c r="G9" s="47">
        <v>52196</v>
      </c>
      <c r="H9" s="1227">
        <v>76996</v>
      </c>
      <c r="I9" s="1032">
        <v>164426</v>
      </c>
      <c r="J9" s="88">
        <v>459338</v>
      </c>
      <c r="K9" s="1036">
        <f aca="true" t="shared" si="1" ref="K9:K79">SUM(I9:J9)</f>
        <v>623764</v>
      </c>
      <c r="L9" s="1029"/>
      <c r="N9" s="583"/>
    </row>
    <row r="10" spans="1:14" ht="33">
      <c r="A10" s="890">
        <v>4</v>
      </c>
      <c r="B10" s="1244"/>
      <c r="C10" s="574">
        <v>3</v>
      </c>
      <c r="D10" s="1287" t="s">
        <v>878</v>
      </c>
      <c r="E10" s="562" t="s">
        <v>33</v>
      </c>
      <c r="F10" s="47">
        <f t="shared" si="0"/>
        <v>509940</v>
      </c>
      <c r="G10" s="47">
        <v>63976</v>
      </c>
      <c r="H10" s="1227">
        <v>95864</v>
      </c>
      <c r="I10" s="1032"/>
      <c r="J10" s="88">
        <v>350100</v>
      </c>
      <c r="K10" s="1036">
        <f t="shared" si="1"/>
        <v>350100</v>
      </c>
      <c r="L10" s="1029"/>
      <c r="N10" s="583"/>
    </row>
    <row r="11" spans="1:14" ht="33">
      <c r="A11" s="890">
        <v>5</v>
      </c>
      <c r="B11" s="1244"/>
      <c r="C11" s="574">
        <v>4</v>
      </c>
      <c r="D11" s="5" t="s">
        <v>132</v>
      </c>
      <c r="E11" s="562" t="s">
        <v>33</v>
      </c>
      <c r="F11" s="47">
        <f>SUM(G11:H11,K11,L11)</f>
        <v>997865</v>
      </c>
      <c r="G11" s="47">
        <v>77182</v>
      </c>
      <c r="H11" s="1227">
        <v>154103</v>
      </c>
      <c r="I11" s="1032">
        <v>232425</v>
      </c>
      <c r="J11" s="88">
        <v>534155</v>
      </c>
      <c r="K11" s="1036">
        <f t="shared" si="1"/>
        <v>766580</v>
      </c>
      <c r="L11" s="1029"/>
      <c r="N11" s="583"/>
    </row>
    <row r="12" spans="1:14" ht="33">
      <c r="A12" s="890">
        <v>6</v>
      </c>
      <c r="B12" s="1244"/>
      <c r="C12" s="574">
        <v>5</v>
      </c>
      <c r="D12" s="1287" t="s">
        <v>920</v>
      </c>
      <c r="E12" s="562" t="s">
        <v>33</v>
      </c>
      <c r="F12" s="47">
        <f>SUM(G12:H12,K12,L12)</f>
        <v>512834</v>
      </c>
      <c r="G12" s="47">
        <v>20345</v>
      </c>
      <c r="H12" s="1227">
        <v>2540</v>
      </c>
      <c r="I12" s="1032"/>
      <c r="J12" s="88">
        <v>489949</v>
      </c>
      <c r="K12" s="1036">
        <f t="shared" si="1"/>
        <v>489949</v>
      </c>
      <c r="L12" s="1029"/>
      <c r="N12" s="583"/>
    </row>
    <row r="13" spans="1:14" ht="49.5">
      <c r="A13" s="890">
        <v>7</v>
      </c>
      <c r="B13" s="1244"/>
      <c r="C13" s="574">
        <v>6</v>
      </c>
      <c r="D13" s="1287" t="s">
        <v>879</v>
      </c>
      <c r="E13" s="562" t="s">
        <v>33</v>
      </c>
      <c r="F13" s="47">
        <f>SUM(G13:H13,K13,L13)</f>
        <v>538000</v>
      </c>
      <c r="G13" s="47">
        <v>61153</v>
      </c>
      <c r="H13" s="1227">
        <v>10492</v>
      </c>
      <c r="I13" s="1032"/>
      <c r="J13" s="88">
        <v>466355</v>
      </c>
      <c r="K13" s="1036">
        <f t="shared" si="1"/>
        <v>466355</v>
      </c>
      <c r="L13" s="1029"/>
      <c r="N13" s="583"/>
    </row>
    <row r="14" spans="1:14" ht="17.25">
      <c r="A14" s="584">
        <v>8</v>
      </c>
      <c r="B14" s="1244"/>
      <c r="C14" s="574">
        <v>7</v>
      </c>
      <c r="D14" s="1288" t="s">
        <v>880</v>
      </c>
      <c r="E14" s="562" t="s">
        <v>33</v>
      </c>
      <c r="F14" s="47">
        <f>SUM(G14:H14,K14,L14)</f>
        <v>4100</v>
      </c>
      <c r="G14" s="47"/>
      <c r="H14" s="1227"/>
      <c r="I14" s="1032"/>
      <c r="J14" s="88">
        <v>4100</v>
      </c>
      <c r="K14" s="1036">
        <f t="shared" si="1"/>
        <v>4100</v>
      </c>
      <c r="L14" s="1029"/>
      <c r="N14" s="583"/>
    </row>
    <row r="15" spans="1:14" ht="49.5">
      <c r="A15" s="890">
        <v>9</v>
      </c>
      <c r="B15" s="1244"/>
      <c r="C15" s="574">
        <v>8</v>
      </c>
      <c r="D15" s="1287" t="s">
        <v>134</v>
      </c>
      <c r="E15" s="562" t="s">
        <v>33</v>
      </c>
      <c r="F15" s="47">
        <f>SUM(G15:H15,K15,L15)</f>
        <v>125999</v>
      </c>
      <c r="G15" s="47">
        <v>14481</v>
      </c>
      <c r="H15" s="1227">
        <v>111510</v>
      </c>
      <c r="I15" s="1032"/>
      <c r="J15" s="88">
        <v>8</v>
      </c>
      <c r="K15" s="1036">
        <f t="shared" si="1"/>
        <v>8</v>
      </c>
      <c r="L15" s="1029"/>
      <c r="N15" s="583"/>
    </row>
    <row r="16" spans="1:14" ht="49.5">
      <c r="A16" s="890">
        <v>10</v>
      </c>
      <c r="B16" s="1244"/>
      <c r="C16" s="574">
        <v>9</v>
      </c>
      <c r="D16" s="1287" t="s">
        <v>881</v>
      </c>
      <c r="E16" s="562" t="s">
        <v>33</v>
      </c>
      <c r="F16" s="47">
        <f>SUM(G16:H16,K16,L16)</f>
        <v>1784783</v>
      </c>
      <c r="G16" s="47">
        <v>1538808</v>
      </c>
      <c r="H16" s="1227">
        <v>15273</v>
      </c>
      <c r="I16" s="1032"/>
      <c r="J16" s="88">
        <v>230702</v>
      </c>
      <c r="K16" s="1036">
        <f t="shared" si="1"/>
        <v>230702</v>
      </c>
      <c r="L16" s="1029"/>
      <c r="N16" s="583"/>
    </row>
    <row r="17" spans="1:14" ht="17.25">
      <c r="A17" s="584">
        <v>11</v>
      </c>
      <c r="B17" s="1244"/>
      <c r="C17" s="574">
        <v>10</v>
      </c>
      <c r="D17" s="5" t="s">
        <v>592</v>
      </c>
      <c r="E17" s="562" t="s">
        <v>33</v>
      </c>
      <c r="F17" s="47">
        <f t="shared" si="0"/>
        <v>0</v>
      </c>
      <c r="G17" s="47"/>
      <c r="H17" s="1227"/>
      <c r="I17" s="1032">
        <v>37500</v>
      </c>
      <c r="J17" s="88">
        <v>-37500</v>
      </c>
      <c r="K17" s="1036">
        <f t="shared" si="1"/>
        <v>0</v>
      </c>
      <c r="L17" s="1029"/>
      <c r="N17" s="583"/>
    </row>
    <row r="18" spans="1:14" ht="17.25">
      <c r="A18" s="584">
        <v>12</v>
      </c>
      <c r="B18" s="1244"/>
      <c r="C18" s="574">
        <v>11</v>
      </c>
      <c r="D18" s="5" t="s">
        <v>136</v>
      </c>
      <c r="E18" s="562" t="s">
        <v>33</v>
      </c>
      <c r="F18" s="47">
        <f>SUM(G18:H18,K18,L18)</f>
        <v>48311</v>
      </c>
      <c r="G18" s="47">
        <v>0</v>
      </c>
      <c r="H18" s="1227">
        <v>298</v>
      </c>
      <c r="I18" s="1032">
        <v>48011</v>
      </c>
      <c r="J18" s="88">
        <v>2</v>
      </c>
      <c r="K18" s="1036">
        <f t="shared" si="1"/>
        <v>48013</v>
      </c>
      <c r="L18" s="1029"/>
      <c r="N18" s="583"/>
    </row>
    <row r="19" spans="1:14" ht="49.5">
      <c r="A19" s="890">
        <v>13</v>
      </c>
      <c r="B19" s="1244"/>
      <c r="C19" s="574">
        <v>12</v>
      </c>
      <c r="D19" s="5" t="s">
        <v>137</v>
      </c>
      <c r="E19" s="562" t="s">
        <v>33</v>
      </c>
      <c r="F19" s="47">
        <f t="shared" si="0"/>
        <v>131129</v>
      </c>
      <c r="G19" s="47">
        <v>0</v>
      </c>
      <c r="H19" s="1227">
        <v>4271</v>
      </c>
      <c r="I19" s="1032">
        <v>126829</v>
      </c>
      <c r="J19" s="88">
        <v>29</v>
      </c>
      <c r="K19" s="1036">
        <f t="shared" si="1"/>
        <v>126858</v>
      </c>
      <c r="L19" s="1029"/>
      <c r="N19" s="583"/>
    </row>
    <row r="20" spans="1:14" ht="22.5" customHeight="1">
      <c r="A20" s="584">
        <v>14</v>
      </c>
      <c r="B20" s="1244"/>
      <c r="C20" s="574">
        <v>13</v>
      </c>
      <c r="D20" s="5" t="s">
        <v>138</v>
      </c>
      <c r="E20" s="562" t="s">
        <v>33</v>
      </c>
      <c r="F20" s="47">
        <f t="shared" si="0"/>
        <v>100000</v>
      </c>
      <c r="G20" s="47"/>
      <c r="H20" s="1227"/>
      <c r="I20" s="1032">
        <v>100000</v>
      </c>
      <c r="J20" s="88"/>
      <c r="K20" s="1036">
        <f t="shared" si="1"/>
        <v>100000</v>
      </c>
      <c r="L20" s="1029"/>
      <c r="N20" s="583"/>
    </row>
    <row r="21" spans="1:14" ht="33">
      <c r="A21" s="890">
        <v>15</v>
      </c>
      <c r="B21" s="1244"/>
      <c r="C21" s="574">
        <v>14</v>
      </c>
      <c r="D21" s="5" t="s">
        <v>139</v>
      </c>
      <c r="E21" s="562" t="s">
        <v>33</v>
      </c>
      <c r="F21" s="47">
        <f t="shared" si="0"/>
        <v>5775</v>
      </c>
      <c r="G21" s="47"/>
      <c r="H21" s="1227"/>
      <c r="I21" s="1032">
        <v>5775</v>
      </c>
      <c r="J21" s="88"/>
      <c r="K21" s="1036">
        <f t="shared" si="1"/>
        <v>5775</v>
      </c>
      <c r="L21" s="1029"/>
      <c r="N21" s="583"/>
    </row>
    <row r="22" spans="1:14" ht="17.25">
      <c r="A22" s="584">
        <v>16</v>
      </c>
      <c r="B22" s="1244"/>
      <c r="C22" s="574">
        <v>15</v>
      </c>
      <c r="D22" s="5" t="s">
        <v>140</v>
      </c>
      <c r="E22" s="562" t="s">
        <v>33</v>
      </c>
      <c r="F22" s="47">
        <f t="shared" si="0"/>
        <v>179006</v>
      </c>
      <c r="G22" s="47"/>
      <c r="H22" s="1227"/>
      <c r="I22" s="1032">
        <v>179006</v>
      </c>
      <c r="J22" s="88"/>
      <c r="K22" s="1036">
        <f t="shared" si="1"/>
        <v>179006</v>
      </c>
      <c r="L22" s="1029"/>
      <c r="N22" s="583"/>
    </row>
    <row r="23" spans="1:14" ht="17.25">
      <c r="A23" s="584">
        <v>17</v>
      </c>
      <c r="B23" s="1244"/>
      <c r="C23" s="574">
        <v>16</v>
      </c>
      <c r="D23" s="5" t="s">
        <v>141</v>
      </c>
      <c r="E23" s="562" t="s">
        <v>33</v>
      </c>
      <c r="F23" s="47">
        <f t="shared" si="0"/>
        <v>40000</v>
      </c>
      <c r="G23" s="47"/>
      <c r="H23" s="1227"/>
      <c r="I23" s="1032">
        <v>40000</v>
      </c>
      <c r="J23" s="88"/>
      <c r="K23" s="1036">
        <f t="shared" si="1"/>
        <v>40000</v>
      </c>
      <c r="L23" s="1029"/>
      <c r="N23" s="583"/>
    </row>
    <row r="24" spans="1:14" ht="17.25">
      <c r="A24" s="584">
        <v>18</v>
      </c>
      <c r="B24" s="1244"/>
      <c r="C24" s="574">
        <v>17</v>
      </c>
      <c r="D24" s="5" t="s">
        <v>142</v>
      </c>
      <c r="E24" s="562" t="s">
        <v>33</v>
      </c>
      <c r="F24" s="47">
        <f t="shared" si="0"/>
        <v>800</v>
      </c>
      <c r="G24" s="47">
        <v>147</v>
      </c>
      <c r="H24" s="1227">
        <v>0</v>
      </c>
      <c r="I24" s="1032">
        <v>600</v>
      </c>
      <c r="J24" s="88">
        <v>53</v>
      </c>
      <c r="K24" s="1036">
        <f t="shared" si="1"/>
        <v>653</v>
      </c>
      <c r="L24" s="1029"/>
      <c r="N24" s="583"/>
    </row>
    <row r="25" spans="1:14" ht="33">
      <c r="A25" s="890">
        <v>19</v>
      </c>
      <c r="B25" s="1244"/>
      <c r="C25" s="574">
        <v>18</v>
      </c>
      <c r="D25" s="1287" t="s">
        <v>902</v>
      </c>
      <c r="E25" s="562" t="s">
        <v>33</v>
      </c>
      <c r="F25" s="47">
        <f t="shared" si="0"/>
        <v>28000</v>
      </c>
      <c r="G25" s="47"/>
      <c r="H25" s="1227">
        <v>24613</v>
      </c>
      <c r="I25" s="1032"/>
      <c r="J25" s="88">
        <v>3387</v>
      </c>
      <c r="K25" s="1036">
        <f t="shared" si="1"/>
        <v>3387</v>
      </c>
      <c r="L25" s="1029"/>
      <c r="N25" s="583"/>
    </row>
    <row r="26" spans="1:14" ht="49.5">
      <c r="A26" s="890">
        <v>20</v>
      </c>
      <c r="B26" s="1244"/>
      <c r="C26" s="574">
        <v>19</v>
      </c>
      <c r="D26" s="1287" t="s">
        <v>882</v>
      </c>
      <c r="E26" s="562" t="s">
        <v>33</v>
      </c>
      <c r="F26" s="47">
        <f t="shared" si="0"/>
        <v>9356</v>
      </c>
      <c r="G26" s="47">
        <v>2356</v>
      </c>
      <c r="H26" s="1227"/>
      <c r="I26" s="1032"/>
      <c r="J26" s="88">
        <v>7000</v>
      </c>
      <c r="K26" s="1036">
        <f t="shared" si="1"/>
        <v>7000</v>
      </c>
      <c r="L26" s="1029"/>
      <c r="N26" s="583"/>
    </row>
    <row r="27" spans="1:14" ht="49.5">
      <c r="A27" s="890">
        <v>21</v>
      </c>
      <c r="B27" s="1244"/>
      <c r="C27" s="574">
        <v>20</v>
      </c>
      <c r="D27" s="1287" t="s">
        <v>883</v>
      </c>
      <c r="E27" s="562" t="s">
        <v>33</v>
      </c>
      <c r="F27" s="47">
        <f t="shared" si="0"/>
        <v>15290</v>
      </c>
      <c r="G27" s="47"/>
      <c r="H27" s="1227"/>
      <c r="I27" s="1032"/>
      <c r="J27" s="88">
        <v>15290</v>
      </c>
      <c r="K27" s="1036">
        <f t="shared" si="1"/>
        <v>15290</v>
      </c>
      <c r="L27" s="1029"/>
      <c r="N27" s="583"/>
    </row>
    <row r="28" spans="1:14" ht="33">
      <c r="A28" s="584">
        <v>22</v>
      </c>
      <c r="B28" s="1244"/>
      <c r="C28" s="574">
        <v>21</v>
      </c>
      <c r="D28" s="5" t="s">
        <v>143</v>
      </c>
      <c r="E28" s="562" t="s">
        <v>33</v>
      </c>
      <c r="F28" s="47">
        <f t="shared" si="0"/>
        <v>69500</v>
      </c>
      <c r="G28" s="47">
        <v>0</v>
      </c>
      <c r="H28" s="1227">
        <v>0</v>
      </c>
      <c r="I28" s="1032">
        <v>65000</v>
      </c>
      <c r="J28" s="88">
        <v>4500</v>
      </c>
      <c r="K28" s="1036">
        <f t="shared" si="1"/>
        <v>69500</v>
      </c>
      <c r="L28" s="1029"/>
      <c r="N28" s="583"/>
    </row>
    <row r="29" spans="1:14" ht="17.25">
      <c r="A29" s="584">
        <v>23</v>
      </c>
      <c r="B29" s="1244"/>
      <c r="C29" s="574">
        <v>22</v>
      </c>
      <c r="D29" s="5" t="s">
        <v>144</v>
      </c>
      <c r="E29" s="562" t="s">
        <v>33</v>
      </c>
      <c r="F29" s="47">
        <f t="shared" si="0"/>
        <v>9700</v>
      </c>
      <c r="G29" s="47">
        <v>0</v>
      </c>
      <c r="H29" s="1227">
        <v>0</v>
      </c>
      <c r="I29" s="1032">
        <v>5000</v>
      </c>
      <c r="J29" s="88">
        <v>4700</v>
      </c>
      <c r="K29" s="1036">
        <f t="shared" si="1"/>
        <v>9700</v>
      </c>
      <c r="L29" s="1029"/>
      <c r="N29" s="583"/>
    </row>
    <row r="30" spans="1:14" ht="33">
      <c r="A30" s="890">
        <v>24</v>
      </c>
      <c r="B30" s="1244"/>
      <c r="C30" s="574">
        <v>23</v>
      </c>
      <c r="D30" s="5" t="s">
        <v>145</v>
      </c>
      <c r="E30" s="562" t="s">
        <v>33</v>
      </c>
      <c r="F30" s="47">
        <f t="shared" si="0"/>
        <v>438381</v>
      </c>
      <c r="G30" s="47">
        <f>123732+109329</f>
        <v>233061</v>
      </c>
      <c r="H30" s="1227">
        <v>87887</v>
      </c>
      <c r="I30" s="1032">
        <v>117433</v>
      </c>
      <c r="J30" s="88"/>
      <c r="K30" s="1036">
        <f t="shared" si="1"/>
        <v>117433</v>
      </c>
      <c r="L30" s="1029"/>
      <c r="N30" s="583"/>
    </row>
    <row r="31" spans="1:14" ht="17.25">
      <c r="A31" s="584">
        <v>25</v>
      </c>
      <c r="B31" s="1244"/>
      <c r="C31" s="574">
        <v>24</v>
      </c>
      <c r="D31" s="5" t="s">
        <v>146</v>
      </c>
      <c r="E31" s="562" t="s">
        <v>33</v>
      </c>
      <c r="F31" s="47">
        <f t="shared" si="0"/>
        <v>200025</v>
      </c>
      <c r="G31" s="47">
        <v>72525</v>
      </c>
      <c r="H31" s="1227">
        <v>70000</v>
      </c>
      <c r="I31" s="1032">
        <v>57500</v>
      </c>
      <c r="J31" s="88"/>
      <c r="K31" s="1036">
        <f t="shared" si="1"/>
        <v>57500</v>
      </c>
      <c r="L31" s="1029"/>
      <c r="N31" s="583"/>
    </row>
    <row r="32" spans="1:14" ht="17.25">
      <c r="A32" s="584">
        <v>26</v>
      </c>
      <c r="B32" s="1244"/>
      <c r="C32" s="574">
        <v>25</v>
      </c>
      <c r="D32" s="5" t="s">
        <v>587</v>
      </c>
      <c r="E32" s="562" t="s">
        <v>33</v>
      </c>
      <c r="F32" s="47">
        <f t="shared" si="0"/>
        <v>12165</v>
      </c>
      <c r="G32" s="47">
        <v>0</v>
      </c>
      <c r="H32" s="1227">
        <v>5765</v>
      </c>
      <c r="I32" s="1032">
        <v>5200</v>
      </c>
      <c r="J32" s="88">
        <v>1200</v>
      </c>
      <c r="K32" s="1036">
        <f t="shared" si="1"/>
        <v>6400</v>
      </c>
      <c r="L32" s="1029"/>
      <c r="N32" s="583"/>
    </row>
    <row r="33" spans="1:14" ht="17.25">
      <c r="A33" s="584">
        <v>27</v>
      </c>
      <c r="B33" s="1244"/>
      <c r="C33" s="574">
        <v>26</v>
      </c>
      <c r="D33" s="5" t="s">
        <v>147</v>
      </c>
      <c r="E33" s="562" t="s">
        <v>33</v>
      </c>
      <c r="F33" s="47">
        <f t="shared" si="0"/>
        <v>29895</v>
      </c>
      <c r="G33" s="47">
        <v>0</v>
      </c>
      <c r="H33" s="1227">
        <v>19895</v>
      </c>
      <c r="I33" s="1032">
        <v>10000</v>
      </c>
      <c r="J33" s="88"/>
      <c r="K33" s="1036">
        <f t="shared" si="1"/>
        <v>10000</v>
      </c>
      <c r="L33" s="1029"/>
      <c r="N33" s="583"/>
    </row>
    <row r="34" spans="1:14" ht="17.25">
      <c r="A34" s="584">
        <v>28</v>
      </c>
      <c r="B34" s="1244"/>
      <c r="C34" s="574">
        <v>27</v>
      </c>
      <c r="D34" s="5" t="s">
        <v>148</v>
      </c>
      <c r="E34" s="562" t="s">
        <v>33</v>
      </c>
      <c r="F34" s="47">
        <f t="shared" si="0"/>
        <v>44000</v>
      </c>
      <c r="G34" s="47">
        <v>790</v>
      </c>
      <c r="H34" s="1227">
        <v>0</v>
      </c>
      <c r="I34" s="1032">
        <v>20000</v>
      </c>
      <c r="J34" s="88">
        <v>19210</v>
      </c>
      <c r="K34" s="1036">
        <f t="shared" si="1"/>
        <v>39210</v>
      </c>
      <c r="L34" s="1029">
        <v>4000</v>
      </c>
      <c r="N34" s="583"/>
    </row>
    <row r="35" spans="1:14" ht="17.25">
      <c r="A35" s="584">
        <v>29</v>
      </c>
      <c r="B35" s="1244"/>
      <c r="C35" s="574">
        <v>28</v>
      </c>
      <c r="D35" s="1287" t="s">
        <v>885</v>
      </c>
      <c r="E35" s="562" t="s">
        <v>33</v>
      </c>
      <c r="F35" s="47">
        <f t="shared" si="0"/>
        <v>3000</v>
      </c>
      <c r="G35" s="47"/>
      <c r="H35" s="1227"/>
      <c r="I35" s="1032"/>
      <c r="J35" s="88">
        <v>3000</v>
      </c>
      <c r="K35" s="1036">
        <f t="shared" si="1"/>
        <v>3000</v>
      </c>
      <c r="L35" s="1029"/>
      <c r="N35" s="583"/>
    </row>
    <row r="36" spans="1:14" ht="17.25">
      <c r="A36" s="584">
        <v>30</v>
      </c>
      <c r="B36" s="1244"/>
      <c r="C36" s="574">
        <v>29</v>
      </c>
      <c r="D36" s="5" t="s">
        <v>149</v>
      </c>
      <c r="E36" s="562" t="s">
        <v>33</v>
      </c>
      <c r="F36" s="47">
        <f t="shared" si="0"/>
        <v>3500</v>
      </c>
      <c r="G36" s="47">
        <v>0</v>
      </c>
      <c r="H36" s="1227">
        <v>547</v>
      </c>
      <c r="I36" s="1032">
        <v>2000</v>
      </c>
      <c r="J36" s="88">
        <v>953</v>
      </c>
      <c r="K36" s="1036">
        <f t="shared" si="1"/>
        <v>2953</v>
      </c>
      <c r="L36" s="1029"/>
      <c r="N36" s="583"/>
    </row>
    <row r="37" spans="1:14" ht="17.25">
      <c r="A37" s="584">
        <v>31</v>
      </c>
      <c r="B37" s="1244"/>
      <c r="C37" s="574">
        <v>30</v>
      </c>
      <c r="D37" s="1287" t="s">
        <v>886</v>
      </c>
      <c r="E37" s="562" t="s">
        <v>33</v>
      </c>
      <c r="F37" s="47">
        <f t="shared" si="0"/>
        <v>1000</v>
      </c>
      <c r="G37" s="47"/>
      <c r="H37" s="1227"/>
      <c r="I37" s="1032"/>
      <c r="J37" s="88">
        <v>1000</v>
      </c>
      <c r="K37" s="1036">
        <f t="shared" si="1"/>
        <v>1000</v>
      </c>
      <c r="L37" s="1029"/>
      <c r="N37" s="583"/>
    </row>
    <row r="38" spans="1:14" ht="17.25">
      <c r="A38" s="584">
        <v>32</v>
      </c>
      <c r="B38" s="1244"/>
      <c r="C38" s="574">
        <v>31</v>
      </c>
      <c r="D38" s="1287" t="s">
        <v>887</v>
      </c>
      <c r="E38" s="562" t="s">
        <v>33</v>
      </c>
      <c r="F38" s="47">
        <f t="shared" si="0"/>
        <v>2912</v>
      </c>
      <c r="G38" s="47"/>
      <c r="H38" s="1227"/>
      <c r="I38" s="1032"/>
      <c r="J38" s="88">
        <v>2912</v>
      </c>
      <c r="K38" s="1036">
        <f t="shared" si="1"/>
        <v>2912</v>
      </c>
      <c r="L38" s="1029"/>
      <c r="N38" s="583"/>
    </row>
    <row r="39" spans="1:14" ht="17.25">
      <c r="A39" s="584">
        <v>33</v>
      </c>
      <c r="B39" s="1244"/>
      <c r="C39" s="574">
        <v>32</v>
      </c>
      <c r="D39" s="1287" t="s">
        <v>889</v>
      </c>
      <c r="E39" s="562" t="s">
        <v>33</v>
      </c>
      <c r="F39" s="47">
        <f t="shared" si="0"/>
        <v>10639</v>
      </c>
      <c r="G39" s="47">
        <v>642</v>
      </c>
      <c r="H39" s="1227">
        <v>1028</v>
      </c>
      <c r="I39" s="1032"/>
      <c r="J39" s="88">
        <v>8969</v>
      </c>
      <c r="K39" s="1036">
        <f t="shared" si="1"/>
        <v>8969</v>
      </c>
      <c r="L39" s="1029"/>
      <c r="N39" s="583"/>
    </row>
    <row r="40" spans="1:14" ht="17.25">
      <c r="A40" s="584">
        <v>34</v>
      </c>
      <c r="B40" s="1244"/>
      <c r="C40" s="574">
        <v>33</v>
      </c>
      <c r="D40" s="1287" t="s">
        <v>888</v>
      </c>
      <c r="E40" s="562" t="s">
        <v>33</v>
      </c>
      <c r="F40" s="47">
        <f t="shared" si="0"/>
        <v>1951</v>
      </c>
      <c r="G40" s="47"/>
      <c r="H40" s="1227"/>
      <c r="I40" s="1032"/>
      <c r="J40" s="88">
        <v>1951</v>
      </c>
      <c r="K40" s="1036">
        <f t="shared" si="1"/>
        <v>1951</v>
      </c>
      <c r="L40" s="1029"/>
      <c r="N40" s="583"/>
    </row>
    <row r="41" spans="1:14" ht="17.25">
      <c r="A41" s="584">
        <v>35</v>
      </c>
      <c r="B41" s="1244"/>
      <c r="C41" s="574">
        <v>34</v>
      </c>
      <c r="D41" s="1287" t="s">
        <v>890</v>
      </c>
      <c r="E41" s="562" t="s">
        <v>33</v>
      </c>
      <c r="F41" s="47">
        <f t="shared" si="0"/>
        <v>3940</v>
      </c>
      <c r="G41" s="47"/>
      <c r="H41" s="1227">
        <v>3396</v>
      </c>
      <c r="I41" s="1032"/>
      <c r="J41" s="88">
        <v>544</v>
      </c>
      <c r="K41" s="1036">
        <f t="shared" si="1"/>
        <v>544</v>
      </c>
      <c r="L41" s="1029"/>
      <c r="N41" s="583"/>
    </row>
    <row r="42" spans="1:14" ht="17.25">
      <c r="A42" s="584">
        <v>36</v>
      </c>
      <c r="B42" s="1244"/>
      <c r="C42" s="574">
        <v>35</v>
      </c>
      <c r="D42" s="1287" t="s">
        <v>921</v>
      </c>
      <c r="E42" s="562" t="s">
        <v>33</v>
      </c>
      <c r="F42" s="47">
        <f t="shared" si="0"/>
        <v>170</v>
      </c>
      <c r="G42" s="47"/>
      <c r="H42" s="1227">
        <v>60</v>
      </c>
      <c r="I42" s="1032"/>
      <c r="J42" s="88">
        <v>110</v>
      </c>
      <c r="K42" s="1036">
        <f t="shared" si="1"/>
        <v>110</v>
      </c>
      <c r="L42" s="1029"/>
      <c r="N42" s="583"/>
    </row>
    <row r="43" spans="1:14" ht="33">
      <c r="A43" s="890">
        <v>37</v>
      </c>
      <c r="B43" s="1244"/>
      <c r="C43" s="574">
        <v>36</v>
      </c>
      <c r="D43" s="1287" t="s">
        <v>891</v>
      </c>
      <c r="E43" s="562" t="s">
        <v>33</v>
      </c>
      <c r="F43" s="47">
        <f t="shared" si="0"/>
        <v>1300</v>
      </c>
      <c r="G43" s="47"/>
      <c r="H43" s="1227">
        <v>953</v>
      </c>
      <c r="I43" s="1032"/>
      <c r="J43" s="88">
        <v>347</v>
      </c>
      <c r="K43" s="1036">
        <f t="shared" si="1"/>
        <v>347</v>
      </c>
      <c r="L43" s="1029"/>
      <c r="N43" s="583"/>
    </row>
    <row r="44" spans="1:14" ht="17.25">
      <c r="A44" s="584">
        <v>38</v>
      </c>
      <c r="B44" s="1244"/>
      <c r="C44" s="574">
        <v>37</v>
      </c>
      <c r="D44" s="1287" t="s">
        <v>922</v>
      </c>
      <c r="E44" s="562" t="s">
        <v>33</v>
      </c>
      <c r="F44" s="47">
        <f t="shared" si="0"/>
        <v>800</v>
      </c>
      <c r="G44" s="47"/>
      <c r="H44" s="1227"/>
      <c r="I44" s="1032"/>
      <c r="J44" s="88">
        <v>800</v>
      </c>
      <c r="K44" s="1036">
        <f t="shared" si="1"/>
        <v>800</v>
      </c>
      <c r="L44" s="1029"/>
      <c r="N44" s="583"/>
    </row>
    <row r="45" spans="1:14" ht="17.25">
      <c r="A45" s="584">
        <v>39</v>
      </c>
      <c r="B45" s="1244"/>
      <c r="C45" s="574">
        <v>38</v>
      </c>
      <c r="D45" s="1287" t="s">
        <v>896</v>
      </c>
      <c r="E45" s="562" t="s">
        <v>33</v>
      </c>
      <c r="F45" s="47">
        <f t="shared" si="0"/>
        <v>10478</v>
      </c>
      <c r="G45" s="47"/>
      <c r="H45" s="1227"/>
      <c r="I45" s="1032"/>
      <c r="J45" s="88">
        <v>10478</v>
      </c>
      <c r="K45" s="1036">
        <f t="shared" si="1"/>
        <v>10478</v>
      </c>
      <c r="L45" s="1029"/>
      <c r="N45" s="583"/>
    </row>
    <row r="46" spans="1:14" ht="17.25">
      <c r="A46" s="584">
        <v>40</v>
      </c>
      <c r="B46" s="1244"/>
      <c r="C46" s="574">
        <v>39</v>
      </c>
      <c r="D46" s="5" t="s">
        <v>588</v>
      </c>
      <c r="E46" s="562" t="s">
        <v>33</v>
      </c>
      <c r="F46" s="47">
        <f t="shared" si="0"/>
        <v>2000</v>
      </c>
      <c r="G46" s="47"/>
      <c r="H46" s="1227"/>
      <c r="I46" s="1032">
        <v>2000</v>
      </c>
      <c r="J46" s="88"/>
      <c r="K46" s="1036">
        <f t="shared" si="1"/>
        <v>2000</v>
      </c>
      <c r="L46" s="1029"/>
      <c r="N46" s="583"/>
    </row>
    <row r="47" spans="1:14" ht="17.25">
      <c r="A47" s="584">
        <v>41</v>
      </c>
      <c r="B47" s="1244"/>
      <c r="C47" s="574">
        <v>40</v>
      </c>
      <c r="D47" s="5" t="s">
        <v>150</v>
      </c>
      <c r="E47" s="562" t="s">
        <v>33</v>
      </c>
      <c r="F47" s="47">
        <f t="shared" si="0"/>
        <v>3000</v>
      </c>
      <c r="G47" s="47"/>
      <c r="H47" s="1227"/>
      <c r="I47" s="1032">
        <v>3000</v>
      </c>
      <c r="J47" s="88"/>
      <c r="K47" s="1036">
        <f t="shared" si="1"/>
        <v>3000</v>
      </c>
      <c r="L47" s="1029"/>
      <c r="N47" s="583"/>
    </row>
    <row r="48" spans="1:14" ht="17.25">
      <c r="A48" s="584">
        <v>42</v>
      </c>
      <c r="B48" s="1244"/>
      <c r="C48" s="574">
        <v>41</v>
      </c>
      <c r="D48" s="5" t="s">
        <v>151</v>
      </c>
      <c r="E48" s="562" t="s">
        <v>33</v>
      </c>
      <c r="F48" s="47">
        <f t="shared" si="0"/>
        <v>13000</v>
      </c>
      <c r="G48" s="47"/>
      <c r="H48" s="1227"/>
      <c r="I48" s="1032">
        <v>13000</v>
      </c>
      <c r="J48" s="88"/>
      <c r="K48" s="1036">
        <f t="shared" si="1"/>
        <v>13000</v>
      </c>
      <c r="L48" s="1029"/>
      <c r="N48" s="583"/>
    </row>
    <row r="49" spans="1:14" ht="17.25">
      <c r="A49" s="584">
        <v>43</v>
      </c>
      <c r="B49" s="1244"/>
      <c r="C49" s="574">
        <v>42</v>
      </c>
      <c r="D49" s="5" t="s">
        <v>152</v>
      </c>
      <c r="E49" s="562" t="s">
        <v>33</v>
      </c>
      <c r="F49" s="47">
        <f t="shared" si="0"/>
        <v>24000</v>
      </c>
      <c r="G49" s="47"/>
      <c r="H49" s="1227"/>
      <c r="I49" s="1032">
        <v>24000</v>
      </c>
      <c r="J49" s="88"/>
      <c r="K49" s="1036">
        <f t="shared" si="1"/>
        <v>24000</v>
      </c>
      <c r="L49" s="1029"/>
      <c r="N49" s="583"/>
    </row>
    <row r="50" spans="1:14" ht="17.25">
      <c r="A50" s="584">
        <v>44</v>
      </c>
      <c r="B50" s="1244"/>
      <c r="C50" s="574">
        <v>43</v>
      </c>
      <c r="D50" s="5" t="s">
        <v>153</v>
      </c>
      <c r="E50" s="562" t="s">
        <v>33</v>
      </c>
      <c r="F50" s="47">
        <f t="shared" si="0"/>
        <v>29510</v>
      </c>
      <c r="G50" s="47"/>
      <c r="H50" s="1227"/>
      <c r="I50" s="1032">
        <v>30000</v>
      </c>
      <c r="J50" s="88">
        <v>-490</v>
      </c>
      <c r="K50" s="1036">
        <f t="shared" si="1"/>
        <v>29510</v>
      </c>
      <c r="L50" s="1029"/>
      <c r="N50" s="583"/>
    </row>
    <row r="51" spans="1:14" ht="17.25">
      <c r="A51" s="584">
        <v>45</v>
      </c>
      <c r="B51" s="1244"/>
      <c r="C51" s="574">
        <v>44</v>
      </c>
      <c r="D51" s="5" t="s">
        <v>155</v>
      </c>
      <c r="E51" s="562" t="s">
        <v>33</v>
      </c>
      <c r="F51" s="47">
        <f t="shared" si="0"/>
        <v>12700</v>
      </c>
      <c r="G51" s="47">
        <v>0</v>
      </c>
      <c r="H51" s="1227">
        <v>0</v>
      </c>
      <c r="I51" s="1032">
        <v>12000</v>
      </c>
      <c r="J51" s="88">
        <v>700</v>
      </c>
      <c r="K51" s="1036">
        <f t="shared" si="1"/>
        <v>12700</v>
      </c>
      <c r="L51" s="1029"/>
      <c r="N51" s="583"/>
    </row>
    <row r="52" spans="1:14" ht="32.25" customHeight="1">
      <c r="A52" s="890">
        <v>46</v>
      </c>
      <c r="B52" s="1244"/>
      <c r="C52" s="574">
        <v>45</v>
      </c>
      <c r="D52" s="5" t="s">
        <v>156</v>
      </c>
      <c r="E52" s="562" t="s">
        <v>33</v>
      </c>
      <c r="F52" s="47">
        <f t="shared" si="0"/>
        <v>7000</v>
      </c>
      <c r="G52" s="47">
        <v>0</v>
      </c>
      <c r="H52" s="1227"/>
      <c r="I52" s="1032">
        <v>7000</v>
      </c>
      <c r="J52" s="88"/>
      <c r="K52" s="1036">
        <f t="shared" si="1"/>
        <v>7000</v>
      </c>
      <c r="L52" s="1029"/>
      <c r="N52" s="583"/>
    </row>
    <row r="53" spans="1:14" ht="17.25">
      <c r="A53" s="584">
        <v>47</v>
      </c>
      <c r="B53" s="1244"/>
      <c r="C53" s="574">
        <v>46</v>
      </c>
      <c r="D53" s="5" t="s">
        <v>157</v>
      </c>
      <c r="E53" s="562" t="s">
        <v>33</v>
      </c>
      <c r="F53" s="47">
        <f t="shared" si="0"/>
        <v>10119</v>
      </c>
      <c r="G53" s="47">
        <v>80</v>
      </c>
      <c r="H53" s="1227">
        <v>496</v>
      </c>
      <c r="I53" s="1032">
        <v>9300</v>
      </c>
      <c r="J53" s="88">
        <v>243</v>
      </c>
      <c r="K53" s="1036">
        <f t="shared" si="1"/>
        <v>9543</v>
      </c>
      <c r="L53" s="1029"/>
      <c r="N53" s="583"/>
    </row>
    <row r="54" spans="1:14" ht="33">
      <c r="A54" s="890">
        <v>48</v>
      </c>
      <c r="B54" s="1244"/>
      <c r="C54" s="574">
        <v>47</v>
      </c>
      <c r="D54" s="5" t="s">
        <v>158</v>
      </c>
      <c r="E54" s="562" t="s">
        <v>33</v>
      </c>
      <c r="F54" s="47">
        <f t="shared" si="0"/>
        <v>16712</v>
      </c>
      <c r="G54" s="47">
        <v>0</v>
      </c>
      <c r="H54" s="1227">
        <v>11694</v>
      </c>
      <c r="I54" s="1032">
        <v>4700</v>
      </c>
      <c r="J54" s="88">
        <v>318</v>
      </c>
      <c r="K54" s="1036">
        <f t="shared" si="1"/>
        <v>5018</v>
      </c>
      <c r="L54" s="1029"/>
      <c r="N54" s="583"/>
    </row>
    <row r="55" spans="1:14" ht="17.25">
      <c r="A55" s="584">
        <v>49</v>
      </c>
      <c r="B55" s="1244"/>
      <c r="C55" s="574">
        <v>48</v>
      </c>
      <c r="D55" s="5" t="s">
        <v>159</v>
      </c>
      <c r="E55" s="562" t="s">
        <v>33</v>
      </c>
      <c r="F55" s="47">
        <f t="shared" si="0"/>
        <v>15453</v>
      </c>
      <c r="G55" s="47">
        <v>0</v>
      </c>
      <c r="H55" s="1227">
        <v>466</v>
      </c>
      <c r="I55" s="1032">
        <v>14700</v>
      </c>
      <c r="J55" s="88">
        <v>287</v>
      </c>
      <c r="K55" s="1036">
        <f t="shared" si="1"/>
        <v>14987</v>
      </c>
      <c r="L55" s="1029"/>
      <c r="N55" s="583"/>
    </row>
    <row r="56" spans="1:14" ht="17.25">
      <c r="A56" s="584">
        <v>50</v>
      </c>
      <c r="B56" s="1244"/>
      <c r="C56" s="574">
        <v>49</v>
      </c>
      <c r="D56" s="5" t="s">
        <v>160</v>
      </c>
      <c r="E56" s="562" t="s">
        <v>33</v>
      </c>
      <c r="F56" s="47">
        <f t="shared" si="0"/>
        <v>31922</v>
      </c>
      <c r="G56" s="47">
        <v>0</v>
      </c>
      <c r="H56" s="1227">
        <v>6342</v>
      </c>
      <c r="I56" s="1032">
        <v>15000</v>
      </c>
      <c r="J56" s="88">
        <v>10580</v>
      </c>
      <c r="K56" s="1036">
        <f t="shared" si="1"/>
        <v>25580</v>
      </c>
      <c r="L56" s="1029"/>
      <c r="N56" s="583"/>
    </row>
    <row r="57" spans="1:14" ht="17.25">
      <c r="A57" s="584">
        <v>51</v>
      </c>
      <c r="B57" s="1244"/>
      <c r="C57" s="574">
        <v>50</v>
      </c>
      <c r="D57" s="5" t="s">
        <v>161</v>
      </c>
      <c r="E57" s="562" t="s">
        <v>33</v>
      </c>
      <c r="F57" s="47">
        <f t="shared" si="0"/>
        <v>9600</v>
      </c>
      <c r="G57" s="47">
        <v>0</v>
      </c>
      <c r="H57" s="1227">
        <v>5981</v>
      </c>
      <c r="I57" s="1032">
        <v>2300</v>
      </c>
      <c r="J57" s="88">
        <v>1319</v>
      </c>
      <c r="K57" s="1036">
        <f t="shared" si="1"/>
        <v>3619</v>
      </c>
      <c r="L57" s="1029"/>
      <c r="N57" s="583"/>
    </row>
    <row r="58" spans="1:14" ht="17.25">
      <c r="A58" s="584">
        <v>52</v>
      </c>
      <c r="B58" s="1244"/>
      <c r="C58" s="574">
        <v>51</v>
      </c>
      <c r="D58" s="5" t="s">
        <v>162</v>
      </c>
      <c r="E58" s="562" t="s">
        <v>33</v>
      </c>
      <c r="F58" s="47">
        <f t="shared" si="0"/>
        <v>53500</v>
      </c>
      <c r="G58" s="47"/>
      <c r="H58" s="1227">
        <v>27729</v>
      </c>
      <c r="I58" s="1032">
        <v>25000</v>
      </c>
      <c r="J58" s="88">
        <v>771</v>
      </c>
      <c r="K58" s="1036">
        <f t="shared" si="1"/>
        <v>25771</v>
      </c>
      <c r="L58" s="1029"/>
      <c r="N58" s="583"/>
    </row>
    <row r="59" spans="1:14" ht="17.25">
      <c r="A59" s="584">
        <v>53</v>
      </c>
      <c r="B59" s="1244"/>
      <c r="C59" s="574">
        <v>52</v>
      </c>
      <c r="D59" s="1287" t="s">
        <v>897</v>
      </c>
      <c r="E59" s="562" t="s">
        <v>33</v>
      </c>
      <c r="F59" s="47">
        <f t="shared" si="0"/>
        <v>10000</v>
      </c>
      <c r="G59" s="47"/>
      <c r="H59" s="1227"/>
      <c r="I59" s="1032"/>
      <c r="J59" s="88">
        <v>10000</v>
      </c>
      <c r="K59" s="1036">
        <f t="shared" si="1"/>
        <v>10000</v>
      </c>
      <c r="L59" s="1029"/>
      <c r="N59" s="583"/>
    </row>
    <row r="60" spans="1:14" ht="17.25">
      <c r="A60" s="584">
        <v>54</v>
      </c>
      <c r="B60" s="1244"/>
      <c r="C60" s="574">
        <v>53</v>
      </c>
      <c r="D60" s="5" t="s">
        <v>163</v>
      </c>
      <c r="E60" s="562" t="s">
        <v>33</v>
      </c>
      <c r="F60" s="47">
        <f t="shared" si="0"/>
        <v>402514</v>
      </c>
      <c r="G60" s="47">
        <f>2150+364</f>
        <v>2514</v>
      </c>
      <c r="H60" s="1227">
        <v>4</v>
      </c>
      <c r="I60" s="1032">
        <v>0</v>
      </c>
      <c r="J60" s="88">
        <v>24996</v>
      </c>
      <c r="K60" s="1036">
        <f t="shared" si="1"/>
        <v>24996</v>
      </c>
      <c r="L60" s="1029">
        <v>375000</v>
      </c>
      <c r="N60" s="583"/>
    </row>
    <row r="61" spans="1:14" ht="17.25">
      <c r="A61" s="584">
        <v>55</v>
      </c>
      <c r="B61" s="1244"/>
      <c r="C61" s="574">
        <v>54</v>
      </c>
      <c r="D61" s="5" t="s">
        <v>164</v>
      </c>
      <c r="E61" s="562" t="s">
        <v>33</v>
      </c>
      <c r="F61" s="47">
        <f t="shared" si="0"/>
        <v>34000</v>
      </c>
      <c r="G61" s="47"/>
      <c r="H61" s="1227">
        <v>12375</v>
      </c>
      <c r="I61" s="1032">
        <v>21000</v>
      </c>
      <c r="J61" s="88">
        <v>625</v>
      </c>
      <c r="K61" s="1036">
        <f t="shared" si="1"/>
        <v>21625</v>
      </c>
      <c r="L61" s="1029"/>
      <c r="N61" s="583"/>
    </row>
    <row r="62" spans="1:14" ht="17.25">
      <c r="A62" s="584">
        <v>56</v>
      </c>
      <c r="B62" s="1244"/>
      <c r="C62" s="574">
        <v>55</v>
      </c>
      <c r="D62" s="1287" t="s">
        <v>904</v>
      </c>
      <c r="E62" s="562" t="s">
        <v>33</v>
      </c>
      <c r="F62" s="47">
        <f t="shared" si="0"/>
        <v>9140</v>
      </c>
      <c r="G62" s="47"/>
      <c r="H62" s="1227"/>
      <c r="I62" s="1032"/>
      <c r="J62" s="88">
        <v>9140</v>
      </c>
      <c r="K62" s="1036">
        <f t="shared" si="1"/>
        <v>9140</v>
      </c>
      <c r="L62" s="1029"/>
      <c r="N62" s="583"/>
    </row>
    <row r="63" spans="1:14" ht="33">
      <c r="A63" s="890">
        <v>57</v>
      </c>
      <c r="B63" s="1244"/>
      <c r="C63" s="574">
        <v>56</v>
      </c>
      <c r="D63" s="5" t="s">
        <v>165</v>
      </c>
      <c r="E63" s="562" t="s">
        <v>33</v>
      </c>
      <c r="F63" s="47">
        <f t="shared" si="0"/>
        <v>0</v>
      </c>
      <c r="G63" s="47"/>
      <c r="H63" s="1227"/>
      <c r="I63" s="1032">
        <v>6200</v>
      </c>
      <c r="J63" s="88">
        <v>-6200</v>
      </c>
      <c r="K63" s="1036">
        <f t="shared" si="1"/>
        <v>0</v>
      </c>
      <c r="L63" s="1029"/>
      <c r="N63" s="583"/>
    </row>
    <row r="64" spans="1:14" ht="150" customHeight="1">
      <c r="A64" s="890">
        <v>58</v>
      </c>
      <c r="B64" s="1244"/>
      <c r="C64" s="574">
        <v>57</v>
      </c>
      <c r="D64" s="1228" t="s">
        <v>1153</v>
      </c>
      <c r="E64" s="562" t="s">
        <v>33</v>
      </c>
      <c r="F64" s="47">
        <f t="shared" si="0"/>
        <v>40000</v>
      </c>
      <c r="G64" s="47"/>
      <c r="H64" s="1227"/>
      <c r="I64" s="1032">
        <v>40000</v>
      </c>
      <c r="J64" s="88"/>
      <c r="K64" s="1036">
        <f t="shared" si="1"/>
        <v>40000</v>
      </c>
      <c r="L64" s="1029"/>
      <c r="N64" s="583"/>
    </row>
    <row r="65" spans="1:14" ht="17.25">
      <c r="A65" s="584">
        <v>59</v>
      </c>
      <c r="B65" s="1244"/>
      <c r="C65" s="574">
        <v>58</v>
      </c>
      <c r="D65" s="1228" t="s">
        <v>166</v>
      </c>
      <c r="E65" s="562" t="s">
        <v>33</v>
      </c>
      <c r="F65" s="47">
        <f t="shared" si="0"/>
        <v>20000</v>
      </c>
      <c r="G65" s="47"/>
      <c r="H65" s="1227"/>
      <c r="I65" s="1032">
        <v>1500</v>
      </c>
      <c r="J65" s="88"/>
      <c r="K65" s="1036">
        <f t="shared" si="1"/>
        <v>1500</v>
      </c>
      <c r="L65" s="1029">
        <v>18500</v>
      </c>
      <c r="N65" s="583"/>
    </row>
    <row r="66" spans="1:14" ht="17.25">
      <c r="A66" s="584">
        <v>60</v>
      </c>
      <c r="B66" s="1244"/>
      <c r="C66" s="574">
        <v>59</v>
      </c>
      <c r="D66" s="5" t="s">
        <v>167</v>
      </c>
      <c r="E66" s="562" t="s">
        <v>33</v>
      </c>
      <c r="F66" s="47">
        <f>SUM(G66:H66,K66,L66)</f>
        <v>60000</v>
      </c>
      <c r="G66" s="47"/>
      <c r="H66" s="1227"/>
      <c r="I66" s="1032">
        <v>195000</v>
      </c>
      <c r="J66" s="88">
        <f>7587-195000+2413</f>
        <v>-185000</v>
      </c>
      <c r="K66" s="1036">
        <f t="shared" si="1"/>
        <v>10000</v>
      </c>
      <c r="L66" s="1029">
        <v>50000</v>
      </c>
      <c r="N66" s="583"/>
    </row>
    <row r="67" spans="1:14" ht="17.25">
      <c r="A67" s="584">
        <v>61</v>
      </c>
      <c r="B67" s="1244"/>
      <c r="C67" s="574">
        <v>60</v>
      </c>
      <c r="D67" s="5" t="s">
        <v>953</v>
      </c>
      <c r="E67" s="562" t="s">
        <v>33</v>
      </c>
      <c r="F67" s="47">
        <v>45000</v>
      </c>
      <c r="G67" s="47"/>
      <c r="H67" s="1227"/>
      <c r="I67" s="1032"/>
      <c r="J67" s="88">
        <v>45000</v>
      </c>
      <c r="K67" s="1036">
        <f t="shared" si="1"/>
        <v>45000</v>
      </c>
      <c r="L67" s="1029"/>
      <c r="N67" s="583"/>
    </row>
    <row r="68" spans="1:14" ht="17.25">
      <c r="A68" s="584">
        <v>62</v>
      </c>
      <c r="B68" s="1244"/>
      <c r="C68" s="574">
        <v>61</v>
      </c>
      <c r="D68" s="1287" t="s">
        <v>899</v>
      </c>
      <c r="E68" s="562" t="s">
        <v>33</v>
      </c>
      <c r="F68" s="47">
        <f>SUM(G68:H68,K68,L68)</f>
        <v>14487</v>
      </c>
      <c r="G68" s="47"/>
      <c r="H68" s="1227"/>
      <c r="I68" s="1032"/>
      <c r="J68" s="88">
        <v>14487</v>
      </c>
      <c r="K68" s="1036">
        <f t="shared" si="1"/>
        <v>14487</v>
      </c>
      <c r="L68" s="1029"/>
      <c r="N68" s="583"/>
    </row>
    <row r="69" spans="1:14" ht="33">
      <c r="A69" s="890">
        <v>63</v>
      </c>
      <c r="B69" s="1244"/>
      <c r="C69" s="574">
        <v>62</v>
      </c>
      <c r="D69" s="1287" t="s">
        <v>750</v>
      </c>
      <c r="E69" s="562" t="s">
        <v>33</v>
      </c>
      <c r="F69" s="47">
        <f t="shared" si="0"/>
        <v>600</v>
      </c>
      <c r="G69" s="47"/>
      <c r="H69" s="1227"/>
      <c r="I69" s="1032"/>
      <c r="J69" s="88">
        <v>600</v>
      </c>
      <c r="K69" s="1036">
        <f t="shared" si="1"/>
        <v>600</v>
      </c>
      <c r="L69" s="1029"/>
      <c r="N69" s="583"/>
    </row>
    <row r="70" spans="1:14" ht="17.25">
      <c r="A70" s="584">
        <v>64</v>
      </c>
      <c r="B70" s="1244"/>
      <c r="C70" s="574">
        <v>63</v>
      </c>
      <c r="D70" s="1287" t="s">
        <v>740</v>
      </c>
      <c r="E70" s="562" t="s">
        <v>33</v>
      </c>
      <c r="F70" s="47">
        <f t="shared" si="0"/>
        <v>387</v>
      </c>
      <c r="G70" s="47"/>
      <c r="H70" s="1227"/>
      <c r="I70" s="1032"/>
      <c r="J70" s="88">
        <v>387</v>
      </c>
      <c r="K70" s="1036">
        <f t="shared" si="1"/>
        <v>387</v>
      </c>
      <c r="L70" s="1029"/>
      <c r="N70" s="583"/>
    </row>
    <row r="71" spans="1:14" ht="33">
      <c r="A71" s="890">
        <v>65</v>
      </c>
      <c r="B71" s="1244"/>
      <c r="C71" s="574">
        <v>64</v>
      </c>
      <c r="D71" s="1220" t="s">
        <v>752</v>
      </c>
      <c r="E71" s="562" t="s">
        <v>33</v>
      </c>
      <c r="F71" s="47">
        <f t="shared" si="0"/>
        <v>250</v>
      </c>
      <c r="G71" s="47"/>
      <c r="H71" s="1227"/>
      <c r="I71" s="1032"/>
      <c r="J71" s="88">
        <v>250</v>
      </c>
      <c r="K71" s="1036">
        <f t="shared" si="1"/>
        <v>250</v>
      </c>
      <c r="L71" s="1029"/>
      <c r="N71" s="583"/>
    </row>
    <row r="72" spans="1:14" ht="17.25">
      <c r="A72" s="584">
        <v>66</v>
      </c>
      <c r="B72" s="1244"/>
      <c r="C72" s="574">
        <v>65</v>
      </c>
      <c r="D72" s="1287" t="s">
        <v>900</v>
      </c>
      <c r="E72" s="562" t="s">
        <v>33</v>
      </c>
      <c r="F72" s="47">
        <f t="shared" si="0"/>
        <v>1000</v>
      </c>
      <c r="G72" s="47"/>
      <c r="H72" s="1227"/>
      <c r="I72" s="1032"/>
      <c r="J72" s="88">
        <v>1000</v>
      </c>
      <c r="K72" s="1036">
        <f t="shared" si="1"/>
        <v>1000</v>
      </c>
      <c r="L72" s="1029"/>
      <c r="N72" s="583"/>
    </row>
    <row r="73" spans="1:14" ht="33">
      <c r="A73" s="584">
        <v>67</v>
      </c>
      <c r="B73" s="1244"/>
      <c r="C73" s="574">
        <v>66</v>
      </c>
      <c r="D73" s="1287" t="s">
        <v>901</v>
      </c>
      <c r="E73" s="562" t="s">
        <v>33</v>
      </c>
      <c r="F73" s="47">
        <f t="shared" si="0"/>
        <v>150</v>
      </c>
      <c r="G73" s="47"/>
      <c r="H73" s="1227"/>
      <c r="I73" s="1032"/>
      <c r="J73" s="88">
        <v>150</v>
      </c>
      <c r="K73" s="1036">
        <f t="shared" si="1"/>
        <v>150</v>
      </c>
      <c r="L73" s="1029"/>
      <c r="N73" s="583"/>
    </row>
    <row r="74" spans="1:14" ht="33">
      <c r="A74" s="890">
        <v>68</v>
      </c>
      <c r="B74" s="1244"/>
      <c r="C74" s="574">
        <v>67</v>
      </c>
      <c r="D74" s="1287" t="s">
        <v>753</v>
      </c>
      <c r="E74" s="562" t="s">
        <v>33</v>
      </c>
      <c r="F74" s="47">
        <f t="shared" si="0"/>
        <v>1320</v>
      </c>
      <c r="G74" s="47"/>
      <c r="H74" s="1227">
        <v>980</v>
      </c>
      <c r="I74" s="1032"/>
      <c r="J74" s="88">
        <v>340</v>
      </c>
      <c r="K74" s="1036">
        <f t="shared" si="1"/>
        <v>340</v>
      </c>
      <c r="L74" s="1029"/>
      <c r="N74" s="583"/>
    </row>
    <row r="75" spans="1:14" ht="17.25">
      <c r="A75" s="584">
        <v>69</v>
      </c>
      <c r="B75" s="1244"/>
      <c r="C75" s="574">
        <v>68</v>
      </c>
      <c r="D75" s="1289" t="s">
        <v>168</v>
      </c>
      <c r="E75" s="562" t="s">
        <v>33</v>
      </c>
      <c r="F75" s="47">
        <f t="shared" si="0"/>
        <v>50000</v>
      </c>
      <c r="G75" s="47">
        <v>0</v>
      </c>
      <c r="H75" s="1227">
        <v>14322</v>
      </c>
      <c r="I75" s="1032">
        <v>35000</v>
      </c>
      <c r="J75" s="88">
        <v>678</v>
      </c>
      <c r="K75" s="1036">
        <f t="shared" si="1"/>
        <v>35678</v>
      </c>
      <c r="L75" s="1029"/>
      <c r="N75" s="583"/>
    </row>
    <row r="76" spans="1:14" ht="33">
      <c r="A76" s="890">
        <v>70</v>
      </c>
      <c r="B76" s="1244"/>
      <c r="C76" s="574">
        <v>69</v>
      </c>
      <c r="D76" s="1289" t="s">
        <v>923</v>
      </c>
      <c r="E76" s="562" t="s">
        <v>33</v>
      </c>
      <c r="F76" s="47">
        <f t="shared" si="0"/>
        <v>500</v>
      </c>
      <c r="G76" s="47"/>
      <c r="H76" s="1227"/>
      <c r="I76" s="1032"/>
      <c r="J76" s="88">
        <v>500</v>
      </c>
      <c r="K76" s="1036">
        <f t="shared" si="1"/>
        <v>500</v>
      </c>
      <c r="L76" s="1029"/>
      <c r="N76" s="583"/>
    </row>
    <row r="77" spans="1:14" ht="49.5">
      <c r="A77" s="890">
        <v>71</v>
      </c>
      <c r="B77" s="1244"/>
      <c r="C77" s="574">
        <v>70</v>
      </c>
      <c r="D77" s="1287" t="s">
        <v>939</v>
      </c>
      <c r="E77" s="562" t="s">
        <v>33</v>
      </c>
      <c r="F77" s="47">
        <f>SUM(G77:H77,K77,L77)</f>
        <v>5500</v>
      </c>
      <c r="G77" s="47"/>
      <c r="H77" s="1227"/>
      <c r="I77" s="1032"/>
      <c r="J77" s="88">
        <v>5500</v>
      </c>
      <c r="K77" s="1036">
        <f t="shared" si="1"/>
        <v>5500</v>
      </c>
      <c r="L77" s="1029"/>
      <c r="N77" s="583"/>
    </row>
    <row r="78" spans="1:14" ht="33">
      <c r="A78" s="890">
        <v>72</v>
      </c>
      <c r="B78" s="1244"/>
      <c r="C78" s="574">
        <v>71</v>
      </c>
      <c r="D78" s="1287" t="s">
        <v>940</v>
      </c>
      <c r="E78" s="562" t="s">
        <v>33</v>
      </c>
      <c r="F78" s="47">
        <f>SUM(G78:H78,K78,L78)</f>
        <v>6000</v>
      </c>
      <c r="G78" s="47"/>
      <c r="H78" s="1227"/>
      <c r="I78" s="1032"/>
      <c r="J78" s="88">
        <v>3587</v>
      </c>
      <c r="K78" s="1036">
        <f t="shared" si="1"/>
        <v>3587</v>
      </c>
      <c r="L78" s="1029">
        <v>2413</v>
      </c>
      <c r="N78" s="583"/>
    </row>
    <row r="79" spans="1:14" ht="33">
      <c r="A79" s="890">
        <v>73</v>
      </c>
      <c r="B79" s="1244"/>
      <c r="C79" s="574">
        <v>72</v>
      </c>
      <c r="D79" s="1287" t="s">
        <v>941</v>
      </c>
      <c r="E79" s="562" t="s">
        <v>33</v>
      </c>
      <c r="F79" s="47">
        <f>SUM(G79:H79,K79,L79)</f>
        <v>8500</v>
      </c>
      <c r="G79" s="47"/>
      <c r="H79" s="1227"/>
      <c r="I79" s="1032"/>
      <c r="J79" s="88">
        <v>3390</v>
      </c>
      <c r="K79" s="1036">
        <f t="shared" si="1"/>
        <v>3390</v>
      </c>
      <c r="L79" s="1029">
        <v>5110</v>
      </c>
      <c r="N79" s="583"/>
    </row>
    <row r="80" spans="1:14" ht="33">
      <c r="A80" s="890">
        <v>74</v>
      </c>
      <c r="B80" s="1244"/>
      <c r="C80" s="574">
        <v>73</v>
      </c>
      <c r="D80" s="1287" t="s">
        <v>942</v>
      </c>
      <c r="E80" s="562" t="s">
        <v>33</v>
      </c>
      <c r="F80" s="47">
        <f>SUM(G80:H80,K80,L80)</f>
        <v>11100</v>
      </c>
      <c r="G80" s="47"/>
      <c r="H80" s="1227"/>
      <c r="I80" s="1032"/>
      <c r="J80" s="88">
        <v>4369</v>
      </c>
      <c r="K80" s="1036">
        <f>SUM(I80:J80)</f>
        <v>4369</v>
      </c>
      <c r="L80" s="1029">
        <v>6731</v>
      </c>
      <c r="N80" s="583"/>
    </row>
    <row r="81" spans="1:14" ht="33">
      <c r="A81" s="584">
        <v>75</v>
      </c>
      <c r="B81" s="1320"/>
      <c r="C81" s="1273">
        <v>74</v>
      </c>
      <c r="D81" s="1290" t="s">
        <v>943</v>
      </c>
      <c r="E81" s="1275" t="s">
        <v>33</v>
      </c>
      <c r="F81" s="1291">
        <f>SUM(G81:H81,K81,L81)</f>
        <v>5000</v>
      </c>
      <c r="G81" s="1291"/>
      <c r="H81" s="1292"/>
      <c r="I81" s="1299"/>
      <c r="J81" s="1300">
        <v>5000</v>
      </c>
      <c r="K81" s="1301">
        <f>SUM(I81:J81)</f>
        <v>5000</v>
      </c>
      <c r="L81" s="1303"/>
      <c r="N81" s="583"/>
    </row>
    <row r="82" spans="1:14" s="1230" customFormat="1" ht="25.5" customHeight="1" thickBot="1">
      <c r="A82" s="584">
        <v>76</v>
      </c>
      <c r="B82" s="1321"/>
      <c r="C82" s="1025"/>
      <c r="D82" s="1229" t="s">
        <v>169</v>
      </c>
      <c r="E82" s="1025"/>
      <c r="F82" s="1026">
        <f>SUM(F8:F81)</f>
        <v>8110748</v>
      </c>
      <c r="G82" s="1026">
        <f aca="true" t="shared" si="2" ref="G82:L82">SUM(G8:G81)</f>
        <v>2140256</v>
      </c>
      <c r="H82" s="1234">
        <f t="shared" si="2"/>
        <v>817229</v>
      </c>
      <c r="I82" s="1033">
        <f t="shared" si="2"/>
        <v>1712579</v>
      </c>
      <c r="J82" s="1026">
        <f>SUM(J8:J81)</f>
        <v>2978930</v>
      </c>
      <c r="K82" s="1306">
        <f t="shared" si="2"/>
        <v>4691509</v>
      </c>
      <c r="L82" s="1030">
        <f t="shared" si="2"/>
        <v>461754</v>
      </c>
      <c r="N82" s="1222"/>
    </row>
    <row r="83" spans="1:14" s="1231" customFormat="1" ht="30" customHeight="1" thickTop="1">
      <c r="A83" s="584">
        <v>77</v>
      </c>
      <c r="B83" s="49">
        <v>18</v>
      </c>
      <c r="C83" s="1324"/>
      <c r="D83" s="511" t="s">
        <v>170</v>
      </c>
      <c r="E83" s="512"/>
      <c r="F83" s="1293"/>
      <c r="G83" s="1293"/>
      <c r="H83" s="1294"/>
      <c r="I83" s="1296"/>
      <c r="J83" s="1297"/>
      <c r="K83" s="1298"/>
      <c r="L83" s="1302"/>
      <c r="N83" s="1232"/>
    </row>
    <row r="84" spans="1:14" ht="33" customHeight="1">
      <c r="A84" s="890">
        <v>78</v>
      </c>
      <c r="B84" s="1244"/>
      <c r="C84" s="574">
        <v>1</v>
      </c>
      <c r="D84" s="1233" t="s">
        <v>171</v>
      </c>
      <c r="E84" s="562" t="s">
        <v>33</v>
      </c>
      <c r="F84" s="47">
        <f aca="true" t="shared" si="3" ref="F84:F89">SUM(G84:H84,K84,L84)</f>
        <v>41300</v>
      </c>
      <c r="G84" s="47">
        <v>250</v>
      </c>
      <c r="H84" s="1227">
        <v>18050</v>
      </c>
      <c r="I84" s="1032">
        <v>23000</v>
      </c>
      <c r="J84" s="88"/>
      <c r="K84" s="1036">
        <f>SUM(I84:J84)</f>
        <v>23000</v>
      </c>
      <c r="L84" s="1029"/>
      <c r="N84" s="583"/>
    </row>
    <row r="85" spans="1:14" ht="19.5" customHeight="1">
      <c r="A85" s="584">
        <v>79</v>
      </c>
      <c r="B85" s="1244"/>
      <c r="C85" s="574">
        <v>2</v>
      </c>
      <c r="D85" s="1233" t="s">
        <v>172</v>
      </c>
      <c r="E85" s="562" t="s">
        <v>33</v>
      </c>
      <c r="F85" s="47">
        <f t="shared" si="3"/>
        <v>1100000</v>
      </c>
      <c r="G85" s="47">
        <v>140000</v>
      </c>
      <c r="H85" s="1227">
        <v>120000</v>
      </c>
      <c r="I85" s="1032">
        <v>120000</v>
      </c>
      <c r="J85" s="88"/>
      <c r="K85" s="1036">
        <f aca="true" t="shared" si="4" ref="K85:K90">SUM(I85:J85)</f>
        <v>120000</v>
      </c>
      <c r="L85" s="1029">
        <v>720000</v>
      </c>
      <c r="N85" s="583"/>
    </row>
    <row r="86" spans="1:14" ht="19.5" customHeight="1">
      <c r="A86" s="584">
        <v>80</v>
      </c>
      <c r="B86" s="1244"/>
      <c r="C86" s="574">
        <v>3</v>
      </c>
      <c r="D86" s="1233" t="s">
        <v>173</v>
      </c>
      <c r="E86" s="562" t="s">
        <v>33</v>
      </c>
      <c r="F86" s="47">
        <f t="shared" si="3"/>
        <v>800</v>
      </c>
      <c r="G86" s="47"/>
      <c r="H86" s="1227"/>
      <c r="I86" s="1032">
        <v>800</v>
      </c>
      <c r="J86" s="88"/>
      <c r="K86" s="1036">
        <f t="shared" si="4"/>
        <v>800</v>
      </c>
      <c r="L86" s="1029"/>
      <c r="N86" s="583"/>
    </row>
    <row r="87" spans="1:14" ht="19.5" customHeight="1">
      <c r="A87" s="584">
        <v>81</v>
      </c>
      <c r="B87" s="1244"/>
      <c r="C87" s="574">
        <v>4</v>
      </c>
      <c r="D87" s="1233" t="s">
        <v>174</v>
      </c>
      <c r="E87" s="562" t="s">
        <v>33</v>
      </c>
      <c r="F87" s="47">
        <f t="shared" si="3"/>
        <v>7986780</v>
      </c>
      <c r="G87" s="47">
        <f>1132500+579830</f>
        <v>1712330</v>
      </c>
      <c r="H87" s="1227">
        <v>1080000</v>
      </c>
      <c r="I87" s="1032">
        <v>579830</v>
      </c>
      <c r="J87" s="88"/>
      <c r="K87" s="1036">
        <f t="shared" si="4"/>
        <v>579830</v>
      </c>
      <c r="L87" s="1029">
        <v>4614620</v>
      </c>
      <c r="N87" s="583"/>
    </row>
    <row r="88" spans="1:14" ht="33">
      <c r="A88" s="890">
        <v>82</v>
      </c>
      <c r="B88" s="1244"/>
      <c r="C88" s="574">
        <v>5</v>
      </c>
      <c r="D88" s="1289" t="s">
        <v>175</v>
      </c>
      <c r="E88" s="562" t="s">
        <v>33</v>
      </c>
      <c r="F88" s="47">
        <f t="shared" si="3"/>
        <v>743800</v>
      </c>
      <c r="G88" s="47">
        <v>0</v>
      </c>
      <c r="H88" s="1227">
        <v>718800</v>
      </c>
      <c r="I88" s="1032">
        <v>25000</v>
      </c>
      <c r="J88" s="88"/>
      <c r="K88" s="1036">
        <f t="shared" si="4"/>
        <v>25000</v>
      </c>
      <c r="L88" s="1029"/>
      <c r="N88" s="583"/>
    </row>
    <row r="89" spans="1:14" ht="19.5" customHeight="1">
      <c r="A89" s="584">
        <v>83</v>
      </c>
      <c r="B89" s="1244"/>
      <c r="C89" s="574">
        <v>6</v>
      </c>
      <c r="D89" s="72" t="s">
        <v>1163</v>
      </c>
      <c r="E89" s="562" t="s">
        <v>33</v>
      </c>
      <c r="F89" s="47">
        <f t="shared" si="3"/>
        <v>18900</v>
      </c>
      <c r="G89" s="47"/>
      <c r="H89" s="1227">
        <v>13900</v>
      </c>
      <c r="I89" s="1032"/>
      <c r="J89" s="88">
        <v>5000</v>
      </c>
      <c r="K89" s="1036">
        <f t="shared" si="4"/>
        <v>5000</v>
      </c>
      <c r="L89" s="1029"/>
      <c r="N89" s="583"/>
    </row>
    <row r="90" spans="1:14" ht="19.5" customHeight="1">
      <c r="A90" s="584">
        <v>84</v>
      </c>
      <c r="B90" s="1320"/>
      <c r="C90" s="1273">
        <v>7</v>
      </c>
      <c r="D90" s="1295" t="s">
        <v>1152</v>
      </c>
      <c r="E90" s="1275" t="s">
        <v>33</v>
      </c>
      <c r="F90" s="1291">
        <f>SUM(G90:H90,K90,L90)</f>
        <v>5000</v>
      </c>
      <c r="G90" s="1291"/>
      <c r="H90" s="1292"/>
      <c r="I90" s="1299"/>
      <c r="J90" s="1300">
        <v>5000</v>
      </c>
      <c r="K90" s="1301">
        <f t="shared" si="4"/>
        <v>5000</v>
      </c>
      <c r="L90" s="1303"/>
      <c r="N90" s="583"/>
    </row>
    <row r="91" spans="1:14" ht="25.5" customHeight="1" thickBot="1">
      <c r="A91" s="584">
        <v>85</v>
      </c>
      <c r="B91" s="1321"/>
      <c r="C91" s="1025"/>
      <c r="D91" s="1229" t="s">
        <v>1166</v>
      </c>
      <c r="E91" s="1025"/>
      <c r="F91" s="1026">
        <f>SUM(F88,F87,F86,F85,F84)+F90+F89</f>
        <v>9896580</v>
      </c>
      <c r="G91" s="1026">
        <f aca="true" t="shared" si="5" ref="G91:L91">SUM(G88,G87,G86,G85,G84)+G89+G90</f>
        <v>1852580</v>
      </c>
      <c r="H91" s="1234">
        <f t="shared" si="5"/>
        <v>1950750</v>
      </c>
      <c r="I91" s="1033">
        <f t="shared" si="5"/>
        <v>748630</v>
      </c>
      <c r="J91" s="1037">
        <f t="shared" si="5"/>
        <v>10000</v>
      </c>
      <c r="K91" s="1307">
        <f t="shared" si="5"/>
        <v>758630</v>
      </c>
      <c r="L91" s="1030">
        <f t="shared" si="5"/>
        <v>5334620</v>
      </c>
      <c r="N91" s="583"/>
    </row>
    <row r="92" spans="1:14" s="1243" customFormat="1" ht="30" customHeight="1" thickTop="1">
      <c r="A92" s="584">
        <v>86</v>
      </c>
      <c r="B92" s="1235"/>
      <c r="C92" s="1325"/>
      <c r="D92" s="1236" t="s">
        <v>176</v>
      </c>
      <c r="E92" s="891"/>
      <c r="F92" s="1237"/>
      <c r="G92" s="1237"/>
      <c r="H92" s="1238"/>
      <c r="I92" s="1239"/>
      <c r="J92" s="1278"/>
      <c r="K92" s="1240"/>
      <c r="L92" s="1241"/>
      <c r="M92" s="1242"/>
      <c r="N92" s="1232"/>
    </row>
    <row r="93" spans="1:14" s="1243" customFormat="1" ht="19.5" customHeight="1">
      <c r="A93" s="584">
        <v>87</v>
      </c>
      <c r="B93" s="1244">
        <v>1</v>
      </c>
      <c r="C93" s="574"/>
      <c r="D93" s="537" t="s">
        <v>177</v>
      </c>
      <c r="E93" s="31"/>
      <c r="F93" s="1245"/>
      <c r="G93" s="1245"/>
      <c r="H93" s="905"/>
      <c r="I93" s="1246"/>
      <c r="J93" s="1279"/>
      <c r="K93" s="934"/>
      <c r="L93" s="915"/>
      <c r="M93" s="1242"/>
      <c r="N93" s="1232"/>
    </row>
    <row r="94" spans="1:14" s="1230" customFormat="1" ht="66">
      <c r="A94" s="890">
        <v>88</v>
      </c>
      <c r="B94" s="1244"/>
      <c r="C94" s="574">
        <v>1</v>
      </c>
      <c r="D94" s="5" t="s">
        <v>763</v>
      </c>
      <c r="E94" s="562" t="s">
        <v>33</v>
      </c>
      <c r="F94" s="1247">
        <f>SUM(G94:H94,K94,L94)</f>
        <v>840</v>
      </c>
      <c r="G94" s="1247"/>
      <c r="H94" s="1248"/>
      <c r="I94" s="1249">
        <v>640</v>
      </c>
      <c r="J94" s="1280">
        <v>200</v>
      </c>
      <c r="K94" s="1250">
        <f>SUM(I94:J94)</f>
        <v>840</v>
      </c>
      <c r="L94" s="1251"/>
      <c r="M94" s="1222"/>
      <c r="N94" s="583"/>
    </row>
    <row r="95" spans="1:14" s="1230" customFormat="1" ht="17.25">
      <c r="A95" s="584">
        <v>89</v>
      </c>
      <c r="B95" s="1244"/>
      <c r="C95" s="574">
        <v>2</v>
      </c>
      <c r="D95" s="5" t="s">
        <v>761</v>
      </c>
      <c r="E95" s="562" t="s">
        <v>33</v>
      </c>
      <c r="F95" s="1247">
        <v>754</v>
      </c>
      <c r="G95" s="1247"/>
      <c r="H95" s="1248"/>
      <c r="I95" s="1249"/>
      <c r="J95" s="1280">
        <v>754</v>
      </c>
      <c r="K95" s="1250">
        <f>SUM(I95:J95)</f>
        <v>754</v>
      </c>
      <c r="L95" s="1251"/>
      <c r="M95" s="1222"/>
      <c r="N95" s="583"/>
    </row>
    <row r="96" spans="1:14" s="1230" customFormat="1" ht="17.25">
      <c r="A96" s="584">
        <v>90</v>
      </c>
      <c r="B96" s="1244"/>
      <c r="C96" s="574">
        <v>3</v>
      </c>
      <c r="D96" s="5" t="s">
        <v>762</v>
      </c>
      <c r="E96" s="562" t="s">
        <v>33</v>
      </c>
      <c r="F96" s="1247">
        <v>250</v>
      </c>
      <c r="G96" s="1247"/>
      <c r="H96" s="1248"/>
      <c r="I96" s="1249"/>
      <c r="J96" s="1280">
        <v>250</v>
      </c>
      <c r="K96" s="1250">
        <f>SUM(I96:J96)</f>
        <v>250</v>
      </c>
      <c r="L96" s="1251"/>
      <c r="M96" s="1222"/>
      <c r="N96" s="583"/>
    </row>
    <row r="97" spans="1:14" s="1230" customFormat="1" ht="17.25">
      <c r="A97" s="584">
        <v>91</v>
      </c>
      <c r="B97" s="1244"/>
      <c r="C97" s="574">
        <v>4</v>
      </c>
      <c r="D97" s="5" t="s">
        <v>764</v>
      </c>
      <c r="E97" s="562" t="s">
        <v>33</v>
      </c>
      <c r="F97" s="1247">
        <v>203</v>
      </c>
      <c r="G97" s="1247"/>
      <c r="H97" s="1248"/>
      <c r="I97" s="1249"/>
      <c r="J97" s="1280">
        <v>203</v>
      </c>
      <c r="K97" s="1250">
        <f>SUM(I97:J97)</f>
        <v>203</v>
      </c>
      <c r="L97" s="1251"/>
      <c r="M97" s="1222"/>
      <c r="N97" s="583"/>
    </row>
    <row r="98" spans="1:14" s="1231" customFormat="1" ht="30" customHeight="1">
      <c r="A98" s="584">
        <v>92</v>
      </c>
      <c r="B98" s="1244">
        <v>1</v>
      </c>
      <c r="C98" s="574"/>
      <c r="D98" s="537" t="s">
        <v>61</v>
      </c>
      <c r="E98" s="31"/>
      <c r="F98" s="1247"/>
      <c r="G98" s="1252"/>
      <c r="H98" s="1253"/>
      <c r="I98" s="1254"/>
      <c r="J98" s="1281"/>
      <c r="K98" s="1250"/>
      <c r="L98" s="1255"/>
      <c r="N98" s="1232"/>
    </row>
    <row r="99" spans="1:14" ht="33.75" customHeight="1">
      <c r="A99" s="890">
        <v>93</v>
      </c>
      <c r="B99" s="1244"/>
      <c r="C99" s="574">
        <v>1</v>
      </c>
      <c r="D99" s="5" t="s">
        <v>760</v>
      </c>
      <c r="E99" s="562" t="s">
        <v>33</v>
      </c>
      <c r="F99" s="1247">
        <f>SUM(G99:H99,K99,L99)</f>
        <v>415</v>
      </c>
      <c r="G99" s="1247"/>
      <c r="H99" s="1248"/>
      <c r="I99" s="1249">
        <v>180</v>
      </c>
      <c r="J99" s="1280">
        <v>235</v>
      </c>
      <c r="K99" s="1250">
        <f aca="true" t="shared" si="6" ref="K99:K188">SUM(I99:J99)</f>
        <v>415</v>
      </c>
      <c r="L99" s="1251"/>
      <c r="N99" s="583"/>
    </row>
    <row r="100" spans="1:14" s="1231" customFormat="1" ht="30" customHeight="1">
      <c r="A100" s="584">
        <v>94</v>
      </c>
      <c r="B100" s="1244">
        <v>2</v>
      </c>
      <c r="C100" s="574"/>
      <c r="D100" s="537" t="s">
        <v>178</v>
      </c>
      <c r="E100" s="31"/>
      <c r="F100" s="1247"/>
      <c r="G100" s="1256"/>
      <c r="H100" s="905"/>
      <c r="I100" s="1246"/>
      <c r="J100" s="1279"/>
      <c r="K100" s="1250"/>
      <c r="L100" s="915"/>
      <c r="N100" s="1232"/>
    </row>
    <row r="101" spans="1:14" ht="19.5" customHeight="1">
      <c r="A101" s="584">
        <v>95</v>
      </c>
      <c r="B101" s="1244"/>
      <c r="C101" s="574">
        <v>1</v>
      </c>
      <c r="D101" s="5" t="s">
        <v>179</v>
      </c>
      <c r="E101" s="562"/>
      <c r="F101" s="1247">
        <f>SUM(G101:H101,K101,L101)</f>
        <v>500</v>
      </c>
      <c r="G101" s="1247"/>
      <c r="H101" s="1248"/>
      <c r="I101" s="1249">
        <v>500</v>
      </c>
      <c r="J101" s="1280"/>
      <c r="K101" s="1250">
        <f t="shared" si="6"/>
        <v>500</v>
      </c>
      <c r="L101" s="1251"/>
      <c r="N101" s="583"/>
    </row>
    <row r="102" spans="1:14" ht="66" customHeight="1">
      <c r="A102" s="890">
        <v>96</v>
      </c>
      <c r="B102" s="1244"/>
      <c r="C102" s="574">
        <v>2</v>
      </c>
      <c r="D102" s="5" t="s">
        <v>776</v>
      </c>
      <c r="E102" s="562" t="s">
        <v>33</v>
      </c>
      <c r="F102" s="1247">
        <f>SUM(G102:H102,K102,L102)</f>
        <v>1811</v>
      </c>
      <c r="G102" s="1247"/>
      <c r="H102" s="1248"/>
      <c r="I102" s="1249">
        <v>820</v>
      </c>
      <c r="J102" s="1280">
        <v>991</v>
      </c>
      <c r="K102" s="1250">
        <f t="shared" si="6"/>
        <v>1811</v>
      </c>
      <c r="L102" s="1251"/>
      <c r="N102" s="583"/>
    </row>
    <row r="103" spans="1:14" s="1231" customFormat="1" ht="30" customHeight="1">
      <c r="A103" s="584">
        <v>97</v>
      </c>
      <c r="B103" s="1244">
        <v>2</v>
      </c>
      <c r="C103" s="574"/>
      <c r="D103" s="537" t="s">
        <v>52</v>
      </c>
      <c r="E103" s="31"/>
      <c r="F103" s="1247"/>
      <c r="G103" s="1256"/>
      <c r="H103" s="905"/>
      <c r="I103" s="1246"/>
      <c r="J103" s="1279"/>
      <c r="K103" s="1250"/>
      <c r="L103" s="915"/>
      <c r="N103" s="1232"/>
    </row>
    <row r="104" spans="1:14" ht="49.5" customHeight="1">
      <c r="A104" s="890">
        <v>98</v>
      </c>
      <c r="B104" s="1244"/>
      <c r="C104" s="574">
        <v>1</v>
      </c>
      <c r="D104" s="5" t="s">
        <v>777</v>
      </c>
      <c r="E104" s="562" t="s">
        <v>33</v>
      </c>
      <c r="F104" s="1247">
        <f>SUM(G104:H104,K104,L104)</f>
        <v>1173</v>
      </c>
      <c r="G104" s="1247"/>
      <c r="H104" s="1248"/>
      <c r="I104" s="1249">
        <v>180</v>
      </c>
      <c r="J104" s="1280">
        <v>993</v>
      </c>
      <c r="K104" s="1250">
        <f t="shared" si="6"/>
        <v>1173</v>
      </c>
      <c r="L104" s="1251"/>
      <c r="N104" s="583"/>
    </row>
    <row r="105" spans="1:14" s="1231" customFormat="1" ht="25.5" customHeight="1">
      <c r="A105" s="584">
        <v>99</v>
      </c>
      <c r="B105" s="1244">
        <v>3</v>
      </c>
      <c r="C105" s="574"/>
      <c r="D105" s="537" t="s">
        <v>180</v>
      </c>
      <c r="E105" s="31"/>
      <c r="F105" s="1247"/>
      <c r="G105" s="1256"/>
      <c r="H105" s="905"/>
      <c r="I105" s="1246"/>
      <c r="J105" s="1279"/>
      <c r="K105" s="1250"/>
      <c r="L105" s="915"/>
      <c r="N105" s="1232"/>
    </row>
    <row r="106" spans="1:14" ht="49.5" customHeight="1">
      <c r="A106" s="890">
        <v>100</v>
      </c>
      <c r="B106" s="1244"/>
      <c r="C106" s="574">
        <v>1</v>
      </c>
      <c r="D106" s="5" t="s">
        <v>579</v>
      </c>
      <c r="E106" s="562" t="s">
        <v>33</v>
      </c>
      <c r="F106" s="1247">
        <f>SUM(G106:H106,K106,L106)</f>
        <v>905</v>
      </c>
      <c r="G106" s="1247"/>
      <c r="H106" s="1248"/>
      <c r="I106" s="1249">
        <v>905</v>
      </c>
      <c r="J106" s="1280"/>
      <c r="K106" s="1250">
        <f t="shared" si="6"/>
        <v>905</v>
      </c>
      <c r="L106" s="1251"/>
      <c r="N106" s="583"/>
    </row>
    <row r="107" spans="1:14" ht="17.25">
      <c r="A107" s="584">
        <v>101</v>
      </c>
      <c r="B107" s="1244"/>
      <c r="C107" s="574"/>
      <c r="D107" s="5" t="s">
        <v>783</v>
      </c>
      <c r="E107" s="562" t="s">
        <v>33</v>
      </c>
      <c r="F107" s="1247">
        <v>280</v>
      </c>
      <c r="G107" s="1247"/>
      <c r="H107" s="1248"/>
      <c r="I107" s="1249"/>
      <c r="J107" s="1280">
        <v>280</v>
      </c>
      <c r="K107" s="1250">
        <f t="shared" si="6"/>
        <v>280</v>
      </c>
      <c r="L107" s="1251"/>
      <c r="N107" s="583"/>
    </row>
    <row r="108" spans="1:14" s="1231" customFormat="1" ht="25.5" customHeight="1">
      <c r="A108" s="584">
        <v>102</v>
      </c>
      <c r="B108" s="1244">
        <v>3</v>
      </c>
      <c r="C108" s="574"/>
      <c r="D108" s="537" t="s">
        <v>181</v>
      </c>
      <c r="E108" s="31"/>
      <c r="F108" s="1247"/>
      <c r="G108" s="1256"/>
      <c r="H108" s="905"/>
      <c r="I108" s="1246"/>
      <c r="J108" s="1279"/>
      <c r="K108" s="1250"/>
      <c r="L108" s="915"/>
      <c r="N108" s="1232"/>
    </row>
    <row r="109" spans="1:14" ht="17.25">
      <c r="A109" s="584">
        <v>103</v>
      </c>
      <c r="B109" s="1244"/>
      <c r="C109" s="574">
        <v>1</v>
      </c>
      <c r="D109" s="5" t="s">
        <v>1191</v>
      </c>
      <c r="E109" s="562"/>
      <c r="F109" s="1247">
        <f>SUM(G109:H109,K109,L109)</f>
        <v>200</v>
      </c>
      <c r="G109" s="1247"/>
      <c r="H109" s="1248"/>
      <c r="I109" s="1249">
        <v>200</v>
      </c>
      <c r="J109" s="1280"/>
      <c r="K109" s="1250">
        <f t="shared" si="6"/>
        <v>200</v>
      </c>
      <c r="L109" s="1251"/>
      <c r="N109" s="583"/>
    </row>
    <row r="110" spans="1:14" ht="49.5" customHeight="1">
      <c r="A110" s="890">
        <v>104</v>
      </c>
      <c r="B110" s="1244"/>
      <c r="C110" s="574">
        <v>2</v>
      </c>
      <c r="D110" s="5" t="s">
        <v>1196</v>
      </c>
      <c r="E110" s="562" t="s">
        <v>33</v>
      </c>
      <c r="F110" s="1247">
        <f>SUM(G110:H110,K110,L110)</f>
        <v>1845</v>
      </c>
      <c r="G110" s="1247"/>
      <c r="H110" s="1248"/>
      <c r="I110" s="1249">
        <v>125</v>
      </c>
      <c r="J110" s="1280">
        <v>1720</v>
      </c>
      <c r="K110" s="1250">
        <f t="shared" si="6"/>
        <v>1845</v>
      </c>
      <c r="L110" s="1251"/>
      <c r="N110" s="583"/>
    </row>
    <row r="111" spans="1:14" s="1231" customFormat="1" ht="25.5" customHeight="1">
      <c r="A111" s="584">
        <v>105</v>
      </c>
      <c r="B111" s="1244">
        <v>4</v>
      </c>
      <c r="C111" s="574"/>
      <c r="D111" s="537" t="s">
        <v>53</v>
      </c>
      <c r="E111" s="31"/>
      <c r="F111" s="1247"/>
      <c r="G111" s="1256"/>
      <c r="H111" s="905"/>
      <c r="I111" s="1246"/>
      <c r="J111" s="1279"/>
      <c r="K111" s="1250"/>
      <c r="L111" s="915"/>
      <c r="N111" s="1232"/>
    </row>
    <row r="112" spans="1:14" ht="132">
      <c r="A112" s="890">
        <v>106</v>
      </c>
      <c r="B112" s="1244"/>
      <c r="C112" s="574">
        <v>1</v>
      </c>
      <c r="D112" s="5" t="s">
        <v>1190</v>
      </c>
      <c r="E112" s="562" t="s">
        <v>33</v>
      </c>
      <c r="F112" s="1247">
        <f>SUM(G112:H112,K112,L112)</f>
        <v>4200</v>
      </c>
      <c r="G112" s="1247"/>
      <c r="H112" s="1248"/>
      <c r="I112" s="1249">
        <v>900</v>
      </c>
      <c r="J112" s="1280">
        <v>3300</v>
      </c>
      <c r="K112" s="1250">
        <f t="shared" si="6"/>
        <v>4200</v>
      </c>
      <c r="L112" s="1251"/>
      <c r="N112" s="583"/>
    </row>
    <row r="113" spans="1:14" ht="33">
      <c r="A113" s="890">
        <v>107</v>
      </c>
      <c r="B113" s="1244"/>
      <c r="C113" s="574">
        <v>2</v>
      </c>
      <c r="D113" s="5" t="s">
        <v>765</v>
      </c>
      <c r="E113" s="562" t="s">
        <v>33</v>
      </c>
      <c r="F113" s="1247">
        <v>5000</v>
      </c>
      <c r="G113" s="1247"/>
      <c r="H113" s="1248"/>
      <c r="I113" s="1249"/>
      <c r="J113" s="1280">
        <v>5000</v>
      </c>
      <c r="K113" s="1250">
        <f t="shared" si="6"/>
        <v>5000</v>
      </c>
      <c r="L113" s="1251"/>
      <c r="N113" s="583"/>
    </row>
    <row r="114" spans="1:14" s="1231" customFormat="1" ht="25.5" customHeight="1">
      <c r="A114" s="584">
        <v>108</v>
      </c>
      <c r="B114" s="1244">
        <v>5</v>
      </c>
      <c r="C114" s="574"/>
      <c r="D114" s="537" t="s">
        <v>182</v>
      </c>
      <c r="E114" s="31"/>
      <c r="F114" s="1247"/>
      <c r="G114" s="1256"/>
      <c r="H114" s="905"/>
      <c r="I114" s="1246"/>
      <c r="J114" s="1279"/>
      <c r="K114" s="1250"/>
      <c r="L114" s="915"/>
      <c r="N114" s="1232"/>
    </row>
    <row r="115" spans="1:14" ht="99">
      <c r="A115" s="890">
        <v>109</v>
      </c>
      <c r="B115" s="1244"/>
      <c r="C115" s="574">
        <v>1</v>
      </c>
      <c r="D115" s="5" t="s">
        <v>1189</v>
      </c>
      <c r="E115" s="562" t="s">
        <v>33</v>
      </c>
      <c r="F115" s="1247">
        <f>SUM(G115:H115,K115,L115)</f>
        <v>5147</v>
      </c>
      <c r="G115" s="1247"/>
      <c r="H115" s="1248"/>
      <c r="I115" s="1249">
        <v>380</v>
      </c>
      <c r="J115" s="1280">
        <v>4767</v>
      </c>
      <c r="K115" s="1250">
        <f t="shared" si="6"/>
        <v>5147</v>
      </c>
      <c r="L115" s="1251"/>
      <c r="N115" s="583"/>
    </row>
    <row r="116" spans="1:14" ht="17.25">
      <c r="A116" s="584">
        <v>110</v>
      </c>
      <c r="B116" s="1244"/>
      <c r="C116" s="574">
        <v>2</v>
      </c>
      <c r="D116" s="5" t="s">
        <v>767</v>
      </c>
      <c r="E116" s="562" t="s">
        <v>33</v>
      </c>
      <c r="F116" s="1247">
        <v>1350</v>
      </c>
      <c r="G116" s="1247"/>
      <c r="H116" s="1248"/>
      <c r="I116" s="1249"/>
      <c r="J116" s="1280">
        <v>1350</v>
      </c>
      <c r="K116" s="1250">
        <f t="shared" si="6"/>
        <v>1350</v>
      </c>
      <c r="L116" s="1251"/>
      <c r="N116" s="583"/>
    </row>
    <row r="117" spans="1:14" ht="17.25">
      <c r="A117" s="584">
        <v>111</v>
      </c>
      <c r="B117" s="1244"/>
      <c r="C117" s="574">
        <v>3</v>
      </c>
      <c r="D117" s="5" t="s">
        <v>769</v>
      </c>
      <c r="E117" s="562" t="s">
        <v>33</v>
      </c>
      <c r="F117" s="1247">
        <v>500</v>
      </c>
      <c r="G117" s="1247"/>
      <c r="H117" s="1248"/>
      <c r="I117" s="1249"/>
      <c r="J117" s="1280">
        <v>500</v>
      </c>
      <c r="K117" s="1250">
        <f t="shared" si="6"/>
        <v>500</v>
      </c>
      <c r="L117" s="1251"/>
      <c r="N117" s="583"/>
    </row>
    <row r="118" spans="1:14" ht="17.25">
      <c r="A118" s="584">
        <v>112</v>
      </c>
      <c r="B118" s="1244"/>
      <c r="C118" s="574">
        <v>4</v>
      </c>
      <c r="D118" s="5" t="s">
        <v>770</v>
      </c>
      <c r="E118" s="562" t="s">
        <v>33</v>
      </c>
      <c r="F118" s="1247">
        <v>290</v>
      </c>
      <c r="G118" s="1247"/>
      <c r="H118" s="1248"/>
      <c r="I118" s="1249"/>
      <c r="J118" s="1280">
        <v>290</v>
      </c>
      <c r="K118" s="1250">
        <f t="shared" si="6"/>
        <v>290</v>
      </c>
      <c r="L118" s="1251"/>
      <c r="N118" s="583"/>
    </row>
    <row r="119" spans="1:14" ht="49.5">
      <c r="A119" s="890">
        <v>113</v>
      </c>
      <c r="B119" s="1244"/>
      <c r="C119" s="574">
        <v>5</v>
      </c>
      <c r="D119" s="5" t="s">
        <v>768</v>
      </c>
      <c r="E119" s="562" t="s">
        <v>33</v>
      </c>
      <c r="F119" s="1247">
        <v>1052</v>
      </c>
      <c r="G119" s="1247"/>
      <c r="H119" s="1248"/>
      <c r="I119" s="1249"/>
      <c r="J119" s="1280">
        <v>1052</v>
      </c>
      <c r="K119" s="1250">
        <f t="shared" si="6"/>
        <v>1052</v>
      </c>
      <c r="L119" s="1251"/>
      <c r="N119" s="583"/>
    </row>
    <row r="120" spans="1:14" s="1231" customFormat="1" ht="25.5" customHeight="1">
      <c r="A120" s="584">
        <v>114</v>
      </c>
      <c r="B120" s="1244">
        <v>5</v>
      </c>
      <c r="C120" s="574"/>
      <c r="D120" s="537" t="s">
        <v>183</v>
      </c>
      <c r="E120" s="31"/>
      <c r="F120" s="1247"/>
      <c r="G120" s="1256"/>
      <c r="H120" s="905"/>
      <c r="I120" s="1246"/>
      <c r="J120" s="1279"/>
      <c r="K120" s="1250"/>
      <c r="L120" s="915"/>
      <c r="N120" s="1232"/>
    </row>
    <row r="121" spans="1:14" ht="17.25">
      <c r="A121" s="584">
        <v>115</v>
      </c>
      <c r="B121" s="1244"/>
      <c r="C121" s="574">
        <v>1</v>
      </c>
      <c r="D121" s="5" t="s">
        <v>580</v>
      </c>
      <c r="E121" s="562" t="s">
        <v>33</v>
      </c>
      <c r="F121" s="1247">
        <f>SUM(G121:H121,K121,L121)</f>
        <v>2185</v>
      </c>
      <c r="G121" s="1247"/>
      <c r="H121" s="1248"/>
      <c r="I121" s="1249">
        <v>95</v>
      </c>
      <c r="J121" s="1280">
        <v>2090</v>
      </c>
      <c r="K121" s="1250">
        <f t="shared" si="6"/>
        <v>2185</v>
      </c>
      <c r="L121" s="1251"/>
      <c r="N121" s="583"/>
    </row>
    <row r="122" spans="1:14" ht="33">
      <c r="A122" s="890">
        <v>116</v>
      </c>
      <c r="B122" s="1244"/>
      <c r="C122" s="574">
        <v>2</v>
      </c>
      <c r="D122" s="5" t="s">
        <v>782</v>
      </c>
      <c r="E122" s="562" t="s">
        <v>33</v>
      </c>
      <c r="F122" s="1247">
        <v>352</v>
      </c>
      <c r="G122" s="1247"/>
      <c r="H122" s="1248"/>
      <c r="I122" s="1249"/>
      <c r="J122" s="1280">
        <v>352</v>
      </c>
      <c r="K122" s="1250">
        <f t="shared" si="6"/>
        <v>352</v>
      </c>
      <c r="L122" s="1251"/>
      <c r="N122" s="583"/>
    </row>
    <row r="123" spans="1:14" ht="17.25">
      <c r="A123" s="584">
        <v>117</v>
      </c>
      <c r="B123" s="1244"/>
      <c r="C123" s="574">
        <v>3</v>
      </c>
      <c r="D123" s="5" t="s">
        <v>767</v>
      </c>
      <c r="E123" s="562" t="s">
        <v>33</v>
      </c>
      <c r="F123" s="1247">
        <v>1500</v>
      </c>
      <c r="G123" s="1247"/>
      <c r="H123" s="1248"/>
      <c r="I123" s="1249"/>
      <c r="J123" s="1280">
        <v>1500</v>
      </c>
      <c r="K123" s="1250">
        <f t="shared" si="6"/>
        <v>1500</v>
      </c>
      <c r="L123" s="1251"/>
      <c r="N123" s="583"/>
    </row>
    <row r="124" spans="1:14" ht="17.25">
      <c r="A124" s="584">
        <v>118</v>
      </c>
      <c r="B124" s="1244"/>
      <c r="C124" s="574">
        <v>4</v>
      </c>
      <c r="D124" s="5" t="s">
        <v>772</v>
      </c>
      <c r="E124" s="562" t="s">
        <v>33</v>
      </c>
      <c r="F124" s="1247">
        <v>500</v>
      </c>
      <c r="G124" s="1247"/>
      <c r="H124" s="1248"/>
      <c r="I124" s="1249"/>
      <c r="J124" s="1280">
        <v>500</v>
      </c>
      <c r="K124" s="1250">
        <f t="shared" si="6"/>
        <v>500</v>
      </c>
      <c r="L124" s="1251"/>
      <c r="N124" s="583"/>
    </row>
    <row r="125" spans="1:14" ht="17.25">
      <c r="A125" s="584">
        <v>119</v>
      </c>
      <c r="B125" s="1244"/>
      <c r="C125" s="574">
        <v>5</v>
      </c>
      <c r="D125" s="5" t="s">
        <v>771</v>
      </c>
      <c r="E125" s="562" t="s">
        <v>33</v>
      </c>
      <c r="F125" s="1247">
        <v>1055</v>
      </c>
      <c r="G125" s="1247"/>
      <c r="H125" s="1248"/>
      <c r="I125" s="1249"/>
      <c r="J125" s="1280">
        <v>1055</v>
      </c>
      <c r="K125" s="1250">
        <f t="shared" si="6"/>
        <v>1055</v>
      </c>
      <c r="L125" s="1251"/>
      <c r="N125" s="583"/>
    </row>
    <row r="126" spans="1:14" ht="17.25">
      <c r="A126" s="584">
        <v>120</v>
      </c>
      <c r="B126" s="1244"/>
      <c r="C126" s="574">
        <v>6</v>
      </c>
      <c r="D126" s="5" t="s">
        <v>773</v>
      </c>
      <c r="E126" s="562" t="s">
        <v>33</v>
      </c>
      <c r="F126" s="1247">
        <v>520</v>
      </c>
      <c r="G126" s="1247"/>
      <c r="H126" s="1248"/>
      <c r="I126" s="1249"/>
      <c r="J126" s="1280">
        <v>520</v>
      </c>
      <c r="K126" s="1250">
        <f t="shared" si="6"/>
        <v>520</v>
      </c>
      <c r="L126" s="1251"/>
      <c r="N126" s="583"/>
    </row>
    <row r="127" spans="1:14" ht="17.25">
      <c r="A127" s="584">
        <v>121</v>
      </c>
      <c r="B127" s="1244"/>
      <c r="C127" s="574">
        <v>7</v>
      </c>
      <c r="D127" s="5" t="s">
        <v>770</v>
      </c>
      <c r="E127" s="562" t="s">
        <v>33</v>
      </c>
      <c r="F127" s="1247">
        <v>290</v>
      </c>
      <c r="G127" s="1247"/>
      <c r="H127" s="1248"/>
      <c r="I127" s="1249"/>
      <c r="J127" s="1280">
        <v>290</v>
      </c>
      <c r="K127" s="1250">
        <f t="shared" si="6"/>
        <v>290</v>
      </c>
      <c r="L127" s="1251"/>
      <c r="N127" s="583"/>
    </row>
    <row r="128" spans="1:14" s="1231" customFormat="1" ht="25.5" customHeight="1">
      <c r="A128" s="584">
        <v>122</v>
      </c>
      <c r="B128" s="1244">
        <v>6</v>
      </c>
      <c r="C128" s="574"/>
      <c r="D128" s="537" t="s">
        <v>58</v>
      </c>
      <c r="E128" s="31"/>
      <c r="F128" s="1247"/>
      <c r="G128" s="1256"/>
      <c r="H128" s="905"/>
      <c r="I128" s="1246"/>
      <c r="J128" s="1279"/>
      <c r="K128" s="1250"/>
      <c r="L128" s="915"/>
      <c r="N128" s="1232"/>
    </row>
    <row r="129" spans="1:14" ht="49.5">
      <c r="A129" s="890">
        <v>123</v>
      </c>
      <c r="B129" s="1244"/>
      <c r="C129" s="574">
        <v>1</v>
      </c>
      <c r="D129" s="5" t="s">
        <v>778</v>
      </c>
      <c r="E129" s="562" t="s">
        <v>33</v>
      </c>
      <c r="F129" s="1247">
        <f>SUM(G129:H129,K129,L129)</f>
        <v>593</v>
      </c>
      <c r="G129" s="1247"/>
      <c r="H129" s="1248"/>
      <c r="I129" s="1249">
        <v>393</v>
      </c>
      <c r="J129" s="1280">
        <v>200</v>
      </c>
      <c r="K129" s="1250">
        <f t="shared" si="6"/>
        <v>593</v>
      </c>
      <c r="L129" s="1251"/>
      <c r="N129" s="583"/>
    </row>
    <row r="130" spans="1:14" ht="17.25">
      <c r="A130" s="584">
        <v>124</v>
      </c>
      <c r="B130" s="1244"/>
      <c r="C130" s="574">
        <v>2</v>
      </c>
      <c r="D130" s="5" t="s">
        <v>783</v>
      </c>
      <c r="E130" s="562" t="s">
        <v>33</v>
      </c>
      <c r="F130" s="1247">
        <v>210</v>
      </c>
      <c r="G130" s="1247"/>
      <c r="H130" s="1248"/>
      <c r="I130" s="1249"/>
      <c r="J130" s="1280">
        <v>210</v>
      </c>
      <c r="K130" s="1250">
        <f t="shared" si="6"/>
        <v>210</v>
      </c>
      <c r="L130" s="1251"/>
      <c r="N130" s="583"/>
    </row>
    <row r="131" spans="1:14" ht="17.25">
      <c r="A131" s="584">
        <v>125</v>
      </c>
      <c r="B131" s="1244"/>
      <c r="C131" s="574">
        <v>3</v>
      </c>
      <c r="D131" s="5" t="s">
        <v>779</v>
      </c>
      <c r="E131" s="562" t="s">
        <v>33</v>
      </c>
      <c r="F131" s="1247">
        <v>250</v>
      </c>
      <c r="G131" s="1247"/>
      <c r="H131" s="1248"/>
      <c r="I131" s="1249"/>
      <c r="J131" s="1280">
        <v>250</v>
      </c>
      <c r="K131" s="1250">
        <f t="shared" si="6"/>
        <v>250</v>
      </c>
      <c r="L131" s="1251"/>
      <c r="N131" s="583"/>
    </row>
    <row r="132" spans="1:14" ht="17.25">
      <c r="A132" s="584">
        <v>126</v>
      </c>
      <c r="B132" s="1244"/>
      <c r="C132" s="574">
        <v>4</v>
      </c>
      <c r="D132" s="5" t="s">
        <v>780</v>
      </c>
      <c r="E132" s="562" t="s">
        <v>33</v>
      </c>
      <c r="F132" s="1247">
        <v>250</v>
      </c>
      <c r="G132" s="1247"/>
      <c r="H132" s="1248"/>
      <c r="I132" s="1249"/>
      <c r="J132" s="1280">
        <v>250</v>
      </c>
      <c r="K132" s="1250">
        <f t="shared" si="6"/>
        <v>250</v>
      </c>
      <c r="L132" s="1251"/>
      <c r="N132" s="583"/>
    </row>
    <row r="133" spans="1:14" ht="17.25">
      <c r="A133" s="584">
        <v>127</v>
      </c>
      <c r="B133" s="1244"/>
      <c r="C133" s="574">
        <v>5</v>
      </c>
      <c r="D133" s="5" t="s">
        <v>781</v>
      </c>
      <c r="E133" s="562" t="s">
        <v>33</v>
      </c>
      <c r="F133" s="1247">
        <v>600</v>
      </c>
      <c r="G133" s="1247"/>
      <c r="H133" s="1248"/>
      <c r="I133" s="1249"/>
      <c r="J133" s="1280">
        <v>600</v>
      </c>
      <c r="K133" s="1250">
        <f t="shared" si="6"/>
        <v>600</v>
      </c>
      <c r="L133" s="1251"/>
      <c r="N133" s="583"/>
    </row>
    <row r="134" spans="1:14" s="1231" customFormat="1" ht="25.5" customHeight="1">
      <c r="A134" s="584">
        <v>128</v>
      </c>
      <c r="B134" s="1244">
        <v>6</v>
      </c>
      <c r="C134" s="574"/>
      <c r="D134" s="537" t="s">
        <v>184</v>
      </c>
      <c r="E134" s="31"/>
      <c r="F134" s="1247"/>
      <c r="G134" s="1256"/>
      <c r="H134" s="905"/>
      <c r="I134" s="1246"/>
      <c r="J134" s="1279"/>
      <c r="K134" s="1250"/>
      <c r="L134" s="915"/>
      <c r="N134" s="1232"/>
    </row>
    <row r="135" spans="1:14" ht="17.25">
      <c r="A135" s="584">
        <v>129</v>
      </c>
      <c r="B135" s="1244"/>
      <c r="C135" s="574">
        <v>1</v>
      </c>
      <c r="D135" s="5" t="s">
        <v>581</v>
      </c>
      <c r="E135" s="562" t="s">
        <v>33</v>
      </c>
      <c r="F135" s="1247">
        <f>SUM(G135:H135,K135,L135)</f>
        <v>100</v>
      </c>
      <c r="G135" s="1247"/>
      <c r="H135" s="1248"/>
      <c r="I135" s="1249">
        <v>100</v>
      </c>
      <c r="J135" s="1280"/>
      <c r="K135" s="1250">
        <f t="shared" si="6"/>
        <v>100</v>
      </c>
      <c r="L135" s="1251"/>
      <c r="N135" s="583"/>
    </row>
    <row r="136" spans="1:14" s="1231" customFormat="1" ht="25.5" customHeight="1">
      <c r="A136" s="584">
        <v>130</v>
      </c>
      <c r="B136" s="1244">
        <v>7</v>
      </c>
      <c r="C136" s="574"/>
      <c r="D136" s="537" t="s">
        <v>105</v>
      </c>
      <c r="E136" s="31"/>
      <c r="F136" s="1247"/>
      <c r="G136" s="1256"/>
      <c r="H136" s="905"/>
      <c r="I136" s="1246"/>
      <c r="J136" s="1279"/>
      <c r="K136" s="1250"/>
      <c r="L136" s="915"/>
      <c r="N136" s="1232"/>
    </row>
    <row r="137" spans="1:14" ht="49.5">
      <c r="A137" s="890">
        <v>131</v>
      </c>
      <c r="B137" s="1244"/>
      <c r="C137" s="574">
        <v>1</v>
      </c>
      <c r="D137" s="5" t="s">
        <v>1188</v>
      </c>
      <c r="E137" s="562" t="s">
        <v>33</v>
      </c>
      <c r="F137" s="1247">
        <f>SUM(G137:H137,K137,L137)</f>
        <v>375</v>
      </c>
      <c r="G137" s="1247"/>
      <c r="H137" s="1248"/>
      <c r="I137" s="1249">
        <v>345</v>
      </c>
      <c r="J137" s="1280">
        <v>30</v>
      </c>
      <c r="K137" s="1250">
        <f t="shared" si="6"/>
        <v>375</v>
      </c>
      <c r="L137" s="1251"/>
      <c r="N137" s="583"/>
    </row>
    <row r="138" spans="1:14" ht="17.25">
      <c r="A138" s="584">
        <v>132</v>
      </c>
      <c r="B138" s="1244"/>
      <c r="C138" s="574">
        <v>2</v>
      </c>
      <c r="D138" s="1257" t="s">
        <v>185</v>
      </c>
      <c r="E138" s="562" t="s">
        <v>33</v>
      </c>
      <c r="F138" s="1247">
        <f>SUM(G138:H138,K138,L138)</f>
        <v>950</v>
      </c>
      <c r="G138" s="1247"/>
      <c r="H138" s="1248"/>
      <c r="I138" s="1249">
        <v>950</v>
      </c>
      <c r="J138" s="1280"/>
      <c r="K138" s="1250">
        <f t="shared" si="6"/>
        <v>950</v>
      </c>
      <c r="L138" s="1251"/>
      <c r="N138" s="583"/>
    </row>
    <row r="139" spans="1:14" ht="17.25">
      <c r="A139" s="584">
        <v>133</v>
      </c>
      <c r="B139" s="1244"/>
      <c r="C139" s="574">
        <v>3</v>
      </c>
      <c r="D139" s="1257" t="s">
        <v>186</v>
      </c>
      <c r="E139" s="562" t="s">
        <v>33</v>
      </c>
      <c r="F139" s="1247">
        <f>SUM(G139:H139,K139,L139)</f>
        <v>370</v>
      </c>
      <c r="G139" s="1247"/>
      <c r="H139" s="1248"/>
      <c r="I139" s="1249">
        <v>370</v>
      </c>
      <c r="J139" s="1280"/>
      <c r="K139" s="1250">
        <f t="shared" si="6"/>
        <v>370</v>
      </c>
      <c r="L139" s="1251"/>
      <c r="N139" s="583"/>
    </row>
    <row r="140" spans="1:14" ht="17.25">
      <c r="A140" s="584">
        <v>134</v>
      </c>
      <c r="B140" s="1244"/>
      <c r="C140" s="574">
        <v>4</v>
      </c>
      <c r="D140" s="1257" t="s">
        <v>766</v>
      </c>
      <c r="E140" s="562" t="s">
        <v>33</v>
      </c>
      <c r="F140" s="1247">
        <v>770</v>
      </c>
      <c r="G140" s="1247"/>
      <c r="H140" s="1248"/>
      <c r="I140" s="1249"/>
      <c r="J140" s="1280">
        <v>770</v>
      </c>
      <c r="K140" s="1250">
        <f t="shared" si="6"/>
        <v>770</v>
      </c>
      <c r="L140" s="1251"/>
      <c r="N140" s="583"/>
    </row>
    <row r="141" spans="1:14" s="1231" customFormat="1" ht="25.5" customHeight="1">
      <c r="A141" s="584">
        <v>135</v>
      </c>
      <c r="B141" s="1244">
        <v>8</v>
      </c>
      <c r="C141" s="574"/>
      <c r="D141" s="537" t="s">
        <v>187</v>
      </c>
      <c r="E141" s="31"/>
      <c r="F141" s="1247"/>
      <c r="G141" s="1256"/>
      <c r="H141" s="905"/>
      <c r="I141" s="1246"/>
      <c r="J141" s="1279"/>
      <c r="K141" s="1250"/>
      <c r="L141" s="915"/>
      <c r="N141" s="1232"/>
    </row>
    <row r="142" spans="1:14" s="1231" customFormat="1" ht="17.25">
      <c r="A142" s="584">
        <v>136</v>
      </c>
      <c r="B142" s="1244"/>
      <c r="C142" s="574"/>
      <c r="D142" s="537" t="s">
        <v>188</v>
      </c>
      <c r="E142" s="31"/>
      <c r="F142" s="1247"/>
      <c r="G142" s="1258"/>
      <c r="H142" s="1259"/>
      <c r="I142" s="927"/>
      <c r="J142" s="1282"/>
      <c r="K142" s="1250"/>
      <c r="L142" s="915"/>
      <c r="N142" s="1232"/>
    </row>
    <row r="143" spans="1:14" ht="17.25">
      <c r="A143" s="584">
        <v>137</v>
      </c>
      <c r="B143" s="1244"/>
      <c r="C143" s="574">
        <v>1</v>
      </c>
      <c r="D143" s="5" t="s">
        <v>582</v>
      </c>
      <c r="E143" s="562" t="s">
        <v>33</v>
      </c>
      <c r="F143" s="1247">
        <f>SUM(G143:H143,K143,L143)</f>
        <v>180</v>
      </c>
      <c r="G143" s="1247"/>
      <c r="H143" s="1248"/>
      <c r="I143" s="1249">
        <v>180</v>
      </c>
      <c r="J143" s="1280"/>
      <c r="K143" s="1250">
        <f t="shared" si="6"/>
        <v>180</v>
      </c>
      <c r="L143" s="1251"/>
      <c r="N143" s="583"/>
    </row>
    <row r="144" spans="1:14" ht="17.25">
      <c r="A144" s="584">
        <v>138</v>
      </c>
      <c r="B144" s="1244"/>
      <c r="C144" s="574">
        <v>2</v>
      </c>
      <c r="D144" s="5" t="s">
        <v>784</v>
      </c>
      <c r="E144" s="562" t="s">
        <v>33</v>
      </c>
      <c r="F144" s="1247">
        <v>148</v>
      </c>
      <c r="G144" s="1247"/>
      <c r="H144" s="1248"/>
      <c r="I144" s="1249"/>
      <c r="J144" s="1280">
        <v>148</v>
      </c>
      <c r="K144" s="1250">
        <f t="shared" si="6"/>
        <v>148</v>
      </c>
      <c r="L144" s="1251"/>
      <c r="N144" s="583"/>
    </row>
    <row r="145" spans="1:14" s="1231" customFormat="1" ht="24" customHeight="1">
      <c r="A145" s="584">
        <v>139</v>
      </c>
      <c r="B145" s="1244"/>
      <c r="C145" s="574"/>
      <c r="D145" s="537" t="s">
        <v>189</v>
      </c>
      <c r="E145" s="31"/>
      <c r="F145" s="1247"/>
      <c r="G145" s="1258"/>
      <c r="H145" s="1259"/>
      <c r="I145" s="927"/>
      <c r="J145" s="1282"/>
      <c r="K145" s="1250"/>
      <c r="L145" s="915"/>
      <c r="N145" s="1232"/>
    </row>
    <row r="146" spans="1:14" ht="17.25">
      <c r="A146" s="584">
        <v>140</v>
      </c>
      <c r="B146" s="1244"/>
      <c r="C146" s="574">
        <v>1</v>
      </c>
      <c r="D146" s="5" t="s">
        <v>583</v>
      </c>
      <c r="E146" s="562" t="s">
        <v>33</v>
      </c>
      <c r="F146" s="1247">
        <f>SUM(G146:H146,K146,L146)</f>
        <v>110</v>
      </c>
      <c r="G146" s="1247"/>
      <c r="H146" s="1248"/>
      <c r="I146" s="1249">
        <v>110</v>
      </c>
      <c r="J146" s="1280"/>
      <c r="K146" s="1250">
        <f t="shared" si="6"/>
        <v>110</v>
      </c>
      <c r="L146" s="1251"/>
      <c r="N146" s="583"/>
    </row>
    <row r="147" spans="1:14" ht="17.25">
      <c r="A147" s="584">
        <v>141</v>
      </c>
      <c r="B147" s="1244"/>
      <c r="C147" s="574">
        <v>2</v>
      </c>
      <c r="D147" s="5" t="s">
        <v>784</v>
      </c>
      <c r="E147" s="562" t="s">
        <v>33</v>
      </c>
      <c r="F147" s="1247">
        <v>148</v>
      </c>
      <c r="G147" s="1247"/>
      <c r="H147" s="1248"/>
      <c r="I147" s="1249"/>
      <c r="J147" s="1280">
        <v>148</v>
      </c>
      <c r="K147" s="1250">
        <f t="shared" si="6"/>
        <v>148</v>
      </c>
      <c r="L147" s="1251"/>
      <c r="N147" s="583"/>
    </row>
    <row r="148" spans="1:14" s="1231" customFormat="1" ht="24" customHeight="1">
      <c r="A148" s="584">
        <v>142</v>
      </c>
      <c r="B148" s="1244"/>
      <c r="C148" s="574"/>
      <c r="D148" s="537" t="s">
        <v>190</v>
      </c>
      <c r="E148" s="31"/>
      <c r="F148" s="1247"/>
      <c r="G148" s="1258"/>
      <c r="H148" s="1259"/>
      <c r="I148" s="927"/>
      <c r="J148" s="1282"/>
      <c r="K148" s="1250"/>
      <c r="L148" s="915"/>
      <c r="N148" s="1232"/>
    </row>
    <row r="149" spans="1:14" ht="17.25">
      <c r="A149" s="584">
        <v>143</v>
      </c>
      <c r="B149" s="1244"/>
      <c r="C149" s="574">
        <v>1</v>
      </c>
      <c r="D149" s="5" t="s">
        <v>584</v>
      </c>
      <c r="E149" s="562" t="s">
        <v>33</v>
      </c>
      <c r="F149" s="1247">
        <f>SUM(G149:H149,K149,L149)</f>
        <v>340</v>
      </c>
      <c r="G149" s="1247"/>
      <c r="H149" s="1248"/>
      <c r="I149" s="1249">
        <v>340</v>
      </c>
      <c r="J149" s="1280"/>
      <c r="K149" s="1250">
        <f t="shared" si="6"/>
        <v>340</v>
      </c>
      <c r="L149" s="1251"/>
      <c r="N149" s="583"/>
    </row>
    <row r="150" spans="1:14" ht="17.25">
      <c r="A150" s="584">
        <v>144</v>
      </c>
      <c r="B150" s="1244"/>
      <c r="C150" s="574">
        <v>2</v>
      </c>
      <c r="D150" s="5" t="s">
        <v>784</v>
      </c>
      <c r="E150" s="562" t="s">
        <v>33</v>
      </c>
      <c r="F150" s="1247">
        <v>148</v>
      </c>
      <c r="G150" s="1247"/>
      <c r="H150" s="1248"/>
      <c r="I150" s="1249"/>
      <c r="J150" s="1280">
        <v>148</v>
      </c>
      <c r="K150" s="1250">
        <f t="shared" si="6"/>
        <v>148</v>
      </c>
      <c r="L150" s="1251"/>
      <c r="N150" s="583"/>
    </row>
    <row r="151" spans="1:14" ht="17.25">
      <c r="A151" s="584">
        <v>145</v>
      </c>
      <c r="B151" s="1244"/>
      <c r="C151" s="574">
        <v>3</v>
      </c>
      <c r="D151" s="5" t="s">
        <v>785</v>
      </c>
      <c r="E151" s="562"/>
      <c r="F151" s="1247"/>
      <c r="G151" s="1247"/>
      <c r="H151" s="1248"/>
      <c r="I151" s="1249"/>
      <c r="J151" s="1280"/>
      <c r="K151" s="1250"/>
      <c r="L151" s="1251"/>
      <c r="N151" s="583"/>
    </row>
    <row r="152" spans="1:14" ht="17.25">
      <c r="A152" s="584">
        <v>146</v>
      </c>
      <c r="B152" s="1244"/>
      <c r="C152" s="574">
        <v>4</v>
      </c>
      <c r="D152" s="5" t="s">
        <v>784</v>
      </c>
      <c r="E152" s="562" t="s">
        <v>33</v>
      </c>
      <c r="F152" s="1247">
        <v>148</v>
      </c>
      <c r="G152" s="1247"/>
      <c r="H152" s="1248"/>
      <c r="I152" s="1249"/>
      <c r="J152" s="1280">
        <v>148</v>
      </c>
      <c r="K152" s="1250">
        <f t="shared" si="6"/>
        <v>148</v>
      </c>
      <c r="L152" s="1251"/>
      <c r="N152" s="583"/>
    </row>
    <row r="153" spans="1:14" ht="17.25">
      <c r="A153" s="584">
        <v>147</v>
      </c>
      <c r="B153" s="1244"/>
      <c r="C153" s="574">
        <v>5</v>
      </c>
      <c r="D153" s="5" t="s">
        <v>786</v>
      </c>
      <c r="E153" s="562"/>
      <c r="F153" s="1247"/>
      <c r="G153" s="1247"/>
      <c r="H153" s="1248"/>
      <c r="I153" s="1249"/>
      <c r="J153" s="1280"/>
      <c r="K153" s="1250"/>
      <c r="L153" s="1251"/>
      <c r="N153" s="583"/>
    </row>
    <row r="154" spans="1:14" ht="17.25">
      <c r="A154" s="584">
        <v>148</v>
      </c>
      <c r="B154" s="1244"/>
      <c r="C154" s="574">
        <v>6</v>
      </c>
      <c r="D154" s="5" t="s">
        <v>784</v>
      </c>
      <c r="E154" s="562" t="s">
        <v>33</v>
      </c>
      <c r="F154" s="1247">
        <v>148</v>
      </c>
      <c r="G154" s="1247"/>
      <c r="H154" s="1248"/>
      <c r="I154" s="1249"/>
      <c r="J154" s="1280">
        <v>148</v>
      </c>
      <c r="K154" s="1250">
        <f t="shared" si="6"/>
        <v>148</v>
      </c>
      <c r="L154" s="1251"/>
      <c r="N154" s="583"/>
    </row>
    <row r="155" spans="1:14" s="1231" customFormat="1" ht="25.5" customHeight="1">
      <c r="A155" s="584">
        <v>149</v>
      </c>
      <c r="B155" s="1244">
        <v>9</v>
      </c>
      <c r="C155" s="574"/>
      <c r="D155" s="537" t="s">
        <v>191</v>
      </c>
      <c r="E155" s="31"/>
      <c r="F155" s="1247"/>
      <c r="G155" s="1256"/>
      <c r="H155" s="905"/>
      <c r="I155" s="1246"/>
      <c r="J155" s="1279"/>
      <c r="K155" s="1250"/>
      <c r="L155" s="915"/>
      <c r="N155" s="1232"/>
    </row>
    <row r="156" spans="1:14" ht="17.25">
      <c r="A156" s="584">
        <v>150</v>
      </c>
      <c r="B156" s="1244"/>
      <c r="C156" s="574">
        <v>1</v>
      </c>
      <c r="D156" s="5" t="s">
        <v>585</v>
      </c>
      <c r="E156" s="562" t="s">
        <v>33</v>
      </c>
      <c r="F156" s="1247">
        <f>SUM(G156:H156,K156,L156)</f>
        <v>215</v>
      </c>
      <c r="G156" s="1247"/>
      <c r="H156" s="1248"/>
      <c r="I156" s="1249">
        <v>215</v>
      </c>
      <c r="J156" s="1280"/>
      <c r="K156" s="1250">
        <f t="shared" si="6"/>
        <v>215</v>
      </c>
      <c r="L156" s="1251"/>
      <c r="N156" s="583"/>
    </row>
    <row r="157" spans="1:14" ht="17.25">
      <c r="A157" s="584">
        <v>151</v>
      </c>
      <c r="B157" s="1244"/>
      <c r="C157" s="574">
        <v>2</v>
      </c>
      <c r="D157" s="5" t="s">
        <v>774</v>
      </c>
      <c r="E157" s="562" t="s">
        <v>33</v>
      </c>
      <c r="F157" s="1247">
        <v>8500</v>
      </c>
      <c r="G157" s="1247"/>
      <c r="H157" s="1248"/>
      <c r="I157" s="1249"/>
      <c r="J157" s="1280">
        <v>8500</v>
      </c>
      <c r="K157" s="1250">
        <f t="shared" si="6"/>
        <v>8500</v>
      </c>
      <c r="L157" s="1251"/>
      <c r="N157" s="583"/>
    </row>
    <row r="158" spans="1:14" s="1231" customFormat="1" ht="25.5" customHeight="1">
      <c r="A158" s="584">
        <v>152</v>
      </c>
      <c r="B158" s="1244">
        <v>10</v>
      </c>
      <c r="C158" s="574"/>
      <c r="D158" s="537" t="s">
        <v>94</v>
      </c>
      <c r="E158" s="31"/>
      <c r="F158" s="1247"/>
      <c r="G158" s="1256"/>
      <c r="H158" s="905"/>
      <c r="I158" s="1246"/>
      <c r="J158" s="1279"/>
      <c r="K158" s="1250"/>
      <c r="L158" s="915"/>
      <c r="N158" s="1232"/>
    </row>
    <row r="159" spans="1:14" ht="84.75" customHeight="1">
      <c r="A159" s="890">
        <v>153</v>
      </c>
      <c r="B159" s="1244"/>
      <c r="C159" s="574">
        <v>1</v>
      </c>
      <c r="D159" s="1257" t="s">
        <v>586</v>
      </c>
      <c r="E159" s="562" t="s">
        <v>33</v>
      </c>
      <c r="F159" s="1247">
        <f>SUM(G159:H159,K159,L159)</f>
        <v>17741</v>
      </c>
      <c r="G159" s="1247"/>
      <c r="H159" s="1248"/>
      <c r="I159" s="1249">
        <v>17741</v>
      </c>
      <c r="J159" s="1280"/>
      <c r="K159" s="1250">
        <f t="shared" si="6"/>
        <v>17741</v>
      </c>
      <c r="L159" s="1251"/>
      <c r="N159" s="583"/>
    </row>
    <row r="160" spans="1:14" ht="17.25">
      <c r="A160" s="584">
        <v>154</v>
      </c>
      <c r="B160" s="1244"/>
      <c r="C160" s="574">
        <v>2</v>
      </c>
      <c r="D160" s="1257" t="s">
        <v>775</v>
      </c>
      <c r="E160" s="562" t="s">
        <v>33</v>
      </c>
      <c r="F160" s="1247">
        <v>9000</v>
      </c>
      <c r="G160" s="1247"/>
      <c r="H160" s="1248"/>
      <c r="I160" s="1249"/>
      <c r="J160" s="1280">
        <v>9000</v>
      </c>
      <c r="K160" s="1250">
        <f t="shared" si="6"/>
        <v>9000</v>
      </c>
      <c r="L160" s="1251"/>
      <c r="N160" s="583"/>
    </row>
    <row r="161" spans="1:14" s="1231" customFormat="1" ht="25.5" customHeight="1">
      <c r="A161" s="584">
        <v>155</v>
      </c>
      <c r="B161" s="1244">
        <v>12</v>
      </c>
      <c r="C161" s="574"/>
      <c r="D161" s="537" t="s">
        <v>97</v>
      </c>
      <c r="E161" s="31"/>
      <c r="F161" s="1247"/>
      <c r="G161" s="1256"/>
      <c r="H161" s="905"/>
      <c r="I161" s="1246"/>
      <c r="J161" s="1279"/>
      <c r="K161" s="1250"/>
      <c r="L161" s="915"/>
      <c r="N161" s="1232"/>
    </row>
    <row r="162" spans="1:14" ht="34.5" customHeight="1">
      <c r="A162" s="890">
        <v>156</v>
      </c>
      <c r="B162" s="1244"/>
      <c r="C162" s="574">
        <v>1</v>
      </c>
      <c r="D162" s="1257" t="s">
        <v>575</v>
      </c>
      <c r="E162" s="562" t="s">
        <v>31</v>
      </c>
      <c r="F162" s="1247">
        <f>SUM(G162:H162,K162,L162)</f>
        <v>12700</v>
      </c>
      <c r="G162" s="1247"/>
      <c r="H162" s="1248"/>
      <c r="I162" s="928">
        <v>12700</v>
      </c>
      <c r="J162" s="1283"/>
      <c r="K162" s="1250">
        <f t="shared" si="6"/>
        <v>12700</v>
      </c>
      <c r="L162" s="1251"/>
      <c r="N162" s="583"/>
    </row>
    <row r="163" spans="1:14" s="1231" customFormat="1" ht="25.5" customHeight="1">
      <c r="A163" s="584">
        <v>157</v>
      </c>
      <c r="B163" s="1244">
        <v>13</v>
      </c>
      <c r="C163" s="574"/>
      <c r="D163" s="537" t="s">
        <v>192</v>
      </c>
      <c r="E163" s="31"/>
      <c r="F163" s="1247"/>
      <c r="G163" s="1256"/>
      <c r="H163" s="905"/>
      <c r="I163" s="1246"/>
      <c r="J163" s="1279"/>
      <c r="K163" s="1250"/>
      <c r="L163" s="915"/>
      <c r="N163" s="1232"/>
    </row>
    <row r="164" spans="1:14" s="1230" customFormat="1" ht="52.5" customHeight="1">
      <c r="A164" s="890">
        <v>158</v>
      </c>
      <c r="B164" s="1244"/>
      <c r="C164" s="574">
        <v>1</v>
      </c>
      <c r="D164" s="5" t="s">
        <v>1192</v>
      </c>
      <c r="E164" s="562" t="s">
        <v>33</v>
      </c>
      <c r="F164" s="1247">
        <f>SUM(G164:H164,K164,L164)</f>
        <v>1314</v>
      </c>
      <c r="G164" s="1247"/>
      <c r="H164" s="1248"/>
      <c r="I164" s="1249">
        <v>360</v>
      </c>
      <c r="J164" s="1280">
        <v>954</v>
      </c>
      <c r="K164" s="1250">
        <f t="shared" si="6"/>
        <v>1314</v>
      </c>
      <c r="L164" s="1251"/>
      <c r="N164" s="583"/>
    </row>
    <row r="165" spans="1:14" s="1230" customFormat="1" ht="17.25">
      <c r="A165" s="584">
        <v>159</v>
      </c>
      <c r="B165" s="1244"/>
      <c r="C165" s="574">
        <v>2</v>
      </c>
      <c r="D165" s="5" t="s">
        <v>798</v>
      </c>
      <c r="E165" s="562" t="s">
        <v>33</v>
      </c>
      <c r="F165" s="1247">
        <v>1006</v>
      </c>
      <c r="G165" s="1247"/>
      <c r="H165" s="1248"/>
      <c r="I165" s="1249"/>
      <c r="J165" s="1280">
        <v>1006</v>
      </c>
      <c r="K165" s="1250">
        <f t="shared" si="6"/>
        <v>1006</v>
      </c>
      <c r="L165" s="1251"/>
      <c r="N165" s="583"/>
    </row>
    <row r="166" spans="1:14" s="1230" customFormat="1" ht="17.25">
      <c r="A166" s="584">
        <v>160</v>
      </c>
      <c r="B166" s="1244"/>
      <c r="C166" s="574">
        <v>3</v>
      </c>
      <c r="D166" s="5" t="s">
        <v>799</v>
      </c>
      <c r="E166" s="562" t="s">
        <v>33</v>
      </c>
      <c r="F166" s="1247">
        <v>1270</v>
      </c>
      <c r="G166" s="1247"/>
      <c r="H166" s="1248"/>
      <c r="I166" s="1249"/>
      <c r="J166" s="1280">
        <v>1270</v>
      </c>
      <c r="K166" s="1250">
        <f t="shared" si="6"/>
        <v>1270</v>
      </c>
      <c r="L166" s="1251"/>
      <c r="N166" s="583"/>
    </row>
    <row r="167" spans="1:14" s="1230" customFormat="1" ht="17.25">
      <c r="A167" s="584">
        <v>161</v>
      </c>
      <c r="B167" s="1244"/>
      <c r="C167" s="574">
        <v>4</v>
      </c>
      <c r="D167" s="5" t="s">
        <v>800</v>
      </c>
      <c r="E167" s="562" t="s">
        <v>33</v>
      </c>
      <c r="F167" s="1247">
        <v>244</v>
      </c>
      <c r="G167" s="1247"/>
      <c r="H167" s="1248"/>
      <c r="I167" s="1249"/>
      <c r="J167" s="1280">
        <v>244</v>
      </c>
      <c r="K167" s="1250">
        <f t="shared" si="6"/>
        <v>244</v>
      </c>
      <c r="L167" s="1251"/>
      <c r="N167" s="583"/>
    </row>
    <row r="168" spans="1:14" s="1231" customFormat="1" ht="25.5" customHeight="1">
      <c r="A168" s="584">
        <v>162</v>
      </c>
      <c r="B168" s="1244">
        <v>14</v>
      </c>
      <c r="C168" s="574"/>
      <c r="D168" s="537" t="s">
        <v>193</v>
      </c>
      <c r="E168" s="31"/>
      <c r="F168" s="1247"/>
      <c r="G168" s="1256"/>
      <c r="H168" s="905"/>
      <c r="I168" s="1246"/>
      <c r="J168" s="1279"/>
      <c r="K168" s="1250"/>
      <c r="L168" s="915"/>
      <c r="N168" s="1232"/>
    </row>
    <row r="169" spans="1:14" ht="72" customHeight="1">
      <c r="A169" s="890">
        <v>163</v>
      </c>
      <c r="B169" s="1244"/>
      <c r="C169" s="574">
        <v>1</v>
      </c>
      <c r="D169" s="5" t="s">
        <v>1193</v>
      </c>
      <c r="E169" s="562" t="s">
        <v>33</v>
      </c>
      <c r="F169" s="1247">
        <f>SUM(G169:H169,K169,L169)</f>
        <v>1102</v>
      </c>
      <c r="G169" s="1247"/>
      <c r="H169" s="1248"/>
      <c r="I169" s="1249">
        <v>250</v>
      </c>
      <c r="J169" s="1280">
        <v>852</v>
      </c>
      <c r="K169" s="1250">
        <f t="shared" si="6"/>
        <v>1102</v>
      </c>
      <c r="L169" s="1251"/>
      <c r="N169" s="583"/>
    </row>
    <row r="170" spans="1:14" ht="17.25">
      <c r="A170" s="584">
        <v>164</v>
      </c>
      <c r="B170" s="1244"/>
      <c r="C170" s="574">
        <v>2</v>
      </c>
      <c r="D170" s="5" t="s">
        <v>759</v>
      </c>
      <c r="E170" s="562" t="s">
        <v>33</v>
      </c>
      <c r="F170" s="1247">
        <v>230</v>
      </c>
      <c r="G170" s="1247"/>
      <c r="H170" s="1248"/>
      <c r="I170" s="1249"/>
      <c r="J170" s="1280">
        <v>230</v>
      </c>
      <c r="K170" s="1250">
        <f t="shared" si="6"/>
        <v>230</v>
      </c>
      <c r="L170" s="1251"/>
      <c r="N170" s="583"/>
    </row>
    <row r="171" spans="1:14" ht="33.75" customHeight="1">
      <c r="A171" s="584">
        <v>165</v>
      </c>
      <c r="B171" s="1244"/>
      <c r="C171" s="574"/>
      <c r="D171" s="537" t="s">
        <v>95</v>
      </c>
      <c r="E171" s="562"/>
      <c r="F171" s="1247"/>
      <c r="G171" s="1247"/>
      <c r="H171" s="1248"/>
      <c r="I171" s="1249"/>
      <c r="J171" s="1280"/>
      <c r="K171" s="1250"/>
      <c r="L171" s="1251"/>
      <c r="N171" s="583"/>
    </row>
    <row r="172" spans="1:14" ht="33">
      <c r="A172" s="584">
        <v>166</v>
      </c>
      <c r="B172" s="1244"/>
      <c r="C172" s="574">
        <v>1</v>
      </c>
      <c r="D172" s="5" t="s">
        <v>1194</v>
      </c>
      <c r="E172" s="562" t="s">
        <v>33</v>
      </c>
      <c r="F172" s="1247">
        <v>624</v>
      </c>
      <c r="G172" s="1247"/>
      <c r="H172" s="1248"/>
      <c r="I172" s="1249"/>
      <c r="J172" s="1280">
        <v>624</v>
      </c>
      <c r="K172" s="1250">
        <f t="shared" si="6"/>
        <v>624</v>
      </c>
      <c r="L172" s="1251"/>
      <c r="N172" s="583"/>
    </row>
    <row r="173" spans="1:14" ht="17.25">
      <c r="A173" s="584">
        <v>167</v>
      </c>
      <c r="B173" s="1244"/>
      <c r="C173" s="574">
        <v>2</v>
      </c>
      <c r="D173" s="5" t="s">
        <v>792</v>
      </c>
      <c r="E173" s="562" t="s">
        <v>33</v>
      </c>
      <c r="F173" s="1247">
        <v>463</v>
      </c>
      <c r="G173" s="1247"/>
      <c r="H173" s="1248"/>
      <c r="I173" s="1249"/>
      <c r="J173" s="1280">
        <v>463</v>
      </c>
      <c r="K173" s="1250">
        <f t="shared" si="6"/>
        <v>463</v>
      </c>
      <c r="L173" s="1251"/>
      <c r="N173" s="583"/>
    </row>
    <row r="174" spans="1:14" ht="17.25">
      <c r="A174" s="584">
        <v>168</v>
      </c>
      <c r="B174" s="1244"/>
      <c r="C174" s="574">
        <v>3</v>
      </c>
      <c r="D174" s="5" t="s">
        <v>793</v>
      </c>
      <c r="E174" s="562" t="s">
        <v>33</v>
      </c>
      <c r="F174" s="1247">
        <v>1500</v>
      </c>
      <c r="G174" s="1247"/>
      <c r="H174" s="1248"/>
      <c r="I174" s="1249"/>
      <c r="J174" s="1280">
        <v>1500</v>
      </c>
      <c r="K174" s="1250">
        <f t="shared" si="6"/>
        <v>1500</v>
      </c>
      <c r="L174" s="1251"/>
      <c r="N174" s="583"/>
    </row>
    <row r="175" spans="1:14" ht="17.25">
      <c r="A175" s="584">
        <v>169</v>
      </c>
      <c r="B175" s="1244"/>
      <c r="C175" s="574">
        <v>4</v>
      </c>
      <c r="D175" s="5" t="s">
        <v>1195</v>
      </c>
      <c r="E175" s="562" t="s">
        <v>33</v>
      </c>
      <c r="F175" s="1247">
        <v>20</v>
      </c>
      <c r="G175" s="1247"/>
      <c r="H175" s="1248"/>
      <c r="I175" s="1249"/>
      <c r="J175" s="1280">
        <v>20</v>
      </c>
      <c r="K175" s="1250">
        <f t="shared" si="6"/>
        <v>20</v>
      </c>
      <c r="L175" s="1251"/>
      <c r="N175" s="583"/>
    </row>
    <row r="176" spans="1:14" ht="33.75" customHeight="1">
      <c r="A176" s="584">
        <v>170</v>
      </c>
      <c r="B176" s="1244"/>
      <c r="C176" s="574"/>
      <c r="D176" s="537" t="s">
        <v>99</v>
      </c>
      <c r="E176" s="562"/>
      <c r="F176" s="1247"/>
      <c r="G176" s="1247"/>
      <c r="H176" s="1248"/>
      <c r="I176" s="1249"/>
      <c r="J176" s="1280"/>
      <c r="K176" s="1250"/>
      <c r="L176" s="1251"/>
      <c r="N176" s="583"/>
    </row>
    <row r="177" spans="1:14" ht="17.25">
      <c r="A177" s="584">
        <v>171</v>
      </c>
      <c r="B177" s="1244"/>
      <c r="C177" s="574">
        <v>1</v>
      </c>
      <c r="D177" s="5" t="s">
        <v>1154</v>
      </c>
      <c r="E177" s="562" t="s">
        <v>33</v>
      </c>
      <c r="F177" s="1247">
        <v>10000</v>
      </c>
      <c r="G177" s="1247"/>
      <c r="H177" s="1248"/>
      <c r="I177" s="1249"/>
      <c r="J177" s="1280">
        <v>10000</v>
      </c>
      <c r="K177" s="1250">
        <f t="shared" si="6"/>
        <v>10000</v>
      </c>
      <c r="L177" s="1251"/>
      <c r="N177" s="583"/>
    </row>
    <row r="178" spans="1:14" ht="17.25">
      <c r="A178" s="584">
        <v>172</v>
      </c>
      <c r="B178" s="1244"/>
      <c r="C178" s="574">
        <v>2</v>
      </c>
      <c r="D178" s="5" t="s">
        <v>789</v>
      </c>
      <c r="E178" s="562" t="s">
        <v>33</v>
      </c>
      <c r="F178" s="1247">
        <v>1599</v>
      </c>
      <c r="G178" s="1247"/>
      <c r="H178" s="1248"/>
      <c r="I178" s="1249"/>
      <c r="J178" s="1280">
        <v>1599</v>
      </c>
      <c r="K178" s="1250">
        <f t="shared" si="6"/>
        <v>1599</v>
      </c>
      <c r="L178" s="1251"/>
      <c r="N178" s="583"/>
    </row>
    <row r="179" spans="1:14" ht="17.25">
      <c r="A179" s="584">
        <v>173</v>
      </c>
      <c r="B179" s="1244"/>
      <c r="C179" s="574">
        <v>3</v>
      </c>
      <c r="D179" s="5" t="s">
        <v>790</v>
      </c>
      <c r="E179" s="562" t="s">
        <v>33</v>
      </c>
      <c r="F179" s="1247">
        <v>598</v>
      </c>
      <c r="G179" s="1247"/>
      <c r="H179" s="1248"/>
      <c r="I179" s="1249"/>
      <c r="J179" s="1280">
        <v>598</v>
      </c>
      <c r="K179" s="1250">
        <f t="shared" si="6"/>
        <v>598</v>
      </c>
      <c r="L179" s="1251"/>
      <c r="N179" s="583"/>
    </row>
    <row r="180" spans="1:14" s="1231" customFormat="1" ht="25.5" customHeight="1">
      <c r="A180" s="584">
        <v>174</v>
      </c>
      <c r="B180" s="1244">
        <v>16</v>
      </c>
      <c r="C180" s="574"/>
      <c r="D180" s="537" t="s">
        <v>194</v>
      </c>
      <c r="E180" s="31"/>
      <c r="F180" s="1247"/>
      <c r="G180" s="1256"/>
      <c r="H180" s="905"/>
      <c r="I180" s="1246"/>
      <c r="J180" s="1279"/>
      <c r="K180" s="1250"/>
      <c r="L180" s="915"/>
      <c r="N180" s="1232"/>
    </row>
    <row r="181" spans="1:14" ht="17.25">
      <c r="A181" s="584">
        <v>175</v>
      </c>
      <c r="B181" s="1244"/>
      <c r="C181" s="574">
        <v>1</v>
      </c>
      <c r="D181" s="1257" t="s">
        <v>195</v>
      </c>
      <c r="E181" s="562" t="s">
        <v>33</v>
      </c>
      <c r="F181" s="1247">
        <f>SUM(G181:H181,K181,L181)</f>
        <v>7000</v>
      </c>
      <c r="G181" s="1247"/>
      <c r="H181" s="1248"/>
      <c r="I181" s="1249">
        <v>7000</v>
      </c>
      <c r="J181" s="1280"/>
      <c r="K181" s="1250">
        <f t="shared" si="6"/>
        <v>7000</v>
      </c>
      <c r="L181" s="1251"/>
      <c r="N181" s="583"/>
    </row>
    <row r="182" spans="1:14" ht="17.25">
      <c r="A182" s="584">
        <v>176</v>
      </c>
      <c r="B182" s="1244"/>
      <c r="C182" s="574">
        <v>2</v>
      </c>
      <c r="D182" s="1257" t="s">
        <v>576</v>
      </c>
      <c r="E182" s="562" t="s">
        <v>33</v>
      </c>
      <c r="F182" s="1247">
        <f>SUM(G182:H182,K182,L182)</f>
        <v>80</v>
      </c>
      <c r="G182" s="1247"/>
      <c r="H182" s="1248"/>
      <c r="I182" s="1249">
        <v>80</v>
      </c>
      <c r="J182" s="1280"/>
      <c r="K182" s="1250">
        <f t="shared" si="6"/>
        <v>80</v>
      </c>
      <c r="L182" s="1251"/>
      <c r="N182" s="583"/>
    </row>
    <row r="183" spans="1:14" ht="17.25">
      <c r="A183" s="584">
        <v>177</v>
      </c>
      <c r="B183" s="1244"/>
      <c r="C183" s="574">
        <v>3</v>
      </c>
      <c r="D183" s="1257" t="s">
        <v>577</v>
      </c>
      <c r="E183" s="562" t="s">
        <v>33</v>
      </c>
      <c r="F183" s="1247">
        <f>SUM(G183:H183,K183,L183)</f>
        <v>480</v>
      </c>
      <c r="G183" s="1247"/>
      <c r="H183" s="1248"/>
      <c r="I183" s="1249">
        <v>480</v>
      </c>
      <c r="J183" s="1280"/>
      <c r="K183" s="1250">
        <f t="shared" si="6"/>
        <v>480</v>
      </c>
      <c r="L183" s="1251"/>
      <c r="N183" s="583"/>
    </row>
    <row r="184" spans="1:14" ht="34.5">
      <c r="A184" s="584">
        <v>178</v>
      </c>
      <c r="B184" s="1244"/>
      <c r="C184" s="574">
        <v>4</v>
      </c>
      <c r="D184" s="1257" t="s">
        <v>578</v>
      </c>
      <c r="E184" s="562" t="s">
        <v>33</v>
      </c>
      <c r="F184" s="1247">
        <f>SUM(G184:H184,K184,L184)</f>
        <v>60</v>
      </c>
      <c r="G184" s="1247"/>
      <c r="H184" s="1248"/>
      <c r="I184" s="1249">
        <v>60</v>
      </c>
      <c r="J184" s="1280"/>
      <c r="K184" s="1250">
        <f t="shared" si="6"/>
        <v>60</v>
      </c>
      <c r="L184" s="1251"/>
      <c r="N184" s="583"/>
    </row>
    <row r="185" spans="1:14" ht="17.25">
      <c r="A185" s="584">
        <v>179</v>
      </c>
      <c r="B185" s="1244"/>
      <c r="C185" s="574">
        <v>5</v>
      </c>
      <c r="D185" s="1257" t="s">
        <v>791</v>
      </c>
      <c r="E185" s="562" t="s">
        <v>33</v>
      </c>
      <c r="F185" s="1247">
        <v>227</v>
      </c>
      <c r="G185" s="1247"/>
      <c r="H185" s="1248"/>
      <c r="I185" s="1249"/>
      <c r="J185" s="1280">
        <v>227</v>
      </c>
      <c r="K185" s="1250">
        <f t="shared" si="6"/>
        <v>227</v>
      </c>
      <c r="L185" s="1251"/>
      <c r="N185" s="583"/>
    </row>
    <row r="186" spans="1:14" s="1231" customFormat="1" ht="25.5" customHeight="1">
      <c r="A186" s="584">
        <v>180</v>
      </c>
      <c r="B186" s="1244">
        <v>17</v>
      </c>
      <c r="C186" s="574"/>
      <c r="D186" s="537" t="s">
        <v>120</v>
      </c>
      <c r="E186" s="31"/>
      <c r="F186" s="1247"/>
      <c r="G186" s="1256"/>
      <c r="H186" s="905"/>
      <c r="I186" s="1246"/>
      <c r="J186" s="1279"/>
      <c r="K186" s="1250"/>
      <c r="L186" s="915"/>
      <c r="N186" s="1232"/>
    </row>
    <row r="187" spans="1:14" ht="17.25">
      <c r="A187" s="584">
        <v>181</v>
      </c>
      <c r="B187" s="1244"/>
      <c r="C187" s="574">
        <v>1</v>
      </c>
      <c r="D187" s="1257" t="s">
        <v>196</v>
      </c>
      <c r="E187" s="562" t="s">
        <v>33</v>
      </c>
      <c r="F187" s="1247">
        <f>SUM(G187:H187,K187,L187)</f>
        <v>24701</v>
      </c>
      <c r="G187" s="1247"/>
      <c r="H187" s="1248"/>
      <c r="I187" s="1249">
        <v>17550</v>
      </c>
      <c r="J187" s="1280">
        <v>7151</v>
      </c>
      <c r="K187" s="1250">
        <f t="shared" si="6"/>
        <v>24701</v>
      </c>
      <c r="L187" s="1251"/>
      <c r="N187" s="583"/>
    </row>
    <row r="188" spans="1:14" ht="17.25">
      <c r="A188" s="584">
        <v>182</v>
      </c>
      <c r="B188" s="1320"/>
      <c r="C188" s="1273">
        <v>2</v>
      </c>
      <c r="D188" s="1274" t="s">
        <v>938</v>
      </c>
      <c r="E188" s="1275" t="s">
        <v>33</v>
      </c>
      <c r="F188" s="1276">
        <v>15200</v>
      </c>
      <c r="G188" s="1276"/>
      <c r="H188" s="1304"/>
      <c r="I188" s="1284"/>
      <c r="J188" s="1285">
        <v>15200</v>
      </c>
      <c r="K188" s="1286">
        <f t="shared" si="6"/>
        <v>15200</v>
      </c>
      <c r="L188" s="1305"/>
      <c r="N188" s="583"/>
    </row>
    <row r="189" spans="1:14" s="1230" customFormat="1" ht="36" customHeight="1" thickBot="1">
      <c r="A189" s="584">
        <v>183</v>
      </c>
      <c r="B189" s="1321"/>
      <c r="C189" s="1025"/>
      <c r="D189" s="1260" t="s">
        <v>197</v>
      </c>
      <c r="E189" s="547"/>
      <c r="F189" s="6">
        <f aca="true" t="shared" si="7" ref="F189:K189">SUM(F94:F188)</f>
        <v>154829</v>
      </c>
      <c r="G189" s="6">
        <f t="shared" si="7"/>
        <v>0</v>
      </c>
      <c r="H189" s="895">
        <f t="shared" si="7"/>
        <v>0</v>
      </c>
      <c r="I189" s="935">
        <f t="shared" si="7"/>
        <v>64149</v>
      </c>
      <c r="J189" s="6">
        <f t="shared" si="7"/>
        <v>90680</v>
      </c>
      <c r="K189" s="1277">
        <f t="shared" si="7"/>
        <v>154829</v>
      </c>
      <c r="L189" s="1261">
        <f>SUM(L94:L187)</f>
        <v>0</v>
      </c>
      <c r="N189" s="1222"/>
    </row>
    <row r="190" spans="1:14" s="1230" customFormat="1" ht="36" customHeight="1" thickBot="1" thickTop="1">
      <c r="A190" s="584">
        <v>184</v>
      </c>
      <c r="B190" s="1322"/>
      <c r="C190" s="1027"/>
      <c r="D190" s="1262" t="s">
        <v>198</v>
      </c>
      <c r="E190" s="1027"/>
      <c r="F190" s="1263">
        <f aca="true" t="shared" si="8" ref="F190:L190">+F189+F82+F91</f>
        <v>18162157</v>
      </c>
      <c r="G190" s="1263">
        <f t="shared" si="8"/>
        <v>3992836</v>
      </c>
      <c r="H190" s="1264">
        <f t="shared" si="8"/>
        <v>2767979</v>
      </c>
      <c r="I190" s="1265">
        <f t="shared" si="8"/>
        <v>2525358</v>
      </c>
      <c r="J190" s="1266">
        <f t="shared" si="8"/>
        <v>3079610</v>
      </c>
      <c r="K190" s="1267">
        <f t="shared" si="8"/>
        <v>5604968</v>
      </c>
      <c r="L190" s="1268">
        <f t="shared" si="8"/>
        <v>5796374</v>
      </c>
      <c r="N190" s="1222"/>
    </row>
    <row r="191" spans="1:14" s="1272" customFormat="1" ht="13.5">
      <c r="A191" s="584"/>
      <c r="B191" s="1323" t="s">
        <v>126</v>
      </c>
      <c r="C191" s="579"/>
      <c r="D191" s="580"/>
      <c r="E191" s="581"/>
      <c r="F191" s="1269"/>
      <c r="G191" s="1269"/>
      <c r="H191" s="1269"/>
      <c r="I191" s="1269"/>
      <c r="J191" s="1270"/>
      <c r="K191" s="1271"/>
      <c r="L191" s="1269"/>
      <c r="N191" s="1269"/>
    </row>
    <row r="192" spans="1:14" s="1272" customFormat="1" ht="13.5">
      <c r="A192" s="584"/>
      <c r="B192" s="1323" t="s">
        <v>127</v>
      </c>
      <c r="C192" s="579"/>
      <c r="D192" s="580"/>
      <c r="E192" s="581"/>
      <c r="F192" s="1269"/>
      <c r="G192" s="1269"/>
      <c r="H192" s="1269"/>
      <c r="I192" s="1269"/>
      <c r="J192" s="1270"/>
      <c r="K192" s="1271"/>
      <c r="L192" s="1269"/>
      <c r="N192" s="1269"/>
    </row>
    <row r="193" spans="1:14" s="1272" customFormat="1" ht="13.5">
      <c r="A193" s="584"/>
      <c r="B193" s="1323" t="s">
        <v>128</v>
      </c>
      <c r="C193" s="579"/>
      <c r="D193" s="580"/>
      <c r="E193" s="581"/>
      <c r="F193" s="1269"/>
      <c r="G193" s="1269"/>
      <c r="H193" s="1269"/>
      <c r="I193" s="1269"/>
      <c r="J193" s="1270"/>
      <c r="K193" s="1271"/>
      <c r="L193" s="1269"/>
      <c r="N193" s="1269"/>
    </row>
  </sheetData>
  <sheetProtection/>
  <mergeCells count="3">
    <mergeCell ref="B1:D1"/>
    <mergeCell ref="B2:L2"/>
    <mergeCell ref="B3:L3"/>
  </mergeCells>
  <printOptions/>
  <pageMargins left="0.2362204724409449" right="0.2362204724409449" top="0.7480314960629921" bottom="0.7480314960629921" header="0.31496062992125984" footer="0.31496062992125984"/>
  <pageSetup fitToHeight="6" fitToWidth="1"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48"/>
  <sheetViews>
    <sheetView view="pageBreakPreview" zoomScale="80" zoomScaleSheetLayoutView="80" zoomScalePageLayoutView="0" workbookViewId="0" topLeftCell="A115">
      <selection activeCell="D14" sqref="D14"/>
    </sheetView>
  </sheetViews>
  <sheetFormatPr defaultColWidth="9.125" defaultRowHeight="12.75"/>
  <cols>
    <col min="1" max="1" width="3.375" style="529" bestFit="1" customWidth="1"/>
    <col min="2" max="3" width="4.75390625" style="14" customWidth="1"/>
    <col min="4" max="4" width="74.875" style="11" bestFit="1" customWidth="1"/>
    <col min="5" max="5" width="7.75390625" style="21" customWidth="1"/>
    <col min="6" max="8" width="15.75390625" style="22" customWidth="1"/>
    <col min="9" max="9" width="15.75390625" style="903" customWidth="1"/>
    <col min="10" max="10" width="15.75390625" style="27" customWidth="1"/>
    <col min="11" max="11" width="15.75390625" style="22" customWidth="1"/>
    <col min="12" max="16384" width="9.125" style="20" customWidth="1"/>
  </cols>
  <sheetData>
    <row r="1" spans="1:11" s="19" customFormat="1" ht="17.25">
      <c r="A1" s="529"/>
      <c r="B1" s="1469" t="s">
        <v>1210</v>
      </c>
      <c r="C1" s="1469"/>
      <c r="D1" s="1469"/>
      <c r="E1" s="15"/>
      <c r="F1" s="16"/>
      <c r="G1" s="17"/>
      <c r="H1" s="17"/>
      <c r="I1" s="902"/>
      <c r="J1" s="18"/>
      <c r="K1" s="17"/>
    </row>
    <row r="2" spans="2:11" ht="17.25">
      <c r="B2" s="1470" t="s">
        <v>20</v>
      </c>
      <c r="C2" s="1470"/>
      <c r="D2" s="1470"/>
      <c r="E2" s="1470"/>
      <c r="F2" s="1470"/>
      <c r="G2" s="1470"/>
      <c r="H2" s="1470"/>
      <c r="I2" s="1470"/>
      <c r="J2" s="1470"/>
      <c r="K2" s="1470"/>
    </row>
    <row r="3" spans="2:21" ht="17.25">
      <c r="B3" s="1470" t="s">
        <v>645</v>
      </c>
      <c r="C3" s="1470"/>
      <c r="D3" s="1470"/>
      <c r="E3" s="1470"/>
      <c r="F3" s="1470"/>
      <c r="G3" s="1470"/>
      <c r="H3" s="1470"/>
      <c r="I3" s="1470"/>
      <c r="J3" s="1470"/>
      <c r="K3" s="1470"/>
      <c r="L3" s="1465"/>
      <c r="M3" s="1465"/>
      <c r="N3" s="1465"/>
      <c r="O3" s="1465"/>
      <c r="P3" s="1465"/>
      <c r="Q3" s="1465"/>
      <c r="R3" s="1465"/>
      <c r="S3" s="1465"/>
      <c r="T3" s="1465"/>
      <c r="U3" s="1465"/>
    </row>
    <row r="4" spans="9:11" ht="16.5">
      <c r="I4" s="12"/>
      <c r="J4" s="1466" t="s">
        <v>0</v>
      </c>
      <c r="K4" s="1466"/>
    </row>
    <row r="5" spans="1:11" s="530" customFormat="1" ht="15" thickBot="1">
      <c r="A5" s="529"/>
      <c r="B5" s="529" t="s">
        <v>1</v>
      </c>
      <c r="C5" s="529" t="s">
        <v>3</v>
      </c>
      <c r="D5" s="569" t="s">
        <v>2</v>
      </c>
      <c r="E5" s="569" t="s">
        <v>4</v>
      </c>
      <c r="F5" s="570" t="s">
        <v>5</v>
      </c>
      <c r="G5" s="570" t="s">
        <v>21</v>
      </c>
      <c r="H5" s="570" t="s">
        <v>22</v>
      </c>
      <c r="I5" s="570" t="s">
        <v>23</v>
      </c>
      <c r="J5" s="570" t="s">
        <v>201</v>
      </c>
      <c r="K5" s="570" t="s">
        <v>129</v>
      </c>
    </row>
    <row r="6" spans="2:11" ht="57.75" thickBot="1">
      <c r="B6" s="23" t="s">
        <v>24</v>
      </c>
      <c r="C6" s="24" t="s">
        <v>25</v>
      </c>
      <c r="D6" s="25" t="s">
        <v>6</v>
      </c>
      <c r="E6" s="26" t="s">
        <v>26</v>
      </c>
      <c r="F6" s="1326" t="s">
        <v>27</v>
      </c>
      <c r="G6" s="892" t="s">
        <v>801</v>
      </c>
      <c r="H6" s="897" t="s">
        <v>600</v>
      </c>
      <c r="I6" s="898" t="s">
        <v>352</v>
      </c>
      <c r="J6" s="899" t="s">
        <v>601</v>
      </c>
      <c r="K6" s="911" t="s">
        <v>28</v>
      </c>
    </row>
    <row r="7" spans="1:11" ht="30" customHeight="1">
      <c r="A7" s="530">
        <v>1</v>
      </c>
      <c r="B7" s="531">
        <v>18</v>
      </c>
      <c r="C7" s="532"/>
      <c r="D7" s="533" t="s">
        <v>29</v>
      </c>
      <c r="E7" s="534"/>
      <c r="F7" s="535"/>
      <c r="G7" s="904"/>
      <c r="H7" s="921"/>
      <c r="I7" s="1333"/>
      <c r="J7" s="922"/>
      <c r="K7" s="912"/>
    </row>
    <row r="8" spans="1:11" ht="17.25">
      <c r="A8" s="529">
        <v>2</v>
      </c>
      <c r="B8" s="8"/>
      <c r="C8" s="28">
        <v>1</v>
      </c>
      <c r="D8" s="9" t="s">
        <v>30</v>
      </c>
      <c r="E8" s="29" t="s">
        <v>31</v>
      </c>
      <c r="F8" s="30">
        <f>SUM(G8,J8,K8)</f>
        <v>19308</v>
      </c>
      <c r="G8" s="905">
        <v>9308</v>
      </c>
      <c r="H8" s="923">
        <v>10000</v>
      </c>
      <c r="I8" s="1334"/>
      <c r="J8" s="924">
        <f>SUM(H8:I8)</f>
        <v>10000</v>
      </c>
      <c r="K8" s="913"/>
    </row>
    <row r="9" spans="1:11" s="4" customFormat="1" ht="17.25">
      <c r="A9" s="529">
        <v>3</v>
      </c>
      <c r="B9" s="8"/>
      <c r="C9" s="28">
        <v>2</v>
      </c>
      <c r="D9" s="10" t="s">
        <v>32</v>
      </c>
      <c r="E9" s="31" t="s">
        <v>33</v>
      </c>
      <c r="F9" s="30">
        <f aca="true" t="shared" si="0" ref="F9:F69">SUM(G9,J9,K9)</f>
        <v>5000</v>
      </c>
      <c r="G9" s="906">
        <v>5000</v>
      </c>
      <c r="H9" s="925">
        <v>5000</v>
      </c>
      <c r="I9" s="1335">
        <v>-5000</v>
      </c>
      <c r="J9" s="924">
        <f aca="true" t="shared" si="1" ref="J9:J84">SUM(H9:I9)</f>
        <v>0</v>
      </c>
      <c r="K9" s="914"/>
    </row>
    <row r="10" spans="1:11" s="2" customFormat="1" ht="17.25">
      <c r="A10" s="529">
        <v>4</v>
      </c>
      <c r="B10" s="8"/>
      <c r="C10" s="28">
        <v>3</v>
      </c>
      <c r="D10" s="32" t="s">
        <v>34</v>
      </c>
      <c r="E10" s="31" t="s">
        <v>33</v>
      </c>
      <c r="F10" s="30">
        <f t="shared" si="0"/>
        <v>52000</v>
      </c>
      <c r="G10" s="907">
        <v>43598</v>
      </c>
      <c r="H10" s="926">
        <v>7000</v>
      </c>
      <c r="I10" s="1336">
        <v>1402</v>
      </c>
      <c r="J10" s="924">
        <f t="shared" si="1"/>
        <v>8402</v>
      </c>
      <c r="K10" s="914"/>
    </row>
    <row r="11" spans="1:11" ht="17.25">
      <c r="A11" s="529">
        <v>5</v>
      </c>
      <c r="B11" s="8"/>
      <c r="C11" s="28">
        <v>4</v>
      </c>
      <c r="D11" s="33" t="s">
        <v>35</v>
      </c>
      <c r="E11" s="29" t="s">
        <v>33</v>
      </c>
      <c r="F11" s="30">
        <f t="shared" si="0"/>
        <v>4000</v>
      </c>
      <c r="G11" s="908">
        <v>878</v>
      </c>
      <c r="H11" s="927">
        <v>2000</v>
      </c>
      <c r="I11" s="1282">
        <v>1122</v>
      </c>
      <c r="J11" s="924">
        <f t="shared" si="1"/>
        <v>3122</v>
      </c>
      <c r="K11" s="915"/>
    </row>
    <row r="12" spans="1:11" ht="17.25">
      <c r="A12" s="529">
        <v>6</v>
      </c>
      <c r="B12" s="8"/>
      <c r="C12" s="28">
        <v>5</v>
      </c>
      <c r="D12" s="33" t="s">
        <v>36</v>
      </c>
      <c r="E12" s="29" t="s">
        <v>31</v>
      </c>
      <c r="F12" s="30">
        <f t="shared" si="0"/>
        <v>41748</v>
      </c>
      <c r="G12" s="908">
        <v>9998</v>
      </c>
      <c r="H12" s="927">
        <v>31750</v>
      </c>
      <c r="I12" s="1282"/>
      <c r="J12" s="924">
        <f t="shared" si="1"/>
        <v>31750</v>
      </c>
      <c r="K12" s="915"/>
    </row>
    <row r="13" spans="1:11" ht="17.25">
      <c r="A13" s="529">
        <v>7</v>
      </c>
      <c r="B13" s="8"/>
      <c r="C13" s="28">
        <v>6</v>
      </c>
      <c r="D13" s="10" t="s">
        <v>589</v>
      </c>
      <c r="E13" s="29" t="s">
        <v>31</v>
      </c>
      <c r="F13" s="30">
        <f t="shared" si="0"/>
        <v>28000</v>
      </c>
      <c r="G13" s="908">
        <v>5850</v>
      </c>
      <c r="H13" s="927">
        <v>8000</v>
      </c>
      <c r="I13" s="1282">
        <v>14150</v>
      </c>
      <c r="J13" s="924">
        <f t="shared" si="1"/>
        <v>22150</v>
      </c>
      <c r="K13" s="915"/>
    </row>
    <row r="14" spans="1:11" s="2" customFormat="1" ht="82.5">
      <c r="A14" s="1369">
        <v>8</v>
      </c>
      <c r="B14" s="3"/>
      <c r="C14" s="571">
        <v>7</v>
      </c>
      <c r="D14" s="5" t="s">
        <v>1165</v>
      </c>
      <c r="E14" s="1370" t="s">
        <v>33</v>
      </c>
      <c r="F14" s="1371">
        <f t="shared" si="0"/>
        <v>335001</v>
      </c>
      <c r="G14" s="909">
        <v>142678</v>
      </c>
      <c r="H14" s="928">
        <v>190000</v>
      </c>
      <c r="I14" s="1283">
        <v>2323</v>
      </c>
      <c r="J14" s="1250">
        <f t="shared" si="1"/>
        <v>192323</v>
      </c>
      <c r="K14" s="1251"/>
    </row>
    <row r="15" spans="1:11" ht="17.25">
      <c r="A15" s="529">
        <v>9</v>
      </c>
      <c r="B15" s="8"/>
      <c r="C15" s="28">
        <v>8</v>
      </c>
      <c r="D15" s="10" t="s">
        <v>37</v>
      </c>
      <c r="E15" s="29" t="s">
        <v>33</v>
      </c>
      <c r="F15" s="30">
        <f t="shared" si="0"/>
        <v>9946</v>
      </c>
      <c r="G15" s="908">
        <v>7946</v>
      </c>
      <c r="H15" s="927">
        <v>2000</v>
      </c>
      <c r="I15" s="1282"/>
      <c r="J15" s="924">
        <f t="shared" si="1"/>
        <v>2000</v>
      </c>
      <c r="K15" s="915"/>
    </row>
    <row r="16" spans="1:11" ht="17.25">
      <c r="A16" s="529">
        <v>10</v>
      </c>
      <c r="B16" s="8"/>
      <c r="C16" s="28">
        <v>9</v>
      </c>
      <c r="D16" s="33" t="s">
        <v>38</v>
      </c>
      <c r="E16" s="29" t="s">
        <v>33</v>
      </c>
      <c r="F16" s="30">
        <f t="shared" si="0"/>
        <v>9000</v>
      </c>
      <c r="G16" s="908"/>
      <c r="H16" s="927">
        <v>9000</v>
      </c>
      <c r="I16" s="1282"/>
      <c r="J16" s="924">
        <f t="shared" si="1"/>
        <v>9000</v>
      </c>
      <c r="K16" s="915"/>
    </row>
    <row r="17" spans="1:11" ht="17.25">
      <c r="A17" s="529">
        <v>11</v>
      </c>
      <c r="B17" s="8"/>
      <c r="C17" s="28">
        <v>10</v>
      </c>
      <c r="D17" s="33" t="s">
        <v>39</v>
      </c>
      <c r="E17" s="29" t="s">
        <v>33</v>
      </c>
      <c r="F17" s="30">
        <f t="shared" si="0"/>
        <v>3000</v>
      </c>
      <c r="G17" s="908"/>
      <c r="H17" s="927">
        <v>3000</v>
      </c>
      <c r="I17" s="1282"/>
      <c r="J17" s="924">
        <f t="shared" si="1"/>
        <v>3000</v>
      </c>
      <c r="K17" s="915"/>
    </row>
    <row r="18" spans="1:11" ht="17.25">
      <c r="A18" s="529">
        <v>12</v>
      </c>
      <c r="B18" s="8"/>
      <c r="C18" s="28">
        <v>11</v>
      </c>
      <c r="D18" s="33" t="s">
        <v>40</v>
      </c>
      <c r="E18" s="29" t="s">
        <v>33</v>
      </c>
      <c r="F18" s="30">
        <f t="shared" si="0"/>
        <v>1350</v>
      </c>
      <c r="G18" s="908"/>
      <c r="H18" s="927">
        <v>1350</v>
      </c>
      <c r="I18" s="1282"/>
      <c r="J18" s="924">
        <f t="shared" si="1"/>
        <v>1350</v>
      </c>
      <c r="K18" s="915"/>
    </row>
    <row r="19" spans="1:11" ht="17.25">
      <c r="A19" s="529">
        <v>13</v>
      </c>
      <c r="B19" s="8"/>
      <c r="C19" s="28">
        <v>12</v>
      </c>
      <c r="D19" s="33" t="s">
        <v>41</v>
      </c>
      <c r="E19" s="29" t="s">
        <v>33</v>
      </c>
      <c r="F19" s="30">
        <f t="shared" si="0"/>
        <v>10000</v>
      </c>
      <c r="G19" s="908"/>
      <c r="H19" s="927">
        <v>10000</v>
      </c>
      <c r="I19" s="1282"/>
      <c r="J19" s="924">
        <f t="shared" si="1"/>
        <v>10000</v>
      </c>
      <c r="K19" s="915"/>
    </row>
    <row r="20" spans="1:11" ht="17.25">
      <c r="A20" s="529">
        <v>14</v>
      </c>
      <c r="B20" s="8"/>
      <c r="C20" s="28">
        <v>13</v>
      </c>
      <c r="D20" s="33" t="s">
        <v>42</v>
      </c>
      <c r="E20" s="29" t="s">
        <v>33</v>
      </c>
      <c r="F20" s="30">
        <f t="shared" si="0"/>
        <v>1500</v>
      </c>
      <c r="G20" s="908"/>
      <c r="H20" s="927">
        <v>1500</v>
      </c>
      <c r="I20" s="1282"/>
      <c r="J20" s="924">
        <f t="shared" si="1"/>
        <v>1500</v>
      </c>
      <c r="K20" s="915"/>
    </row>
    <row r="21" spans="1:11" ht="17.25">
      <c r="A21" s="529">
        <v>15</v>
      </c>
      <c r="B21" s="8"/>
      <c r="C21" s="28">
        <v>14</v>
      </c>
      <c r="D21" s="33" t="s">
        <v>43</v>
      </c>
      <c r="E21" s="29" t="s">
        <v>33</v>
      </c>
      <c r="F21" s="30">
        <f t="shared" si="0"/>
        <v>10000</v>
      </c>
      <c r="G21" s="908"/>
      <c r="H21" s="927">
        <v>10000</v>
      </c>
      <c r="I21" s="1282"/>
      <c r="J21" s="924">
        <f t="shared" si="1"/>
        <v>10000</v>
      </c>
      <c r="K21" s="915"/>
    </row>
    <row r="22" spans="1:11" ht="17.25">
      <c r="A22" s="529">
        <v>16</v>
      </c>
      <c r="B22" s="8"/>
      <c r="C22" s="28">
        <v>15</v>
      </c>
      <c r="D22" s="33" t="s">
        <v>44</v>
      </c>
      <c r="E22" s="29" t="s">
        <v>33</v>
      </c>
      <c r="F22" s="30">
        <f t="shared" si="0"/>
        <v>7958</v>
      </c>
      <c r="G22" s="908">
        <v>2958</v>
      </c>
      <c r="H22" s="927">
        <v>5000</v>
      </c>
      <c r="I22" s="1282"/>
      <c r="J22" s="924">
        <f t="shared" si="1"/>
        <v>5000</v>
      </c>
      <c r="K22" s="915"/>
    </row>
    <row r="23" spans="1:11" ht="17.25">
      <c r="A23" s="529">
        <v>17</v>
      </c>
      <c r="B23" s="8"/>
      <c r="C23" s="28">
        <v>16</v>
      </c>
      <c r="D23" s="10" t="s">
        <v>45</v>
      </c>
      <c r="E23" s="29" t="s">
        <v>33</v>
      </c>
      <c r="F23" s="30">
        <f t="shared" si="0"/>
        <v>900</v>
      </c>
      <c r="G23" s="908"/>
      <c r="H23" s="927">
        <v>900</v>
      </c>
      <c r="I23" s="1282"/>
      <c r="J23" s="924">
        <f t="shared" si="1"/>
        <v>900</v>
      </c>
      <c r="K23" s="915"/>
    </row>
    <row r="24" spans="1:11" ht="17.25">
      <c r="A24" s="529">
        <v>18</v>
      </c>
      <c r="B24" s="8"/>
      <c r="C24" s="28">
        <v>17</v>
      </c>
      <c r="D24" s="10" t="s">
        <v>908</v>
      </c>
      <c r="E24" s="29" t="s">
        <v>33</v>
      </c>
      <c r="F24" s="30">
        <f t="shared" si="0"/>
        <v>4916</v>
      </c>
      <c r="G24" s="908">
        <v>4251</v>
      </c>
      <c r="H24" s="927"/>
      <c r="I24" s="1282">
        <v>665</v>
      </c>
      <c r="J24" s="924">
        <f t="shared" si="1"/>
        <v>665</v>
      </c>
      <c r="K24" s="915"/>
    </row>
    <row r="25" spans="1:11" ht="17.25">
      <c r="A25" s="529">
        <v>19</v>
      </c>
      <c r="B25" s="8"/>
      <c r="C25" s="28">
        <v>18</v>
      </c>
      <c r="D25" s="10" t="s">
        <v>928</v>
      </c>
      <c r="E25" s="29" t="s">
        <v>33</v>
      </c>
      <c r="F25" s="30">
        <f t="shared" si="0"/>
        <v>6800</v>
      </c>
      <c r="G25" s="908">
        <v>3998</v>
      </c>
      <c r="H25" s="927"/>
      <c r="I25" s="1282">
        <v>2802</v>
      </c>
      <c r="J25" s="924">
        <f t="shared" si="1"/>
        <v>2802</v>
      </c>
      <c r="K25" s="915"/>
    </row>
    <row r="26" spans="1:11" ht="33.75">
      <c r="A26" s="529">
        <v>20</v>
      </c>
      <c r="B26" s="8"/>
      <c r="C26" s="28">
        <v>19</v>
      </c>
      <c r="D26" s="10" t="s">
        <v>911</v>
      </c>
      <c r="E26" s="29" t="s">
        <v>33</v>
      </c>
      <c r="F26" s="30">
        <f t="shared" si="0"/>
        <v>2500</v>
      </c>
      <c r="G26" s="908">
        <v>668</v>
      </c>
      <c r="H26" s="927"/>
      <c r="I26" s="1282">
        <v>1832</v>
      </c>
      <c r="J26" s="924">
        <f t="shared" si="1"/>
        <v>1832</v>
      </c>
      <c r="K26" s="915"/>
    </row>
    <row r="27" spans="1:11" ht="17.25">
      <c r="A27" s="529">
        <v>21</v>
      </c>
      <c r="B27" s="8"/>
      <c r="C27" s="28">
        <v>20</v>
      </c>
      <c r="D27" s="10" t="s">
        <v>912</v>
      </c>
      <c r="E27" s="29" t="s">
        <v>33</v>
      </c>
      <c r="F27" s="30">
        <f t="shared" si="0"/>
        <v>2100</v>
      </c>
      <c r="G27" s="908">
        <v>1912</v>
      </c>
      <c r="H27" s="927"/>
      <c r="I27" s="1282">
        <v>188</v>
      </c>
      <c r="J27" s="924">
        <f t="shared" si="1"/>
        <v>188</v>
      </c>
      <c r="K27" s="915"/>
    </row>
    <row r="28" spans="1:11" ht="17.25">
      <c r="A28" s="529">
        <v>22</v>
      </c>
      <c r="B28" s="8"/>
      <c r="C28" s="28"/>
      <c r="D28" s="35" t="s">
        <v>46</v>
      </c>
      <c r="E28" s="29"/>
      <c r="F28" s="30">
        <f t="shared" si="0"/>
        <v>0</v>
      </c>
      <c r="G28" s="908"/>
      <c r="H28" s="927"/>
      <c r="I28" s="1282"/>
      <c r="J28" s="924">
        <f t="shared" si="1"/>
        <v>0</v>
      </c>
      <c r="K28" s="915"/>
    </row>
    <row r="29" spans="1:11" ht="17.25">
      <c r="A29" s="529">
        <v>23</v>
      </c>
      <c r="B29" s="8"/>
      <c r="C29" s="28">
        <v>21</v>
      </c>
      <c r="D29" s="36" t="s">
        <v>1157</v>
      </c>
      <c r="E29" s="29" t="s">
        <v>33</v>
      </c>
      <c r="F29" s="30">
        <f t="shared" si="0"/>
        <v>1800</v>
      </c>
      <c r="G29" s="908"/>
      <c r="H29" s="927">
        <v>1800</v>
      </c>
      <c r="I29" s="1282"/>
      <c r="J29" s="924">
        <f t="shared" si="1"/>
        <v>1800</v>
      </c>
      <c r="K29" s="915"/>
    </row>
    <row r="30" spans="1:11" ht="17.25">
      <c r="A30" s="529">
        <v>24</v>
      </c>
      <c r="B30" s="8"/>
      <c r="C30" s="28"/>
      <c r="D30" s="35" t="s">
        <v>47</v>
      </c>
      <c r="E30" s="29"/>
      <c r="F30" s="30">
        <f t="shared" si="0"/>
        <v>0</v>
      </c>
      <c r="G30" s="908"/>
      <c r="H30" s="927"/>
      <c r="I30" s="1282"/>
      <c r="J30" s="924">
        <f t="shared" si="1"/>
        <v>0</v>
      </c>
      <c r="K30" s="915"/>
    </row>
    <row r="31" spans="1:11" ht="17.25">
      <c r="A31" s="529">
        <v>25</v>
      </c>
      <c r="B31" s="8"/>
      <c r="C31" s="28">
        <v>22</v>
      </c>
      <c r="D31" s="36" t="s">
        <v>1158</v>
      </c>
      <c r="E31" s="29" t="s">
        <v>33</v>
      </c>
      <c r="F31" s="30">
        <f t="shared" si="0"/>
        <v>3300</v>
      </c>
      <c r="G31" s="908"/>
      <c r="H31" s="927">
        <v>3300</v>
      </c>
      <c r="I31" s="1282"/>
      <c r="J31" s="924">
        <f t="shared" si="1"/>
        <v>3300</v>
      </c>
      <c r="K31" s="915"/>
    </row>
    <row r="32" spans="1:11" ht="17.25">
      <c r="A32" s="529">
        <v>26</v>
      </c>
      <c r="B32" s="8"/>
      <c r="C32" s="28"/>
      <c r="D32" s="35" t="s">
        <v>48</v>
      </c>
      <c r="E32" s="29"/>
      <c r="F32" s="30">
        <f t="shared" si="0"/>
        <v>0</v>
      </c>
      <c r="G32" s="908"/>
      <c r="H32" s="927"/>
      <c r="I32" s="1282"/>
      <c r="J32" s="924">
        <f t="shared" si="1"/>
        <v>0</v>
      </c>
      <c r="K32" s="915"/>
    </row>
    <row r="33" spans="1:11" ht="17.25">
      <c r="A33" s="529">
        <v>27</v>
      </c>
      <c r="B33" s="8"/>
      <c r="C33" s="28">
        <v>23</v>
      </c>
      <c r="D33" s="36" t="s">
        <v>1159</v>
      </c>
      <c r="E33" s="29" t="s">
        <v>33</v>
      </c>
      <c r="F33" s="30">
        <f t="shared" si="0"/>
        <v>3600</v>
      </c>
      <c r="G33" s="908"/>
      <c r="H33" s="927">
        <v>3600</v>
      </c>
      <c r="I33" s="1282"/>
      <c r="J33" s="924">
        <f t="shared" si="1"/>
        <v>3600</v>
      </c>
      <c r="K33" s="915"/>
    </row>
    <row r="34" spans="1:11" ht="17.25">
      <c r="A34" s="529">
        <v>28</v>
      </c>
      <c r="B34" s="8"/>
      <c r="C34" s="28"/>
      <c r="D34" s="35" t="s">
        <v>49</v>
      </c>
      <c r="E34" s="29"/>
      <c r="F34" s="30">
        <f t="shared" si="0"/>
        <v>0</v>
      </c>
      <c r="G34" s="908"/>
      <c r="H34" s="927"/>
      <c r="I34" s="1282"/>
      <c r="J34" s="924">
        <f t="shared" si="1"/>
        <v>0</v>
      </c>
      <c r="K34" s="915"/>
    </row>
    <row r="35" spans="1:11" ht="17.25">
      <c r="A35" s="529">
        <v>29</v>
      </c>
      <c r="B35" s="8"/>
      <c r="C35" s="28">
        <v>24</v>
      </c>
      <c r="D35" s="36" t="s">
        <v>1160</v>
      </c>
      <c r="E35" s="29" t="s">
        <v>33</v>
      </c>
      <c r="F35" s="30">
        <f t="shared" si="0"/>
        <v>2638</v>
      </c>
      <c r="G35" s="908"/>
      <c r="H35" s="927">
        <v>19500</v>
      </c>
      <c r="I35" s="1282">
        <f>2638-19500</f>
        <v>-16862</v>
      </c>
      <c r="J35" s="924">
        <f t="shared" si="1"/>
        <v>2638</v>
      </c>
      <c r="K35" s="915"/>
    </row>
    <row r="36" spans="1:11" ht="17.25">
      <c r="A36" s="529">
        <v>30</v>
      </c>
      <c r="B36" s="8"/>
      <c r="C36" s="28"/>
      <c r="D36" s="35" t="s">
        <v>51</v>
      </c>
      <c r="E36" s="29"/>
      <c r="F36" s="30">
        <f t="shared" si="0"/>
        <v>0</v>
      </c>
      <c r="G36" s="908"/>
      <c r="H36" s="927"/>
      <c r="I36" s="1282"/>
      <c r="J36" s="924">
        <f t="shared" si="1"/>
        <v>0</v>
      </c>
      <c r="K36" s="915"/>
    </row>
    <row r="37" spans="1:11" ht="17.25">
      <c r="A37" s="529">
        <v>31</v>
      </c>
      <c r="B37" s="8"/>
      <c r="C37" s="28">
        <v>25</v>
      </c>
      <c r="D37" s="36" t="s">
        <v>936</v>
      </c>
      <c r="E37" s="29" t="s">
        <v>33</v>
      </c>
      <c r="F37" s="30">
        <f t="shared" si="0"/>
        <v>0</v>
      </c>
      <c r="G37" s="908"/>
      <c r="H37" s="927">
        <v>3300</v>
      </c>
      <c r="I37" s="1282">
        <v>-3300</v>
      </c>
      <c r="J37" s="924">
        <f t="shared" si="1"/>
        <v>0</v>
      </c>
      <c r="K37" s="915"/>
    </row>
    <row r="38" spans="1:11" ht="17.25">
      <c r="A38" s="529">
        <v>32</v>
      </c>
      <c r="B38" s="8"/>
      <c r="C38" s="28">
        <v>26</v>
      </c>
      <c r="D38" s="36" t="s">
        <v>932</v>
      </c>
      <c r="E38" s="29" t="s">
        <v>33</v>
      </c>
      <c r="F38" s="30">
        <f t="shared" si="0"/>
        <v>1800</v>
      </c>
      <c r="G38" s="908"/>
      <c r="H38" s="927"/>
      <c r="I38" s="1282">
        <v>1800</v>
      </c>
      <c r="J38" s="924">
        <f t="shared" si="1"/>
        <v>1800</v>
      </c>
      <c r="K38" s="915"/>
    </row>
    <row r="39" spans="1:11" ht="17.25">
      <c r="A39" s="529">
        <v>33</v>
      </c>
      <c r="B39" s="8"/>
      <c r="C39" s="28">
        <v>27</v>
      </c>
      <c r="D39" s="36" t="s">
        <v>933</v>
      </c>
      <c r="E39" s="29" t="s">
        <v>33</v>
      </c>
      <c r="F39" s="30">
        <f t="shared" si="0"/>
        <v>1500</v>
      </c>
      <c r="G39" s="908"/>
      <c r="H39" s="927"/>
      <c r="I39" s="1282">
        <v>1500</v>
      </c>
      <c r="J39" s="924">
        <f t="shared" si="1"/>
        <v>1500</v>
      </c>
      <c r="K39" s="915"/>
    </row>
    <row r="40" spans="1:11" ht="17.25">
      <c r="A40" s="529">
        <v>34</v>
      </c>
      <c r="B40" s="8"/>
      <c r="C40" s="28"/>
      <c r="D40" s="35" t="s">
        <v>52</v>
      </c>
      <c r="E40" s="29"/>
      <c r="F40" s="30">
        <f t="shared" si="0"/>
        <v>0</v>
      </c>
      <c r="G40" s="908"/>
      <c r="H40" s="927"/>
      <c r="I40" s="1282"/>
      <c r="J40" s="924">
        <f t="shared" si="1"/>
        <v>0</v>
      </c>
      <c r="K40" s="915"/>
    </row>
    <row r="41" spans="1:11" ht="17.25">
      <c r="A41" s="529">
        <v>35</v>
      </c>
      <c r="B41" s="8"/>
      <c r="C41" s="28">
        <v>28</v>
      </c>
      <c r="D41" s="36" t="s">
        <v>1155</v>
      </c>
      <c r="E41" s="29" t="s">
        <v>33</v>
      </c>
      <c r="F41" s="30">
        <f t="shared" si="0"/>
        <v>5000</v>
      </c>
      <c r="G41" s="908"/>
      <c r="H41" s="927">
        <v>5000</v>
      </c>
      <c r="I41" s="1282"/>
      <c r="J41" s="924">
        <f t="shared" si="1"/>
        <v>5000</v>
      </c>
      <c r="K41" s="915"/>
    </row>
    <row r="42" spans="1:11" ht="17.25">
      <c r="A42" s="529">
        <v>36</v>
      </c>
      <c r="B42" s="8"/>
      <c r="C42" s="28"/>
      <c r="D42" s="35" t="s">
        <v>53</v>
      </c>
      <c r="E42" s="29"/>
      <c r="F42" s="30">
        <f t="shared" si="0"/>
        <v>0</v>
      </c>
      <c r="G42" s="908"/>
      <c r="H42" s="927"/>
      <c r="I42" s="1282"/>
      <c r="J42" s="924">
        <f t="shared" si="1"/>
        <v>0</v>
      </c>
      <c r="K42" s="915"/>
    </row>
    <row r="43" spans="1:11" ht="17.25">
      <c r="A43" s="529">
        <v>37</v>
      </c>
      <c r="B43" s="8"/>
      <c r="C43" s="28">
        <v>29</v>
      </c>
      <c r="D43" s="36" t="s">
        <v>1156</v>
      </c>
      <c r="E43" s="29" t="s">
        <v>33</v>
      </c>
      <c r="F43" s="30">
        <f t="shared" si="0"/>
        <v>0</v>
      </c>
      <c r="G43" s="908"/>
      <c r="H43" s="927">
        <v>2350</v>
      </c>
      <c r="I43" s="1282">
        <v>-2350</v>
      </c>
      <c r="J43" s="924">
        <f t="shared" si="1"/>
        <v>0</v>
      </c>
      <c r="K43" s="915"/>
    </row>
    <row r="44" spans="1:11" ht="17.25">
      <c r="A44" s="529">
        <v>38</v>
      </c>
      <c r="B44" s="8"/>
      <c r="C44" s="28"/>
      <c r="D44" s="35" t="s">
        <v>54</v>
      </c>
      <c r="E44" s="29"/>
      <c r="F44" s="30">
        <f t="shared" si="0"/>
        <v>0</v>
      </c>
      <c r="G44" s="908"/>
      <c r="H44" s="927"/>
      <c r="I44" s="1282"/>
      <c r="J44" s="924">
        <f t="shared" si="1"/>
        <v>0</v>
      </c>
      <c r="K44" s="915"/>
    </row>
    <row r="45" spans="1:11" ht="17.25">
      <c r="A45" s="529">
        <v>39</v>
      </c>
      <c r="B45" s="8"/>
      <c r="C45" s="28">
        <v>30</v>
      </c>
      <c r="D45" s="36" t="s">
        <v>199</v>
      </c>
      <c r="E45" s="29" t="s">
        <v>33</v>
      </c>
      <c r="F45" s="30">
        <f t="shared" si="0"/>
        <v>1500</v>
      </c>
      <c r="G45" s="908"/>
      <c r="H45" s="927">
        <v>1500</v>
      </c>
      <c r="I45" s="1282"/>
      <c r="J45" s="924">
        <f t="shared" si="1"/>
        <v>1500</v>
      </c>
      <c r="K45" s="915"/>
    </row>
    <row r="46" spans="1:11" ht="17.25">
      <c r="A46" s="529">
        <v>40</v>
      </c>
      <c r="B46" s="8"/>
      <c r="C46" s="28">
        <v>31</v>
      </c>
      <c r="D46" s="36" t="s">
        <v>200</v>
      </c>
      <c r="E46" s="29" t="s">
        <v>33</v>
      </c>
      <c r="F46" s="30">
        <f t="shared" si="0"/>
        <v>7200</v>
      </c>
      <c r="G46" s="908"/>
      <c r="H46" s="927">
        <v>7200</v>
      </c>
      <c r="I46" s="1282"/>
      <c r="J46" s="924">
        <f t="shared" si="1"/>
        <v>7200</v>
      </c>
      <c r="K46" s="915"/>
    </row>
    <row r="47" spans="1:11" ht="17.25">
      <c r="A47" s="529">
        <v>41</v>
      </c>
      <c r="B47" s="8"/>
      <c r="C47" s="28">
        <v>32</v>
      </c>
      <c r="D47" s="36" t="s">
        <v>924</v>
      </c>
      <c r="E47" s="29" t="s">
        <v>33</v>
      </c>
      <c r="F47" s="30">
        <f t="shared" si="0"/>
        <v>4347</v>
      </c>
      <c r="G47" s="908">
        <v>4100</v>
      </c>
      <c r="H47" s="927"/>
      <c r="I47" s="1282">
        <v>247</v>
      </c>
      <c r="J47" s="924">
        <f t="shared" si="1"/>
        <v>247</v>
      </c>
      <c r="K47" s="915"/>
    </row>
    <row r="48" spans="1:11" ht="17.25">
      <c r="A48" s="529">
        <v>42</v>
      </c>
      <c r="B48" s="8"/>
      <c r="C48" s="28"/>
      <c r="D48" s="35" t="s">
        <v>55</v>
      </c>
      <c r="E48" s="29"/>
      <c r="F48" s="30">
        <f t="shared" si="0"/>
        <v>0</v>
      </c>
      <c r="G48" s="908"/>
      <c r="H48" s="927"/>
      <c r="I48" s="1282"/>
      <c r="J48" s="924">
        <f t="shared" si="1"/>
        <v>0</v>
      </c>
      <c r="K48" s="915"/>
    </row>
    <row r="49" spans="1:11" ht="17.25">
      <c r="A49" s="529">
        <v>43</v>
      </c>
      <c r="B49" s="8"/>
      <c r="C49" s="28">
        <v>33</v>
      </c>
      <c r="D49" s="36" t="s">
        <v>56</v>
      </c>
      <c r="E49" s="29" t="s">
        <v>33</v>
      </c>
      <c r="F49" s="30">
        <f t="shared" si="0"/>
        <v>3500</v>
      </c>
      <c r="G49" s="908"/>
      <c r="H49" s="927">
        <v>3500</v>
      </c>
      <c r="I49" s="1282"/>
      <c r="J49" s="924">
        <f t="shared" si="1"/>
        <v>3500</v>
      </c>
      <c r="K49" s="915"/>
    </row>
    <row r="50" spans="1:11" ht="17.25">
      <c r="A50" s="529">
        <v>44</v>
      </c>
      <c r="B50" s="8"/>
      <c r="C50" s="28"/>
      <c r="D50" s="35" t="s">
        <v>57</v>
      </c>
      <c r="E50" s="29"/>
      <c r="F50" s="30">
        <f t="shared" si="0"/>
        <v>0</v>
      </c>
      <c r="G50" s="908"/>
      <c r="H50" s="927"/>
      <c r="I50" s="1282"/>
      <c r="J50" s="924">
        <f t="shared" si="1"/>
        <v>0</v>
      </c>
      <c r="K50" s="915"/>
    </row>
    <row r="51" spans="1:11" ht="17.25">
      <c r="A51" s="529">
        <v>45</v>
      </c>
      <c r="B51" s="8"/>
      <c r="C51" s="28">
        <v>34</v>
      </c>
      <c r="D51" s="37" t="s">
        <v>56</v>
      </c>
      <c r="E51" s="29" t="s">
        <v>33</v>
      </c>
      <c r="F51" s="30">
        <f t="shared" si="0"/>
        <v>0</v>
      </c>
      <c r="G51" s="908"/>
      <c r="H51" s="927">
        <v>3500</v>
      </c>
      <c r="I51" s="1282">
        <v>-3500</v>
      </c>
      <c r="J51" s="924">
        <f t="shared" si="1"/>
        <v>0</v>
      </c>
      <c r="K51" s="915"/>
    </row>
    <row r="52" spans="1:11" ht="17.25">
      <c r="A52" s="529">
        <v>46</v>
      </c>
      <c r="B52" s="8"/>
      <c r="C52" s="28">
        <v>35</v>
      </c>
      <c r="D52" s="37" t="s">
        <v>931</v>
      </c>
      <c r="E52" s="29" t="s">
        <v>33</v>
      </c>
      <c r="F52" s="30">
        <f t="shared" si="0"/>
        <v>3500</v>
      </c>
      <c r="G52" s="908"/>
      <c r="H52" s="927"/>
      <c r="I52" s="1282">
        <v>3500</v>
      </c>
      <c r="J52" s="924">
        <f t="shared" si="1"/>
        <v>3500</v>
      </c>
      <c r="K52" s="915"/>
    </row>
    <row r="53" spans="1:11" ht="17.25">
      <c r="A53" s="529">
        <v>47</v>
      </c>
      <c r="B53" s="8"/>
      <c r="C53" s="28"/>
      <c r="D53" s="35" t="s">
        <v>58</v>
      </c>
      <c r="E53" s="29"/>
      <c r="F53" s="30">
        <f t="shared" si="0"/>
        <v>0</v>
      </c>
      <c r="G53" s="908"/>
      <c r="H53" s="927"/>
      <c r="I53" s="1282"/>
      <c r="J53" s="924">
        <f t="shared" si="1"/>
        <v>0</v>
      </c>
      <c r="K53" s="915"/>
    </row>
    <row r="54" spans="1:11" ht="17.25">
      <c r="A54" s="529">
        <v>48</v>
      </c>
      <c r="B54" s="8"/>
      <c r="C54" s="28">
        <v>36</v>
      </c>
      <c r="D54" s="37" t="s">
        <v>59</v>
      </c>
      <c r="E54" s="29" t="s">
        <v>33</v>
      </c>
      <c r="F54" s="30">
        <f t="shared" si="0"/>
        <v>4750</v>
      </c>
      <c r="G54" s="908"/>
      <c r="H54" s="927">
        <v>4750</v>
      </c>
      <c r="I54" s="1282"/>
      <c r="J54" s="924">
        <f t="shared" si="1"/>
        <v>4750</v>
      </c>
      <c r="K54" s="915"/>
    </row>
    <row r="55" spans="1:11" ht="33.75">
      <c r="A55" s="529">
        <v>49</v>
      </c>
      <c r="B55" s="8"/>
      <c r="C55" s="28">
        <v>37</v>
      </c>
      <c r="D55" s="37" t="s">
        <v>60</v>
      </c>
      <c r="E55" s="29" t="s">
        <v>33</v>
      </c>
      <c r="F55" s="30">
        <f t="shared" si="0"/>
        <v>0</v>
      </c>
      <c r="G55" s="908"/>
      <c r="H55" s="927">
        <v>8500</v>
      </c>
      <c r="I55" s="1282">
        <v>-8500</v>
      </c>
      <c r="J55" s="924">
        <f t="shared" si="1"/>
        <v>0</v>
      </c>
      <c r="K55" s="915"/>
    </row>
    <row r="56" spans="1:11" ht="17.25">
      <c r="A56" s="529">
        <v>50</v>
      </c>
      <c r="B56" s="8"/>
      <c r="C56" s="28"/>
      <c r="D56" s="35" t="s">
        <v>61</v>
      </c>
      <c r="E56" s="29"/>
      <c r="F56" s="30"/>
      <c r="G56" s="908"/>
      <c r="H56" s="927"/>
      <c r="I56" s="1282"/>
      <c r="J56" s="924">
        <f t="shared" si="1"/>
        <v>0</v>
      </c>
      <c r="K56" s="915"/>
    </row>
    <row r="57" spans="1:11" ht="17.25">
      <c r="A57" s="529">
        <v>51</v>
      </c>
      <c r="B57" s="8"/>
      <c r="C57" s="28">
        <v>38</v>
      </c>
      <c r="D57" s="37" t="s">
        <v>62</v>
      </c>
      <c r="E57" s="29" t="s">
        <v>33</v>
      </c>
      <c r="F57" s="30">
        <f t="shared" si="0"/>
        <v>3000</v>
      </c>
      <c r="G57" s="908"/>
      <c r="H57" s="927">
        <v>3000</v>
      </c>
      <c r="I57" s="1282"/>
      <c r="J57" s="924">
        <f t="shared" si="1"/>
        <v>3000</v>
      </c>
      <c r="K57" s="915"/>
    </row>
    <row r="58" spans="1:11" ht="17.25">
      <c r="A58" s="529">
        <v>52</v>
      </c>
      <c r="B58" s="8"/>
      <c r="C58" s="28"/>
      <c r="D58" s="35" t="s">
        <v>180</v>
      </c>
      <c r="E58" s="29" t="s">
        <v>33</v>
      </c>
      <c r="F58" s="30"/>
      <c r="G58" s="908"/>
      <c r="H58" s="927"/>
      <c r="I58" s="1282"/>
      <c r="J58" s="924"/>
      <c r="K58" s="915"/>
    </row>
    <row r="59" spans="1:11" ht="17.25">
      <c r="A59" s="529">
        <v>53</v>
      </c>
      <c r="B59" s="8"/>
      <c r="C59" s="28">
        <v>39</v>
      </c>
      <c r="D59" s="37" t="s">
        <v>1161</v>
      </c>
      <c r="E59" s="29"/>
      <c r="F59" s="30">
        <f t="shared" si="0"/>
        <v>9144</v>
      </c>
      <c r="G59" s="908"/>
      <c r="H59" s="927"/>
      <c r="I59" s="1282">
        <v>9144</v>
      </c>
      <c r="J59" s="924">
        <f t="shared" si="1"/>
        <v>9144</v>
      </c>
      <c r="K59" s="915"/>
    </row>
    <row r="60" spans="1:11" ht="17.25">
      <c r="A60" s="529">
        <v>54</v>
      </c>
      <c r="B60" s="8"/>
      <c r="C60" s="28"/>
      <c r="D60" s="35" t="s">
        <v>63</v>
      </c>
      <c r="E60" s="29"/>
      <c r="F60" s="30"/>
      <c r="G60" s="908"/>
      <c r="H60" s="927"/>
      <c r="I60" s="1282"/>
      <c r="J60" s="924"/>
      <c r="K60" s="915"/>
    </row>
    <row r="61" spans="1:11" ht="17.25">
      <c r="A61" s="529">
        <v>55</v>
      </c>
      <c r="B61" s="8"/>
      <c r="C61" s="28">
        <v>40</v>
      </c>
      <c r="D61" s="37" t="s">
        <v>64</v>
      </c>
      <c r="E61" s="29" t="s">
        <v>33</v>
      </c>
      <c r="F61" s="30">
        <f t="shared" si="0"/>
        <v>3500</v>
      </c>
      <c r="G61" s="908"/>
      <c r="H61" s="927">
        <v>3500</v>
      </c>
      <c r="I61" s="1282"/>
      <c r="J61" s="924">
        <f t="shared" si="1"/>
        <v>3500</v>
      </c>
      <c r="K61" s="915"/>
    </row>
    <row r="62" spans="1:11" ht="17.25">
      <c r="A62" s="529">
        <v>56</v>
      </c>
      <c r="B62" s="8"/>
      <c r="C62" s="28">
        <v>41</v>
      </c>
      <c r="D62" s="37" t="s">
        <v>65</v>
      </c>
      <c r="E62" s="29" t="s">
        <v>33</v>
      </c>
      <c r="F62" s="30">
        <f t="shared" si="0"/>
        <v>3300</v>
      </c>
      <c r="G62" s="908"/>
      <c r="H62" s="927">
        <v>3300</v>
      </c>
      <c r="I62" s="1282"/>
      <c r="J62" s="924">
        <f t="shared" si="1"/>
        <v>3300</v>
      </c>
      <c r="K62" s="915"/>
    </row>
    <row r="63" spans="1:11" ht="17.25">
      <c r="A63" s="529">
        <v>57</v>
      </c>
      <c r="B63" s="8"/>
      <c r="C63" s="28"/>
      <c r="D63" s="35" t="s">
        <v>66</v>
      </c>
      <c r="E63" s="29"/>
      <c r="F63" s="30"/>
      <c r="G63" s="908"/>
      <c r="H63" s="927"/>
      <c r="I63" s="1282"/>
      <c r="J63" s="924">
        <f t="shared" si="1"/>
        <v>0</v>
      </c>
      <c r="K63" s="915"/>
    </row>
    <row r="64" spans="1:11" ht="17.25">
      <c r="A64" s="529">
        <v>58</v>
      </c>
      <c r="B64" s="8"/>
      <c r="C64" s="28">
        <v>42</v>
      </c>
      <c r="D64" s="37" t="s">
        <v>927</v>
      </c>
      <c r="E64" s="29" t="s">
        <v>33</v>
      </c>
      <c r="F64" s="30">
        <f t="shared" si="0"/>
        <v>4900</v>
      </c>
      <c r="G64" s="908">
        <v>3400</v>
      </c>
      <c r="H64" s="927"/>
      <c r="I64" s="1282">
        <v>1500</v>
      </c>
      <c r="J64" s="924">
        <f t="shared" si="1"/>
        <v>1500</v>
      </c>
      <c r="K64" s="915"/>
    </row>
    <row r="65" spans="1:11" ht="17.25">
      <c r="A65" s="529">
        <v>59</v>
      </c>
      <c r="B65" s="8"/>
      <c r="C65" s="28">
        <v>43</v>
      </c>
      <c r="D65" s="37" t="s">
        <v>67</v>
      </c>
      <c r="E65" s="29" t="s">
        <v>33</v>
      </c>
      <c r="F65" s="30">
        <f t="shared" si="0"/>
        <v>7000</v>
      </c>
      <c r="G65" s="908"/>
      <c r="H65" s="927">
        <v>7000</v>
      </c>
      <c r="I65" s="1282"/>
      <c r="J65" s="924">
        <f t="shared" si="1"/>
        <v>7000</v>
      </c>
      <c r="K65" s="915"/>
    </row>
    <row r="66" spans="1:11" ht="17.25">
      <c r="A66" s="529">
        <v>60</v>
      </c>
      <c r="B66" s="8"/>
      <c r="C66" s="28"/>
      <c r="D66" s="35" t="s">
        <v>68</v>
      </c>
      <c r="E66" s="29"/>
      <c r="F66" s="30"/>
      <c r="G66" s="908"/>
      <c r="H66" s="927"/>
      <c r="I66" s="1282"/>
      <c r="J66" s="924">
        <f t="shared" si="1"/>
        <v>0</v>
      </c>
      <c r="K66" s="915"/>
    </row>
    <row r="67" spans="1:11" ht="17.25">
      <c r="A67" s="529">
        <v>61</v>
      </c>
      <c r="B67" s="8"/>
      <c r="C67" s="28">
        <v>44</v>
      </c>
      <c r="D67" s="37" t="s">
        <v>69</v>
      </c>
      <c r="E67" s="29" t="s">
        <v>33</v>
      </c>
      <c r="F67" s="30">
        <f t="shared" si="0"/>
        <v>4940</v>
      </c>
      <c r="G67" s="908"/>
      <c r="H67" s="927">
        <v>8600</v>
      </c>
      <c r="I67" s="1282">
        <f>813-4473</f>
        <v>-3660</v>
      </c>
      <c r="J67" s="924">
        <f t="shared" si="1"/>
        <v>4940</v>
      </c>
      <c r="K67" s="916"/>
    </row>
    <row r="68" spans="1:11" ht="17.25">
      <c r="A68" s="529">
        <v>62</v>
      </c>
      <c r="B68" s="8"/>
      <c r="C68" s="28"/>
      <c r="D68" s="35" t="s">
        <v>70</v>
      </c>
      <c r="E68" s="29"/>
      <c r="F68" s="30"/>
      <c r="G68" s="908"/>
      <c r="H68" s="927"/>
      <c r="I68" s="1282"/>
      <c r="J68" s="924">
        <f t="shared" si="1"/>
        <v>0</v>
      </c>
      <c r="K68" s="915"/>
    </row>
    <row r="69" spans="1:11" ht="33.75">
      <c r="A69" s="529">
        <v>63</v>
      </c>
      <c r="B69" s="8"/>
      <c r="C69" s="28">
        <v>45</v>
      </c>
      <c r="D69" s="37" t="s">
        <v>71</v>
      </c>
      <c r="E69" s="29" t="s">
        <v>33</v>
      </c>
      <c r="F69" s="30">
        <f t="shared" si="0"/>
        <v>8800</v>
      </c>
      <c r="G69" s="908"/>
      <c r="H69" s="927">
        <v>8800</v>
      </c>
      <c r="I69" s="1282"/>
      <c r="J69" s="924">
        <f t="shared" si="1"/>
        <v>8800</v>
      </c>
      <c r="K69" s="915"/>
    </row>
    <row r="70" spans="1:11" ht="17.25">
      <c r="A70" s="529">
        <v>64</v>
      </c>
      <c r="B70" s="8"/>
      <c r="C70" s="28">
        <v>46</v>
      </c>
      <c r="D70" s="37" t="s">
        <v>72</v>
      </c>
      <c r="E70" s="29" t="s">
        <v>33</v>
      </c>
      <c r="F70" s="30">
        <f aca="true" t="shared" si="2" ref="F70:F129">SUM(G70,J70,K70)</f>
        <v>2000</v>
      </c>
      <c r="G70" s="908"/>
      <c r="H70" s="927">
        <v>2000</v>
      </c>
      <c r="I70" s="1282"/>
      <c r="J70" s="924">
        <f t="shared" si="1"/>
        <v>2000</v>
      </c>
      <c r="K70" s="915"/>
    </row>
    <row r="71" spans="1:11" s="4" customFormat="1" ht="17.25">
      <c r="A71" s="529">
        <v>65</v>
      </c>
      <c r="B71" s="8"/>
      <c r="C71" s="28"/>
      <c r="D71" s="35" t="s">
        <v>73</v>
      </c>
      <c r="E71" s="31"/>
      <c r="F71" s="30"/>
      <c r="G71" s="905"/>
      <c r="H71" s="923"/>
      <c r="I71" s="1334"/>
      <c r="J71" s="924">
        <f t="shared" si="1"/>
        <v>0</v>
      </c>
      <c r="K71" s="913"/>
    </row>
    <row r="72" spans="1:11" s="4" customFormat="1" ht="17.25">
      <c r="A72" s="529">
        <v>66</v>
      </c>
      <c r="B72" s="8"/>
      <c r="C72" s="28">
        <v>47</v>
      </c>
      <c r="D72" s="37" t="s">
        <v>926</v>
      </c>
      <c r="E72" s="31" t="s">
        <v>33</v>
      </c>
      <c r="F72" s="30">
        <f t="shared" si="2"/>
        <v>2000</v>
      </c>
      <c r="G72" s="905">
        <v>1920</v>
      </c>
      <c r="H72" s="923"/>
      <c r="I72" s="1334">
        <v>80</v>
      </c>
      <c r="J72" s="924">
        <f t="shared" si="1"/>
        <v>80</v>
      </c>
      <c r="K72" s="913"/>
    </row>
    <row r="73" spans="1:11" ht="17.25">
      <c r="A73" s="529">
        <v>67</v>
      </c>
      <c r="B73" s="8"/>
      <c r="C73" s="28">
        <v>48</v>
      </c>
      <c r="D73" s="37" t="s">
        <v>74</v>
      </c>
      <c r="E73" s="31" t="s">
        <v>33</v>
      </c>
      <c r="F73" s="30">
        <f t="shared" si="2"/>
        <v>3800</v>
      </c>
      <c r="G73" s="908"/>
      <c r="H73" s="927">
        <v>3800</v>
      </c>
      <c r="I73" s="1282"/>
      <c r="J73" s="924">
        <f t="shared" si="1"/>
        <v>3800</v>
      </c>
      <c r="K73" s="913"/>
    </row>
    <row r="74" spans="1:11" s="4" customFormat="1" ht="15.75" customHeight="1">
      <c r="A74" s="529">
        <v>68</v>
      </c>
      <c r="B74" s="8"/>
      <c r="C74" s="28">
        <v>49</v>
      </c>
      <c r="D74" s="37" t="s">
        <v>75</v>
      </c>
      <c r="E74" s="29" t="s">
        <v>33</v>
      </c>
      <c r="F74" s="30">
        <f t="shared" si="2"/>
        <v>2600</v>
      </c>
      <c r="G74" s="908"/>
      <c r="H74" s="927">
        <v>2600</v>
      </c>
      <c r="I74" s="1282"/>
      <c r="J74" s="924">
        <f t="shared" si="1"/>
        <v>2600</v>
      </c>
      <c r="K74" s="913"/>
    </row>
    <row r="75" spans="1:11" s="4" customFormat="1" ht="17.25">
      <c r="A75" s="529">
        <v>69</v>
      </c>
      <c r="B75" s="8"/>
      <c r="C75" s="28">
        <v>50</v>
      </c>
      <c r="D75" s="37" t="s">
        <v>76</v>
      </c>
      <c r="E75" s="29" t="s">
        <v>33</v>
      </c>
      <c r="F75" s="30">
        <f t="shared" si="2"/>
        <v>3500</v>
      </c>
      <c r="G75" s="908"/>
      <c r="H75" s="927">
        <v>3500</v>
      </c>
      <c r="I75" s="1282"/>
      <c r="J75" s="924">
        <f t="shared" si="1"/>
        <v>3500</v>
      </c>
      <c r="K75" s="913"/>
    </row>
    <row r="76" spans="1:11" ht="17.25">
      <c r="A76" s="529">
        <v>70</v>
      </c>
      <c r="B76" s="8"/>
      <c r="C76" s="28"/>
      <c r="D76" s="35" t="s">
        <v>77</v>
      </c>
      <c r="E76" s="31"/>
      <c r="F76" s="30">
        <f t="shared" si="2"/>
        <v>0</v>
      </c>
      <c r="G76" s="1327"/>
      <c r="H76" s="1328"/>
      <c r="I76" s="1337"/>
      <c r="J76" s="924">
        <f t="shared" si="1"/>
        <v>0</v>
      </c>
      <c r="K76" s="914"/>
    </row>
    <row r="77" spans="1:11" s="4" customFormat="1" ht="33.75">
      <c r="A77" s="529">
        <v>71</v>
      </c>
      <c r="B77" s="8"/>
      <c r="C77" s="28">
        <v>51</v>
      </c>
      <c r="D77" s="37" t="s">
        <v>567</v>
      </c>
      <c r="E77" s="29" t="s">
        <v>33</v>
      </c>
      <c r="F77" s="30">
        <f t="shared" si="2"/>
        <v>18000</v>
      </c>
      <c r="G77" s="908"/>
      <c r="H77" s="927">
        <v>18000</v>
      </c>
      <c r="I77" s="1282"/>
      <c r="J77" s="924">
        <f t="shared" si="1"/>
        <v>18000</v>
      </c>
      <c r="K77" s="913"/>
    </row>
    <row r="78" spans="1:11" ht="17.25">
      <c r="A78" s="529">
        <v>72</v>
      </c>
      <c r="B78" s="8"/>
      <c r="C78" s="28">
        <v>52</v>
      </c>
      <c r="D78" s="37" t="s">
        <v>78</v>
      </c>
      <c r="E78" s="29" t="s">
        <v>33</v>
      </c>
      <c r="F78" s="30">
        <f t="shared" si="2"/>
        <v>8700</v>
      </c>
      <c r="G78" s="908"/>
      <c r="H78" s="927">
        <v>8700</v>
      </c>
      <c r="I78" s="1282"/>
      <c r="J78" s="924">
        <f t="shared" si="1"/>
        <v>8700</v>
      </c>
      <c r="K78" s="914"/>
    </row>
    <row r="79" spans="1:11" s="4" customFormat="1" ht="17.25">
      <c r="A79" s="529">
        <v>73</v>
      </c>
      <c r="B79" s="8"/>
      <c r="C79" s="28"/>
      <c r="D79" s="35" t="s">
        <v>79</v>
      </c>
      <c r="E79" s="31"/>
      <c r="F79" s="30">
        <f t="shared" si="2"/>
        <v>0</v>
      </c>
      <c r="G79" s="905"/>
      <c r="H79" s="923"/>
      <c r="I79" s="1334"/>
      <c r="J79" s="924">
        <f t="shared" si="1"/>
        <v>0</v>
      </c>
      <c r="K79" s="913"/>
    </row>
    <row r="80" spans="1:11" ht="33" customHeight="1">
      <c r="A80" s="529">
        <v>74</v>
      </c>
      <c r="B80" s="8"/>
      <c r="C80" s="28">
        <v>53</v>
      </c>
      <c r="D80" s="37" t="s">
        <v>80</v>
      </c>
      <c r="E80" s="31" t="s">
        <v>33</v>
      </c>
      <c r="F80" s="30">
        <f t="shared" si="2"/>
        <v>16000</v>
      </c>
      <c r="G80" s="908"/>
      <c r="H80" s="927">
        <v>16000</v>
      </c>
      <c r="I80" s="1282"/>
      <c r="J80" s="924">
        <f t="shared" si="1"/>
        <v>16000</v>
      </c>
      <c r="K80" s="914"/>
    </row>
    <row r="81" spans="1:11" s="7" customFormat="1" ht="19.5" customHeight="1">
      <c r="A81" s="529">
        <v>75</v>
      </c>
      <c r="B81" s="8"/>
      <c r="C81" s="28"/>
      <c r="D81" s="35" t="s">
        <v>81</v>
      </c>
      <c r="E81" s="31"/>
      <c r="F81" s="30">
        <f t="shared" si="2"/>
        <v>0</v>
      </c>
      <c r="G81" s="905"/>
      <c r="H81" s="923"/>
      <c r="I81" s="1334"/>
      <c r="J81" s="924">
        <f t="shared" si="1"/>
        <v>0</v>
      </c>
      <c r="K81" s="913"/>
    </row>
    <row r="82" spans="1:11" s="7" customFormat="1" ht="17.25">
      <c r="A82" s="529">
        <v>76</v>
      </c>
      <c r="B82" s="536"/>
      <c r="C82" s="28">
        <v>54</v>
      </c>
      <c r="D82" s="37" t="s">
        <v>82</v>
      </c>
      <c r="E82" s="29" t="s">
        <v>33</v>
      </c>
      <c r="F82" s="30">
        <f t="shared" si="2"/>
        <v>2500</v>
      </c>
      <c r="G82" s="908"/>
      <c r="H82" s="927">
        <v>2500</v>
      </c>
      <c r="I82" s="1282"/>
      <c r="J82" s="924">
        <f t="shared" si="1"/>
        <v>2500</v>
      </c>
      <c r="K82" s="1329"/>
    </row>
    <row r="83" spans="1:11" s="4" customFormat="1" ht="17.25">
      <c r="A83" s="529">
        <v>77</v>
      </c>
      <c r="B83" s="8"/>
      <c r="C83" s="28">
        <v>55</v>
      </c>
      <c r="D83" s="37" t="s">
        <v>83</v>
      </c>
      <c r="E83" s="29" t="s">
        <v>33</v>
      </c>
      <c r="F83" s="30">
        <f t="shared" si="2"/>
        <v>9500</v>
      </c>
      <c r="G83" s="908"/>
      <c r="H83" s="927">
        <v>9500</v>
      </c>
      <c r="I83" s="1282"/>
      <c r="J83" s="924">
        <f t="shared" si="1"/>
        <v>9500</v>
      </c>
      <c r="K83" s="913"/>
    </row>
    <row r="84" spans="1:11" s="7" customFormat="1" ht="19.5" customHeight="1">
      <c r="A84" s="529">
        <v>78</v>
      </c>
      <c r="B84" s="8"/>
      <c r="C84" s="28"/>
      <c r="D84" s="35" t="s">
        <v>84</v>
      </c>
      <c r="E84" s="31"/>
      <c r="F84" s="30">
        <f t="shared" si="2"/>
        <v>0</v>
      </c>
      <c r="G84" s="905"/>
      <c r="H84" s="923"/>
      <c r="I84" s="1334"/>
      <c r="J84" s="924">
        <f t="shared" si="1"/>
        <v>0</v>
      </c>
      <c r="K84" s="913"/>
    </row>
    <row r="85" spans="1:11" ht="33.75">
      <c r="A85" s="529">
        <v>79</v>
      </c>
      <c r="B85" s="8"/>
      <c r="C85" s="28">
        <v>56</v>
      </c>
      <c r="D85" s="37" t="s">
        <v>85</v>
      </c>
      <c r="E85" s="29" t="s">
        <v>33</v>
      </c>
      <c r="F85" s="30">
        <f t="shared" si="2"/>
        <v>15000</v>
      </c>
      <c r="G85" s="908"/>
      <c r="H85" s="927">
        <v>15000</v>
      </c>
      <c r="I85" s="1282"/>
      <c r="J85" s="924">
        <f aca="true" t="shared" si="3" ref="J85:J129">SUM(H85:I85)</f>
        <v>15000</v>
      </c>
      <c r="K85" s="914"/>
    </row>
    <row r="86" spans="1:11" ht="17.25">
      <c r="A86" s="529">
        <v>80</v>
      </c>
      <c r="B86" s="8"/>
      <c r="C86" s="28"/>
      <c r="D86" s="35" t="s">
        <v>86</v>
      </c>
      <c r="E86" s="29"/>
      <c r="F86" s="30">
        <f t="shared" si="2"/>
        <v>0</v>
      </c>
      <c r="G86" s="908"/>
      <c r="H86" s="927"/>
      <c r="I86" s="1282"/>
      <c r="J86" s="924">
        <f t="shared" si="3"/>
        <v>0</v>
      </c>
      <c r="K86" s="914"/>
    </row>
    <row r="87" spans="1:11" ht="17.25">
      <c r="A87" s="529">
        <v>81</v>
      </c>
      <c r="B87" s="8"/>
      <c r="C87" s="28">
        <v>57</v>
      </c>
      <c r="D87" s="37" t="s">
        <v>87</v>
      </c>
      <c r="E87" s="29" t="s">
        <v>33</v>
      </c>
      <c r="F87" s="30">
        <f t="shared" si="2"/>
        <v>800</v>
      </c>
      <c r="G87" s="908"/>
      <c r="H87" s="927">
        <v>800</v>
      </c>
      <c r="I87" s="1282"/>
      <c r="J87" s="924">
        <f t="shared" si="3"/>
        <v>800</v>
      </c>
      <c r="K87" s="914"/>
    </row>
    <row r="88" spans="1:11" ht="17.25">
      <c r="A88" s="529">
        <v>82</v>
      </c>
      <c r="B88" s="8"/>
      <c r="C88" s="28">
        <v>58</v>
      </c>
      <c r="D88" s="37" t="s">
        <v>88</v>
      </c>
      <c r="E88" s="29" t="s">
        <v>33</v>
      </c>
      <c r="F88" s="30">
        <f t="shared" si="2"/>
        <v>1500</v>
      </c>
      <c r="G88" s="908"/>
      <c r="H88" s="927">
        <v>1500</v>
      </c>
      <c r="I88" s="1282"/>
      <c r="J88" s="924">
        <f t="shared" si="3"/>
        <v>1500</v>
      </c>
      <c r="K88" s="914"/>
    </row>
    <row r="89" spans="1:11" ht="17.25">
      <c r="A89" s="529">
        <v>83</v>
      </c>
      <c r="B89" s="8"/>
      <c r="C89" s="28"/>
      <c r="D89" s="35" t="s">
        <v>89</v>
      </c>
      <c r="E89" s="29"/>
      <c r="F89" s="30">
        <f t="shared" si="2"/>
        <v>0</v>
      </c>
      <c r="G89" s="908"/>
      <c r="H89" s="927"/>
      <c r="I89" s="1282"/>
      <c r="J89" s="924">
        <f t="shared" si="3"/>
        <v>0</v>
      </c>
      <c r="K89" s="914"/>
    </row>
    <row r="90" spans="1:11" ht="17.25">
      <c r="A90" s="529">
        <v>84</v>
      </c>
      <c r="B90" s="8"/>
      <c r="C90" s="28">
        <v>59</v>
      </c>
      <c r="D90" s="37" t="s">
        <v>90</v>
      </c>
      <c r="E90" s="29" t="s">
        <v>33</v>
      </c>
      <c r="F90" s="30">
        <f t="shared" si="2"/>
        <v>11777</v>
      </c>
      <c r="G90" s="908"/>
      <c r="H90" s="927">
        <v>11500</v>
      </c>
      <c r="I90" s="1282">
        <v>277</v>
      </c>
      <c r="J90" s="924">
        <f t="shared" si="3"/>
        <v>11777</v>
      </c>
      <c r="K90" s="914"/>
    </row>
    <row r="91" spans="1:11" ht="17.25">
      <c r="A91" s="529">
        <v>85</v>
      </c>
      <c r="B91" s="8"/>
      <c r="C91" s="28"/>
      <c r="D91" s="35" t="s">
        <v>929</v>
      </c>
      <c r="E91" s="29"/>
      <c r="F91" s="30">
        <f t="shared" si="2"/>
        <v>0</v>
      </c>
      <c r="G91" s="908"/>
      <c r="H91" s="927"/>
      <c r="I91" s="1282"/>
      <c r="J91" s="924"/>
      <c r="K91" s="914"/>
    </row>
    <row r="92" spans="1:11" ht="17.25">
      <c r="A92" s="529">
        <v>86</v>
      </c>
      <c r="B92" s="8"/>
      <c r="C92" s="28">
        <v>60</v>
      </c>
      <c r="D92" s="37" t="s">
        <v>930</v>
      </c>
      <c r="E92" s="29" t="s">
        <v>33</v>
      </c>
      <c r="F92" s="30">
        <f t="shared" si="2"/>
        <v>2500</v>
      </c>
      <c r="G92" s="908"/>
      <c r="H92" s="927"/>
      <c r="I92" s="1282">
        <v>2500</v>
      </c>
      <c r="J92" s="924">
        <f t="shared" si="3"/>
        <v>2500</v>
      </c>
      <c r="K92" s="914"/>
    </row>
    <row r="93" spans="1:11" ht="17.25">
      <c r="A93" s="529">
        <v>87</v>
      </c>
      <c r="B93" s="8"/>
      <c r="C93" s="28"/>
      <c r="D93" s="35" t="s">
        <v>91</v>
      </c>
      <c r="E93" s="29"/>
      <c r="F93" s="30">
        <f t="shared" si="2"/>
        <v>0</v>
      </c>
      <c r="G93" s="908"/>
      <c r="H93" s="927"/>
      <c r="I93" s="1282"/>
      <c r="J93" s="924">
        <f t="shared" si="3"/>
        <v>0</v>
      </c>
      <c r="K93" s="914"/>
    </row>
    <row r="94" spans="1:11" ht="17.25">
      <c r="A94" s="529">
        <v>88</v>
      </c>
      <c r="B94" s="8"/>
      <c r="C94" s="28">
        <v>61</v>
      </c>
      <c r="D94" s="37" t="s">
        <v>92</v>
      </c>
      <c r="E94" s="29" t="s">
        <v>33</v>
      </c>
      <c r="F94" s="30">
        <f t="shared" si="2"/>
        <v>6500</v>
      </c>
      <c r="G94" s="908"/>
      <c r="H94" s="927">
        <v>6500</v>
      </c>
      <c r="I94" s="1282"/>
      <c r="J94" s="924">
        <f t="shared" si="3"/>
        <v>6500</v>
      </c>
      <c r="K94" s="914"/>
    </row>
    <row r="95" spans="1:11" ht="17.25">
      <c r="A95" s="529">
        <v>89</v>
      </c>
      <c r="B95" s="8"/>
      <c r="C95" s="28"/>
      <c r="D95" s="35" t="s">
        <v>93</v>
      </c>
      <c r="E95" s="29"/>
      <c r="F95" s="30">
        <f t="shared" si="2"/>
        <v>0</v>
      </c>
      <c r="G95" s="908"/>
      <c r="H95" s="927"/>
      <c r="I95" s="1282"/>
      <c r="J95" s="924">
        <f t="shared" si="3"/>
        <v>0</v>
      </c>
      <c r="K95" s="914"/>
    </row>
    <row r="96" spans="1:11" ht="17.25">
      <c r="A96" s="529">
        <v>90</v>
      </c>
      <c r="B96" s="8"/>
      <c r="C96" s="28">
        <v>62</v>
      </c>
      <c r="D96" s="37" t="s">
        <v>591</v>
      </c>
      <c r="E96" s="29" t="s">
        <v>33</v>
      </c>
      <c r="F96" s="30">
        <f t="shared" si="2"/>
        <v>5500</v>
      </c>
      <c r="G96" s="908"/>
      <c r="H96" s="927">
        <v>5500</v>
      </c>
      <c r="I96" s="1282"/>
      <c r="J96" s="924">
        <f t="shared" si="3"/>
        <v>5500</v>
      </c>
      <c r="K96" s="914"/>
    </row>
    <row r="97" spans="1:11" ht="17.25">
      <c r="A97" s="529">
        <v>91</v>
      </c>
      <c r="B97" s="8"/>
      <c r="C97" s="28"/>
      <c r="D97" s="35" t="s">
        <v>94</v>
      </c>
      <c r="E97" s="29"/>
      <c r="F97" s="30">
        <f t="shared" si="2"/>
        <v>0</v>
      </c>
      <c r="G97" s="908"/>
      <c r="H97" s="927"/>
      <c r="I97" s="1282"/>
      <c r="J97" s="924">
        <f t="shared" si="3"/>
        <v>0</v>
      </c>
      <c r="K97" s="914"/>
    </row>
    <row r="98" spans="1:11" ht="17.25">
      <c r="A98" s="529">
        <v>92</v>
      </c>
      <c r="B98" s="8"/>
      <c r="C98" s="28"/>
      <c r="D98" s="38" t="s">
        <v>95</v>
      </c>
      <c r="E98" s="29"/>
      <c r="F98" s="30">
        <f t="shared" si="2"/>
        <v>0</v>
      </c>
      <c r="G98" s="908"/>
      <c r="H98" s="927"/>
      <c r="I98" s="1282"/>
      <c r="J98" s="924">
        <f t="shared" si="3"/>
        <v>0</v>
      </c>
      <c r="K98" s="914"/>
    </row>
    <row r="99" spans="1:11" ht="17.25">
      <c r="A99" s="529">
        <v>93</v>
      </c>
      <c r="B99" s="8"/>
      <c r="C99" s="28">
        <v>63</v>
      </c>
      <c r="D99" s="37" t="s">
        <v>590</v>
      </c>
      <c r="E99" s="29" t="s">
        <v>33</v>
      </c>
      <c r="F99" s="30">
        <f t="shared" si="2"/>
        <v>7500</v>
      </c>
      <c r="G99" s="908"/>
      <c r="H99" s="927">
        <v>7500</v>
      </c>
      <c r="I99" s="1282"/>
      <c r="J99" s="924">
        <f t="shared" si="3"/>
        <v>7500</v>
      </c>
      <c r="K99" s="914"/>
    </row>
    <row r="100" spans="1:11" ht="17.25">
      <c r="A100" s="529">
        <v>94</v>
      </c>
      <c r="B100" s="8"/>
      <c r="C100" s="28">
        <v>64</v>
      </c>
      <c r="D100" s="37" t="s">
        <v>557</v>
      </c>
      <c r="E100" s="29" t="s">
        <v>33</v>
      </c>
      <c r="F100" s="30">
        <f t="shared" si="2"/>
        <v>2500</v>
      </c>
      <c r="G100" s="908"/>
      <c r="H100" s="927">
        <v>2500</v>
      </c>
      <c r="I100" s="1282"/>
      <c r="J100" s="924">
        <f t="shared" si="3"/>
        <v>2500</v>
      </c>
      <c r="K100" s="914"/>
    </row>
    <row r="101" spans="1:11" ht="17.25">
      <c r="A101" s="529">
        <v>95</v>
      </c>
      <c r="B101" s="8"/>
      <c r="C101" s="28">
        <v>65</v>
      </c>
      <c r="D101" s="37" t="s">
        <v>558</v>
      </c>
      <c r="E101" s="29" t="s">
        <v>33</v>
      </c>
      <c r="F101" s="30">
        <f t="shared" si="2"/>
        <v>1500</v>
      </c>
      <c r="G101" s="908"/>
      <c r="H101" s="927">
        <v>1500</v>
      </c>
      <c r="I101" s="1282"/>
      <c r="J101" s="924">
        <f t="shared" si="3"/>
        <v>1500</v>
      </c>
      <c r="K101" s="914"/>
    </row>
    <row r="102" spans="1:11" ht="17.25">
      <c r="A102" s="529">
        <v>96</v>
      </c>
      <c r="B102" s="8"/>
      <c r="C102" s="28">
        <v>66</v>
      </c>
      <c r="D102" s="37" t="s">
        <v>96</v>
      </c>
      <c r="E102" s="29" t="s">
        <v>33</v>
      </c>
      <c r="F102" s="30">
        <f t="shared" si="2"/>
        <v>4500</v>
      </c>
      <c r="G102" s="908"/>
      <c r="H102" s="927">
        <v>4500</v>
      </c>
      <c r="I102" s="1282"/>
      <c r="J102" s="924">
        <f t="shared" si="3"/>
        <v>4500</v>
      </c>
      <c r="K102" s="914"/>
    </row>
    <row r="103" spans="1:11" ht="17.25">
      <c r="A103" s="529">
        <v>97</v>
      </c>
      <c r="B103" s="8"/>
      <c r="C103" s="28"/>
      <c r="D103" s="35" t="s">
        <v>97</v>
      </c>
      <c r="E103" s="29"/>
      <c r="F103" s="30">
        <f t="shared" si="2"/>
        <v>0</v>
      </c>
      <c r="G103" s="908"/>
      <c r="H103" s="927"/>
      <c r="I103" s="1282"/>
      <c r="J103" s="924">
        <f t="shared" si="3"/>
        <v>0</v>
      </c>
      <c r="K103" s="914"/>
    </row>
    <row r="104" spans="1:11" ht="33.75">
      <c r="A104" s="529">
        <v>98</v>
      </c>
      <c r="B104" s="8"/>
      <c r="C104" s="28">
        <v>67</v>
      </c>
      <c r="D104" s="37" t="s">
        <v>907</v>
      </c>
      <c r="E104" s="29" t="s">
        <v>33</v>
      </c>
      <c r="F104" s="30">
        <f t="shared" si="2"/>
        <v>52000</v>
      </c>
      <c r="G104" s="908">
        <v>51637</v>
      </c>
      <c r="H104" s="927"/>
      <c r="I104" s="1282">
        <v>363</v>
      </c>
      <c r="J104" s="924">
        <f t="shared" si="3"/>
        <v>363</v>
      </c>
      <c r="K104" s="914"/>
    </row>
    <row r="105" spans="1:11" ht="17.25">
      <c r="A105" s="529">
        <v>99</v>
      </c>
      <c r="B105" s="8"/>
      <c r="C105" s="28">
        <v>68</v>
      </c>
      <c r="D105" s="37" t="s">
        <v>925</v>
      </c>
      <c r="E105" s="29" t="s">
        <v>33</v>
      </c>
      <c r="F105" s="30">
        <f t="shared" si="2"/>
        <v>795</v>
      </c>
      <c r="G105" s="908"/>
      <c r="H105" s="927"/>
      <c r="I105" s="1282">
        <v>795</v>
      </c>
      <c r="J105" s="924">
        <f t="shared" si="3"/>
        <v>795</v>
      </c>
      <c r="K105" s="914"/>
    </row>
    <row r="106" spans="1:11" ht="17.25">
      <c r="A106" s="529">
        <v>100</v>
      </c>
      <c r="B106" s="8"/>
      <c r="C106" s="28">
        <v>69</v>
      </c>
      <c r="D106" s="37" t="s">
        <v>98</v>
      </c>
      <c r="E106" s="29" t="s">
        <v>33</v>
      </c>
      <c r="F106" s="30">
        <f t="shared" si="2"/>
        <v>6000</v>
      </c>
      <c r="G106" s="908"/>
      <c r="H106" s="927">
        <v>6000</v>
      </c>
      <c r="I106" s="1282"/>
      <c r="J106" s="924">
        <f t="shared" si="3"/>
        <v>6000</v>
      </c>
      <c r="K106" s="914"/>
    </row>
    <row r="107" spans="1:11" ht="17.25">
      <c r="A107" s="529">
        <v>101</v>
      </c>
      <c r="B107" s="8"/>
      <c r="C107" s="28"/>
      <c r="D107" s="38" t="s">
        <v>105</v>
      </c>
      <c r="E107" s="39"/>
      <c r="F107" s="30">
        <f t="shared" si="2"/>
        <v>0</v>
      </c>
      <c r="G107" s="908"/>
      <c r="H107" s="927"/>
      <c r="I107" s="1282"/>
      <c r="J107" s="924">
        <f t="shared" si="3"/>
        <v>0</v>
      </c>
      <c r="K107" s="913"/>
    </row>
    <row r="108" spans="1:11" ht="33" customHeight="1">
      <c r="A108" s="529">
        <v>102</v>
      </c>
      <c r="B108" s="8"/>
      <c r="C108" s="28">
        <v>70</v>
      </c>
      <c r="D108" s="37" t="s">
        <v>106</v>
      </c>
      <c r="E108" s="39" t="s">
        <v>33</v>
      </c>
      <c r="F108" s="30">
        <f t="shared" si="2"/>
        <v>12000</v>
      </c>
      <c r="G108" s="908"/>
      <c r="H108" s="927">
        <v>12000</v>
      </c>
      <c r="I108" s="1282"/>
      <c r="J108" s="924">
        <f t="shared" si="3"/>
        <v>12000</v>
      </c>
      <c r="K108" s="913"/>
    </row>
    <row r="109" spans="1:11" ht="17.25">
      <c r="A109" s="529">
        <v>103</v>
      </c>
      <c r="B109" s="8"/>
      <c r="C109" s="28">
        <v>71</v>
      </c>
      <c r="D109" s="37" t="s">
        <v>107</v>
      </c>
      <c r="E109" s="39" t="s">
        <v>33</v>
      </c>
      <c r="F109" s="30">
        <f t="shared" si="2"/>
        <v>18740</v>
      </c>
      <c r="G109" s="908"/>
      <c r="H109" s="927">
        <v>3750</v>
      </c>
      <c r="I109" s="1282">
        <v>14990</v>
      </c>
      <c r="J109" s="924">
        <f t="shared" si="3"/>
        <v>18740</v>
      </c>
      <c r="K109" s="913"/>
    </row>
    <row r="110" spans="1:11" ht="17.25">
      <c r="A110" s="529">
        <v>104</v>
      </c>
      <c r="B110" s="8"/>
      <c r="C110" s="28">
        <v>72</v>
      </c>
      <c r="D110" s="37" t="s">
        <v>108</v>
      </c>
      <c r="E110" s="39" t="s">
        <v>33</v>
      </c>
      <c r="F110" s="30">
        <f t="shared" si="2"/>
        <v>2900</v>
      </c>
      <c r="G110" s="908"/>
      <c r="H110" s="927">
        <v>2900</v>
      </c>
      <c r="I110" s="1282"/>
      <c r="J110" s="924">
        <f t="shared" si="3"/>
        <v>2900</v>
      </c>
      <c r="K110" s="913"/>
    </row>
    <row r="111" spans="1:11" ht="17.25">
      <c r="A111" s="529">
        <v>105</v>
      </c>
      <c r="B111" s="8"/>
      <c r="C111" s="28">
        <v>73</v>
      </c>
      <c r="D111" s="37" t="s">
        <v>109</v>
      </c>
      <c r="E111" s="40" t="s">
        <v>33</v>
      </c>
      <c r="F111" s="30">
        <f t="shared" si="2"/>
        <v>3500</v>
      </c>
      <c r="G111" s="908"/>
      <c r="H111" s="927">
        <v>3500</v>
      </c>
      <c r="I111" s="1282"/>
      <c r="J111" s="924">
        <f t="shared" si="3"/>
        <v>3500</v>
      </c>
      <c r="K111" s="913"/>
    </row>
    <row r="112" spans="1:11" ht="17.25">
      <c r="A112" s="529">
        <v>106</v>
      </c>
      <c r="B112" s="8"/>
      <c r="C112" s="28">
        <v>74</v>
      </c>
      <c r="D112" s="37" t="s">
        <v>110</v>
      </c>
      <c r="E112" s="39" t="s">
        <v>33</v>
      </c>
      <c r="F112" s="30">
        <f t="shared" si="2"/>
        <v>3000</v>
      </c>
      <c r="G112" s="908"/>
      <c r="H112" s="927">
        <v>3000</v>
      </c>
      <c r="I112" s="1282"/>
      <c r="J112" s="924">
        <f t="shared" si="3"/>
        <v>3000</v>
      </c>
      <c r="K112" s="913"/>
    </row>
    <row r="113" spans="1:11" ht="17.25">
      <c r="A113" s="529">
        <v>107</v>
      </c>
      <c r="B113" s="8"/>
      <c r="C113" s="28">
        <v>75</v>
      </c>
      <c r="D113" s="37" t="s">
        <v>111</v>
      </c>
      <c r="E113" s="39" t="s">
        <v>33</v>
      </c>
      <c r="F113" s="30">
        <f t="shared" si="2"/>
        <v>9605</v>
      </c>
      <c r="G113" s="908"/>
      <c r="H113" s="927">
        <v>9000</v>
      </c>
      <c r="I113" s="1282">
        <v>605</v>
      </c>
      <c r="J113" s="924">
        <f t="shared" si="3"/>
        <v>9605</v>
      </c>
      <c r="K113" s="913"/>
    </row>
    <row r="114" spans="1:11" ht="17.25">
      <c r="A114" s="529">
        <v>108</v>
      </c>
      <c r="B114" s="8"/>
      <c r="C114" s="28">
        <v>76</v>
      </c>
      <c r="D114" s="37" t="s">
        <v>112</v>
      </c>
      <c r="E114" s="39" t="s">
        <v>33</v>
      </c>
      <c r="F114" s="30">
        <f t="shared" si="2"/>
        <v>1850</v>
      </c>
      <c r="G114" s="908"/>
      <c r="H114" s="927">
        <v>1850</v>
      </c>
      <c r="I114" s="1282"/>
      <c r="J114" s="924">
        <f t="shared" si="3"/>
        <v>1850</v>
      </c>
      <c r="K114" s="913"/>
    </row>
    <row r="115" spans="1:11" ht="17.25">
      <c r="A115" s="529">
        <v>109</v>
      </c>
      <c r="B115" s="8"/>
      <c r="C115" s="28"/>
      <c r="D115" s="38" t="s">
        <v>568</v>
      </c>
      <c r="E115" s="40"/>
      <c r="F115" s="30">
        <f t="shared" si="2"/>
        <v>0</v>
      </c>
      <c r="G115" s="908"/>
      <c r="H115" s="927"/>
      <c r="I115" s="1282"/>
      <c r="J115" s="924">
        <f t="shared" si="3"/>
        <v>0</v>
      </c>
      <c r="K115" s="913"/>
    </row>
    <row r="116" spans="1:11" ht="17.25">
      <c r="A116" s="529">
        <v>110</v>
      </c>
      <c r="B116" s="8"/>
      <c r="C116" s="28">
        <v>77</v>
      </c>
      <c r="D116" s="37" t="s">
        <v>113</v>
      </c>
      <c r="E116" s="40" t="s">
        <v>33</v>
      </c>
      <c r="F116" s="30">
        <f t="shared" si="2"/>
        <v>500</v>
      </c>
      <c r="G116" s="908"/>
      <c r="H116" s="927">
        <v>500</v>
      </c>
      <c r="I116" s="1282"/>
      <c r="J116" s="924">
        <f t="shared" si="3"/>
        <v>500</v>
      </c>
      <c r="K116" s="913"/>
    </row>
    <row r="117" spans="1:11" ht="17.25">
      <c r="A117" s="529">
        <v>111</v>
      </c>
      <c r="B117" s="8"/>
      <c r="C117" s="28"/>
      <c r="D117" s="38" t="s">
        <v>114</v>
      </c>
      <c r="E117" s="39"/>
      <c r="F117" s="30">
        <f t="shared" si="2"/>
        <v>0</v>
      </c>
      <c r="G117" s="908"/>
      <c r="H117" s="927"/>
      <c r="I117" s="1282"/>
      <c r="J117" s="924">
        <f t="shared" si="3"/>
        <v>0</v>
      </c>
      <c r="K117" s="913"/>
    </row>
    <row r="118" spans="1:11" ht="17.25">
      <c r="A118" s="529">
        <v>112</v>
      </c>
      <c r="B118" s="8"/>
      <c r="C118" s="28">
        <v>78</v>
      </c>
      <c r="D118" s="37" t="s">
        <v>115</v>
      </c>
      <c r="E118" s="39" t="s">
        <v>33</v>
      </c>
      <c r="F118" s="30">
        <f t="shared" si="2"/>
        <v>2000</v>
      </c>
      <c r="G118" s="908"/>
      <c r="H118" s="927">
        <v>2000</v>
      </c>
      <c r="I118" s="1282"/>
      <c r="J118" s="924">
        <f t="shared" si="3"/>
        <v>2000</v>
      </c>
      <c r="K118" s="913"/>
    </row>
    <row r="119" spans="1:11" ht="17.25">
      <c r="A119" s="529">
        <v>113</v>
      </c>
      <c r="B119" s="8"/>
      <c r="C119" s="28"/>
      <c r="D119" s="35" t="s">
        <v>14</v>
      </c>
      <c r="E119" s="39"/>
      <c r="F119" s="30">
        <f t="shared" si="2"/>
        <v>0</v>
      </c>
      <c r="G119" s="908"/>
      <c r="H119" s="927"/>
      <c r="I119" s="1282"/>
      <c r="J119" s="924">
        <f t="shared" si="3"/>
        <v>0</v>
      </c>
      <c r="K119" s="913"/>
    </row>
    <row r="120" spans="1:11" ht="17.25">
      <c r="A120" s="529">
        <v>114</v>
      </c>
      <c r="B120" s="8"/>
      <c r="C120" s="28"/>
      <c r="D120" s="537" t="s">
        <v>116</v>
      </c>
      <c r="E120" s="39"/>
      <c r="F120" s="30">
        <f t="shared" si="2"/>
        <v>0</v>
      </c>
      <c r="G120" s="908"/>
      <c r="H120" s="927"/>
      <c r="I120" s="1282"/>
      <c r="J120" s="924">
        <f t="shared" si="3"/>
        <v>0</v>
      </c>
      <c r="K120" s="913"/>
    </row>
    <row r="121" spans="1:11" ht="17.25">
      <c r="A121" s="529">
        <v>115</v>
      </c>
      <c r="B121" s="8"/>
      <c r="C121" s="28">
        <v>79</v>
      </c>
      <c r="D121" s="37" t="s">
        <v>117</v>
      </c>
      <c r="E121" s="40" t="s">
        <v>33</v>
      </c>
      <c r="F121" s="30">
        <f t="shared" si="2"/>
        <v>1500</v>
      </c>
      <c r="G121" s="908"/>
      <c r="H121" s="927">
        <v>1500</v>
      </c>
      <c r="I121" s="1282"/>
      <c r="J121" s="924">
        <f t="shared" si="3"/>
        <v>1500</v>
      </c>
      <c r="K121" s="913"/>
    </row>
    <row r="122" spans="1:11" ht="17.25">
      <c r="A122" s="529">
        <v>116</v>
      </c>
      <c r="B122" s="8"/>
      <c r="C122" s="28"/>
      <c r="D122" s="537" t="s">
        <v>118</v>
      </c>
      <c r="E122" s="39"/>
      <c r="F122" s="30">
        <f t="shared" si="2"/>
        <v>0</v>
      </c>
      <c r="G122" s="908"/>
      <c r="H122" s="927"/>
      <c r="I122" s="1282"/>
      <c r="J122" s="924">
        <f t="shared" si="3"/>
        <v>0</v>
      </c>
      <c r="K122" s="913"/>
    </row>
    <row r="123" spans="1:11" ht="17.25">
      <c r="A123" s="529">
        <v>117</v>
      </c>
      <c r="B123" s="8"/>
      <c r="C123" s="28">
        <v>80</v>
      </c>
      <c r="D123" s="37" t="s">
        <v>119</v>
      </c>
      <c r="E123" s="40" t="s">
        <v>33</v>
      </c>
      <c r="F123" s="30">
        <f t="shared" si="2"/>
        <v>5500</v>
      </c>
      <c r="G123" s="908"/>
      <c r="H123" s="927">
        <v>5500</v>
      </c>
      <c r="I123" s="1282"/>
      <c r="J123" s="924">
        <f t="shared" si="3"/>
        <v>5500</v>
      </c>
      <c r="K123" s="913"/>
    </row>
    <row r="124" spans="1:11" ht="17.25">
      <c r="A124" s="529">
        <v>118</v>
      </c>
      <c r="B124" s="8"/>
      <c r="C124" s="28"/>
      <c r="D124" s="38" t="s">
        <v>120</v>
      </c>
      <c r="E124" s="39"/>
      <c r="F124" s="30">
        <f t="shared" si="2"/>
        <v>0</v>
      </c>
      <c r="G124" s="908"/>
      <c r="H124" s="927"/>
      <c r="I124" s="1282"/>
      <c r="J124" s="924">
        <f t="shared" si="3"/>
        <v>0</v>
      </c>
      <c r="K124" s="913"/>
    </row>
    <row r="125" spans="1:11" ht="17.25">
      <c r="A125" s="529">
        <v>119</v>
      </c>
      <c r="B125" s="8"/>
      <c r="C125" s="28">
        <v>81</v>
      </c>
      <c r="D125" s="573" t="s">
        <v>945</v>
      </c>
      <c r="E125" s="39" t="s">
        <v>33</v>
      </c>
      <c r="F125" s="30">
        <f t="shared" si="2"/>
        <v>10033</v>
      </c>
      <c r="G125" s="908"/>
      <c r="H125" s="927"/>
      <c r="I125" s="1282">
        <v>10033</v>
      </c>
      <c r="J125" s="924">
        <f t="shared" si="3"/>
        <v>10033</v>
      </c>
      <c r="K125" s="913"/>
    </row>
    <row r="126" spans="1:11" s="2" customFormat="1" ht="33" customHeight="1">
      <c r="A126" s="529">
        <v>120</v>
      </c>
      <c r="B126" s="3"/>
      <c r="C126" s="571">
        <v>82</v>
      </c>
      <c r="D126" s="573" t="s">
        <v>121</v>
      </c>
      <c r="E126" s="572" t="s">
        <v>33</v>
      </c>
      <c r="F126" s="30">
        <f t="shared" si="2"/>
        <v>3500</v>
      </c>
      <c r="G126" s="909"/>
      <c r="H126" s="928">
        <v>3500</v>
      </c>
      <c r="I126" s="1283"/>
      <c r="J126" s="924">
        <f t="shared" si="3"/>
        <v>3500</v>
      </c>
      <c r="K126" s="1330"/>
    </row>
    <row r="127" spans="1:11" ht="17.25">
      <c r="A127" s="529">
        <v>121</v>
      </c>
      <c r="B127" s="8"/>
      <c r="C127" s="28">
        <v>83</v>
      </c>
      <c r="D127" s="37" t="s">
        <v>122</v>
      </c>
      <c r="E127" s="39" t="s">
        <v>33</v>
      </c>
      <c r="F127" s="30">
        <f t="shared" si="2"/>
        <v>1200</v>
      </c>
      <c r="G127" s="908"/>
      <c r="H127" s="927">
        <v>1200</v>
      </c>
      <c r="I127" s="1282"/>
      <c r="J127" s="924">
        <f t="shared" si="3"/>
        <v>1200</v>
      </c>
      <c r="K127" s="913"/>
    </row>
    <row r="128" spans="1:11" ht="17.25">
      <c r="A128" s="529">
        <v>122</v>
      </c>
      <c r="B128" s="8"/>
      <c r="C128" s="28">
        <v>84</v>
      </c>
      <c r="D128" s="37" t="s">
        <v>123</v>
      </c>
      <c r="E128" s="39" t="s">
        <v>33</v>
      </c>
      <c r="F128" s="30">
        <f t="shared" si="2"/>
        <v>1125</v>
      </c>
      <c r="G128" s="908"/>
      <c r="H128" s="927">
        <v>700</v>
      </c>
      <c r="I128" s="1282">
        <v>425</v>
      </c>
      <c r="J128" s="924">
        <f t="shared" si="3"/>
        <v>1125</v>
      </c>
      <c r="K128" s="913"/>
    </row>
    <row r="129" spans="1:11" ht="18" thickBot="1">
      <c r="A129" s="529">
        <v>123</v>
      </c>
      <c r="B129" s="538"/>
      <c r="C129" s="539">
        <v>85</v>
      </c>
      <c r="D129" s="540" t="s">
        <v>124</v>
      </c>
      <c r="E129" s="541" t="s">
        <v>33</v>
      </c>
      <c r="F129" s="30">
        <f t="shared" si="2"/>
        <v>1500</v>
      </c>
      <c r="G129" s="910"/>
      <c r="H129" s="929">
        <v>1500</v>
      </c>
      <c r="I129" s="1338"/>
      <c r="J129" s="924">
        <f t="shared" si="3"/>
        <v>1500</v>
      </c>
      <c r="K129" s="1331"/>
    </row>
    <row r="130" spans="1:11" s="7" customFormat="1" ht="18.75" thickBot="1" thickTop="1">
      <c r="A130" s="529">
        <v>124</v>
      </c>
      <c r="B130" s="52"/>
      <c r="C130" s="53"/>
      <c r="D130" s="1111" t="s">
        <v>125</v>
      </c>
      <c r="E130" s="54"/>
      <c r="F130" s="55">
        <f aca="true" t="shared" si="4" ref="F130:K130">SUM(F8:F129)</f>
        <v>909471</v>
      </c>
      <c r="G130" s="893">
        <f t="shared" si="4"/>
        <v>300100</v>
      </c>
      <c r="H130" s="930">
        <f t="shared" si="4"/>
        <v>580300</v>
      </c>
      <c r="I130" s="900">
        <f t="shared" si="4"/>
        <v>29071</v>
      </c>
      <c r="J130" s="931">
        <f t="shared" si="4"/>
        <v>609371</v>
      </c>
      <c r="K130" s="917">
        <f t="shared" si="4"/>
        <v>0</v>
      </c>
    </row>
    <row r="131" spans="1:11" s="7" customFormat="1" ht="17.25">
      <c r="A131" s="529">
        <v>125</v>
      </c>
      <c r="B131" s="542"/>
      <c r="C131" s="543"/>
      <c r="D131" s="544" t="s">
        <v>559</v>
      </c>
      <c r="E131" s="545"/>
      <c r="F131" s="546"/>
      <c r="G131" s="894"/>
      <c r="H131" s="932"/>
      <c r="I131" s="1332"/>
      <c r="J131" s="933"/>
      <c r="K131" s="918"/>
    </row>
    <row r="132" spans="1:11" ht="17.25">
      <c r="A132" s="529">
        <v>126</v>
      </c>
      <c r="B132" s="8">
        <v>15</v>
      </c>
      <c r="C132" s="28"/>
      <c r="D132" s="35" t="s">
        <v>99</v>
      </c>
      <c r="E132" s="29"/>
      <c r="F132" s="34"/>
      <c r="G132" s="908"/>
      <c r="H132" s="927"/>
      <c r="I132" s="1282"/>
      <c r="J132" s="934"/>
      <c r="K132" s="914"/>
    </row>
    <row r="133" spans="1:11" ht="17.25">
      <c r="A133" s="529">
        <v>127</v>
      </c>
      <c r="B133" s="8"/>
      <c r="C133" s="28">
        <v>1</v>
      </c>
      <c r="D133" s="37" t="s">
        <v>100</v>
      </c>
      <c r="E133" s="29" t="s">
        <v>33</v>
      </c>
      <c r="F133" s="34">
        <f>SUM(G133,J133,K133)</f>
        <v>1584</v>
      </c>
      <c r="G133" s="908"/>
      <c r="H133" s="927">
        <v>1584</v>
      </c>
      <c r="I133" s="1282"/>
      <c r="J133" s="934">
        <f>SUM(H133:I133)</f>
        <v>1584</v>
      </c>
      <c r="K133" s="914"/>
    </row>
    <row r="134" spans="1:11" ht="17.25">
      <c r="A134" s="529">
        <v>128</v>
      </c>
      <c r="B134" s="8"/>
      <c r="C134" s="28">
        <v>2</v>
      </c>
      <c r="D134" s="37" t="s">
        <v>101</v>
      </c>
      <c r="E134" s="29" t="s">
        <v>33</v>
      </c>
      <c r="F134" s="34">
        <f aca="true" t="shared" si="5" ref="F134:F143">SUM(G134,J134,K134)</f>
        <v>1440</v>
      </c>
      <c r="G134" s="908"/>
      <c r="H134" s="927">
        <v>1440</v>
      </c>
      <c r="I134" s="1282"/>
      <c r="J134" s="934">
        <f aca="true" t="shared" si="6" ref="J134:J143">SUM(H134:I134)</f>
        <v>1440</v>
      </c>
      <c r="K134" s="914"/>
    </row>
    <row r="135" spans="1:11" ht="17.25">
      <c r="A135" s="529">
        <v>129</v>
      </c>
      <c r="B135" s="8"/>
      <c r="C135" s="28">
        <v>3</v>
      </c>
      <c r="D135" s="37" t="s">
        <v>102</v>
      </c>
      <c r="E135" s="29" t="s">
        <v>33</v>
      </c>
      <c r="F135" s="34">
        <f t="shared" si="5"/>
        <v>408</v>
      </c>
      <c r="G135" s="908"/>
      <c r="H135" s="927">
        <v>408</v>
      </c>
      <c r="I135" s="1282"/>
      <c r="J135" s="934">
        <f t="shared" si="6"/>
        <v>408</v>
      </c>
      <c r="K135" s="914"/>
    </row>
    <row r="136" spans="1:11" s="4" customFormat="1" ht="17.25">
      <c r="A136" s="529">
        <v>130</v>
      </c>
      <c r="B136" s="8"/>
      <c r="C136" s="28">
        <v>4</v>
      </c>
      <c r="D136" s="37" t="s">
        <v>103</v>
      </c>
      <c r="E136" s="29" t="s">
        <v>33</v>
      </c>
      <c r="F136" s="34">
        <f t="shared" si="5"/>
        <v>1500</v>
      </c>
      <c r="G136" s="908"/>
      <c r="H136" s="927">
        <v>1500</v>
      </c>
      <c r="I136" s="1282"/>
      <c r="J136" s="934">
        <f t="shared" si="6"/>
        <v>1500</v>
      </c>
      <c r="K136" s="913"/>
    </row>
    <row r="137" spans="1:11" ht="17.25">
      <c r="A137" s="529">
        <v>131</v>
      </c>
      <c r="B137" s="8"/>
      <c r="C137" s="28">
        <v>5</v>
      </c>
      <c r="D137" s="37" t="s">
        <v>104</v>
      </c>
      <c r="E137" s="31" t="s">
        <v>33</v>
      </c>
      <c r="F137" s="34">
        <f t="shared" si="5"/>
        <v>1200</v>
      </c>
      <c r="G137" s="908"/>
      <c r="H137" s="927">
        <v>1200</v>
      </c>
      <c r="I137" s="1282"/>
      <c r="J137" s="934">
        <f t="shared" si="6"/>
        <v>1200</v>
      </c>
      <c r="K137" s="913"/>
    </row>
    <row r="138" spans="1:11" ht="17.25">
      <c r="A138" s="529">
        <v>132</v>
      </c>
      <c r="B138" s="8"/>
      <c r="C138" s="28">
        <v>6</v>
      </c>
      <c r="D138" s="37" t="s">
        <v>787</v>
      </c>
      <c r="E138" s="31" t="s">
        <v>33</v>
      </c>
      <c r="F138" s="34">
        <f t="shared" si="5"/>
        <v>192</v>
      </c>
      <c r="G138" s="908"/>
      <c r="H138" s="927"/>
      <c r="I138" s="1282">
        <v>192</v>
      </c>
      <c r="J138" s="934">
        <f t="shared" si="6"/>
        <v>192</v>
      </c>
      <c r="K138" s="913"/>
    </row>
    <row r="139" spans="1:11" ht="17.25">
      <c r="A139" s="529">
        <v>133</v>
      </c>
      <c r="B139" s="8"/>
      <c r="C139" s="28">
        <v>7</v>
      </c>
      <c r="D139" s="37" t="s">
        <v>788</v>
      </c>
      <c r="E139" s="31" t="s">
        <v>33</v>
      </c>
      <c r="F139" s="34">
        <f t="shared" si="5"/>
        <v>25</v>
      </c>
      <c r="G139" s="908"/>
      <c r="H139" s="927"/>
      <c r="I139" s="1282">
        <v>25</v>
      </c>
      <c r="J139" s="934">
        <f t="shared" si="6"/>
        <v>25</v>
      </c>
      <c r="K139" s="913"/>
    </row>
    <row r="140" spans="1:11" ht="17.25">
      <c r="A140" s="529">
        <v>134</v>
      </c>
      <c r="B140" s="8"/>
      <c r="C140" s="28"/>
      <c r="D140" s="35" t="s">
        <v>94</v>
      </c>
      <c r="E140" s="31"/>
      <c r="F140" s="34"/>
      <c r="G140" s="908"/>
      <c r="H140" s="927"/>
      <c r="I140" s="1282"/>
      <c r="J140" s="934"/>
      <c r="K140" s="913"/>
    </row>
    <row r="141" spans="1:11" ht="17.25">
      <c r="A141" s="529">
        <v>135</v>
      </c>
      <c r="B141" s="8"/>
      <c r="C141" s="28">
        <v>1</v>
      </c>
      <c r="D141" s="37" t="s">
        <v>935</v>
      </c>
      <c r="E141" s="31" t="s">
        <v>33</v>
      </c>
      <c r="F141" s="34">
        <f t="shared" si="5"/>
        <v>37500</v>
      </c>
      <c r="G141" s="908"/>
      <c r="H141" s="927"/>
      <c r="I141" s="1282">
        <v>37500</v>
      </c>
      <c r="J141" s="934">
        <f t="shared" si="6"/>
        <v>37500</v>
      </c>
      <c r="K141" s="913"/>
    </row>
    <row r="142" spans="1:11" ht="17.25">
      <c r="A142" s="529">
        <v>136</v>
      </c>
      <c r="B142" s="8"/>
      <c r="C142" s="28"/>
      <c r="D142" s="35" t="s">
        <v>192</v>
      </c>
      <c r="E142" s="31"/>
      <c r="F142" s="34"/>
      <c r="G142" s="908"/>
      <c r="H142" s="927"/>
      <c r="I142" s="1282"/>
      <c r="J142" s="934"/>
      <c r="K142" s="913"/>
    </row>
    <row r="143" spans="1:11" ht="17.25">
      <c r="A143" s="529">
        <v>137</v>
      </c>
      <c r="B143" s="8"/>
      <c r="C143" s="28">
        <v>1</v>
      </c>
      <c r="D143" s="37" t="s">
        <v>703</v>
      </c>
      <c r="E143" s="31" t="s">
        <v>33</v>
      </c>
      <c r="F143" s="34">
        <f t="shared" si="5"/>
        <v>1000</v>
      </c>
      <c r="G143" s="908"/>
      <c r="H143" s="927"/>
      <c r="I143" s="1282">
        <v>1000</v>
      </c>
      <c r="J143" s="934">
        <f t="shared" si="6"/>
        <v>1000</v>
      </c>
      <c r="K143" s="913"/>
    </row>
    <row r="144" spans="1:11" s="7" customFormat="1" ht="18" thickBot="1">
      <c r="A144" s="529">
        <v>138</v>
      </c>
      <c r="B144" s="1471" t="s">
        <v>560</v>
      </c>
      <c r="C144" s="1472"/>
      <c r="D144" s="1472"/>
      <c r="E144" s="547"/>
      <c r="F144" s="6">
        <f>SUM(F133:F143)</f>
        <v>44849</v>
      </c>
      <c r="G144" s="895">
        <f>SUM(G133:G137)</f>
        <v>0</v>
      </c>
      <c r="H144" s="935">
        <f>SUM(H133:H143)</f>
        <v>6132</v>
      </c>
      <c r="I144" s="6">
        <f>SUM(I133:I143)</f>
        <v>38717</v>
      </c>
      <c r="J144" s="1277">
        <f>SUM(J133:J143)</f>
        <v>44849</v>
      </c>
      <c r="K144" s="919">
        <f>SUM(K133:K137)</f>
        <v>0</v>
      </c>
    </row>
    <row r="145" spans="1:11" s="7" customFormat="1" ht="18.75" thickBot="1" thickTop="1">
      <c r="A145" s="529">
        <v>139</v>
      </c>
      <c r="B145" s="1467" t="s">
        <v>561</v>
      </c>
      <c r="C145" s="1468"/>
      <c r="D145" s="1468"/>
      <c r="E145" s="548"/>
      <c r="F145" s="549">
        <f aca="true" t="shared" si="7" ref="F145:K145">SUM(F144,F130)</f>
        <v>954320</v>
      </c>
      <c r="G145" s="896">
        <f t="shared" si="7"/>
        <v>300100</v>
      </c>
      <c r="H145" s="936">
        <f t="shared" si="7"/>
        <v>586432</v>
      </c>
      <c r="I145" s="901">
        <f t="shared" si="7"/>
        <v>67788</v>
      </c>
      <c r="J145" s="937">
        <f t="shared" si="7"/>
        <v>654220</v>
      </c>
      <c r="K145" s="920">
        <f t="shared" si="7"/>
        <v>0</v>
      </c>
    </row>
    <row r="146" spans="1:11" s="1344" customFormat="1" ht="14.25">
      <c r="A146" s="530"/>
      <c r="B146" s="1339" t="s">
        <v>126</v>
      </c>
      <c r="C146" s="1154"/>
      <c r="D146" s="1340"/>
      <c r="E146" s="569"/>
      <c r="F146" s="1341"/>
      <c r="G146" s="1341"/>
      <c r="H146" s="1341"/>
      <c r="I146" s="1342"/>
      <c r="J146" s="1343"/>
      <c r="K146" s="1341"/>
    </row>
    <row r="147" spans="1:11" s="1348" customFormat="1" ht="14.25">
      <c r="A147" s="529"/>
      <c r="B147" s="1105" t="s">
        <v>127</v>
      </c>
      <c r="C147" s="1149"/>
      <c r="D147" s="222"/>
      <c r="E147" s="569"/>
      <c r="F147" s="1345"/>
      <c r="G147" s="1345"/>
      <c r="H147" s="1345"/>
      <c r="I147" s="1346"/>
      <c r="J147" s="1347"/>
      <c r="K147" s="1345"/>
    </row>
    <row r="148" spans="1:11" s="1348" customFormat="1" ht="14.25">
      <c r="A148" s="529"/>
      <c r="B148" s="1105" t="s">
        <v>128</v>
      </c>
      <c r="C148" s="1149"/>
      <c r="D148" s="222"/>
      <c r="E148" s="569"/>
      <c r="F148" s="1345"/>
      <c r="G148" s="1345"/>
      <c r="H148" s="1345"/>
      <c r="I148" s="1346"/>
      <c r="J148" s="1347"/>
      <c r="K148" s="1345"/>
    </row>
  </sheetData>
  <sheetProtection/>
  <mergeCells count="7">
    <mergeCell ref="L3:U3"/>
    <mergeCell ref="J4:K4"/>
    <mergeCell ref="B145:D145"/>
    <mergeCell ref="B1:D1"/>
    <mergeCell ref="B2:K2"/>
    <mergeCell ref="B3:K3"/>
    <mergeCell ref="B144:D144"/>
  </mergeCells>
  <printOptions horizontalCentered="1"/>
  <pageMargins left="0" right="0" top="0.7874015748031497" bottom="0.7874015748031497" header="0.5118110236220472" footer="0.5118110236220472"/>
  <pageSetup fitToHeight="3" fitToWidth="1" horizontalDpi="600" verticalDpi="600" orientation="portrait" paperSize="9" scale="5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38"/>
  <sheetViews>
    <sheetView view="pageBreakPreview" zoomScaleNormal="75" zoomScaleSheetLayoutView="100" zoomScalePageLayoutView="0" workbookViewId="0" topLeftCell="A1">
      <selection activeCell="A1" sqref="A1:B1"/>
    </sheetView>
  </sheetViews>
  <sheetFormatPr defaultColWidth="9.125" defaultRowHeight="12.75"/>
  <cols>
    <col min="1" max="1" width="3.75390625" style="449" customWidth="1"/>
    <col min="2" max="2" width="62.625" style="394" bestFit="1" customWidth="1"/>
    <col min="3" max="4" width="10.625" style="223" bestFit="1" customWidth="1"/>
    <col min="5" max="5" width="3.75390625" style="449" customWidth="1"/>
    <col min="6" max="6" width="53.75390625" style="394" bestFit="1" customWidth="1"/>
    <col min="7" max="7" width="10.625" style="223" bestFit="1" customWidth="1"/>
    <col min="8" max="8" width="10.625" style="393" customWidth="1"/>
    <col min="9" max="16384" width="9.125" style="394" customWidth="1"/>
  </cols>
  <sheetData>
    <row r="1" spans="1:8" s="391" customFormat="1" ht="15">
      <c r="A1" s="1473" t="s">
        <v>1203</v>
      </c>
      <c r="B1" s="1473"/>
      <c r="C1" s="193"/>
      <c r="D1" s="193"/>
      <c r="E1" s="390"/>
      <c r="G1" s="197"/>
      <c r="H1" s="392"/>
    </row>
    <row r="2" spans="1:8" s="391" customFormat="1" ht="26.25" customHeight="1">
      <c r="A2" s="1474" t="s">
        <v>511</v>
      </c>
      <c r="B2" s="1474"/>
      <c r="C2" s="1474"/>
      <c r="D2" s="1474"/>
      <c r="E2" s="1474"/>
      <c r="F2" s="1474"/>
      <c r="G2" s="1474"/>
      <c r="H2" s="392"/>
    </row>
    <row r="3" spans="1:8" s="391" customFormat="1" ht="27.75" customHeight="1">
      <c r="A3" s="1474" t="s">
        <v>512</v>
      </c>
      <c r="B3" s="1474"/>
      <c r="C3" s="1474"/>
      <c r="D3" s="1474"/>
      <c r="E3" s="1474"/>
      <c r="F3" s="1474"/>
      <c r="G3" s="1474"/>
      <c r="H3" s="392"/>
    </row>
    <row r="4" spans="1:8" s="391" customFormat="1" ht="15.75" thickBot="1">
      <c r="A4" s="939"/>
      <c r="B4" s="939"/>
      <c r="C4" s="939"/>
      <c r="D4" s="939"/>
      <c r="E4" s="939"/>
      <c r="F4" s="939"/>
      <c r="G4" s="1475" t="s">
        <v>0</v>
      </c>
      <c r="H4" s="1475"/>
    </row>
    <row r="5" spans="1:8" s="391" customFormat="1" ht="45">
      <c r="A5" s="978"/>
      <c r="B5" s="979" t="s">
        <v>513</v>
      </c>
      <c r="C5" s="1373" t="s">
        <v>635</v>
      </c>
      <c r="D5" s="980" t="s">
        <v>637</v>
      </c>
      <c r="E5" s="981"/>
      <c r="F5" s="982" t="s">
        <v>514</v>
      </c>
      <c r="G5" s="1373" t="s">
        <v>635</v>
      </c>
      <c r="H5" s="983" t="s">
        <v>637</v>
      </c>
    </row>
    <row r="6" spans="1:8" ht="15" customHeight="1">
      <c r="A6" s="395" t="s">
        <v>364</v>
      </c>
      <c r="B6" s="394" t="s">
        <v>515</v>
      </c>
      <c r="C6" s="957">
        <f>'1.Onbe'!J9+'1.Onbe'!J15</f>
        <v>3034881</v>
      </c>
      <c r="D6" s="401">
        <f>'1.Onbe'!L9+'1.Onbe'!L15</f>
        <v>3197183</v>
      </c>
      <c r="E6" s="396" t="s">
        <v>364</v>
      </c>
      <c r="F6" s="394" t="s">
        <v>207</v>
      </c>
      <c r="G6" s="957">
        <f>'4.Inki'!J367+'5.Önk.műk.'!J631</f>
        <v>3206629</v>
      </c>
      <c r="H6" s="1091">
        <f>'4.Inki'!J369+'5.Önk.műk.'!J633</f>
        <v>3359577</v>
      </c>
    </row>
    <row r="7" spans="1:8" ht="15" customHeight="1">
      <c r="A7" s="395" t="s">
        <v>371</v>
      </c>
      <c r="B7" s="394" t="s">
        <v>453</v>
      </c>
      <c r="C7" s="957">
        <f>'1.Onbe'!J16</f>
        <v>5845000</v>
      </c>
      <c r="D7" s="401">
        <f>'1.Onbe'!L16</f>
        <v>5845000</v>
      </c>
      <c r="E7" s="396" t="s">
        <v>371</v>
      </c>
      <c r="F7" s="394" t="s">
        <v>516</v>
      </c>
      <c r="G7" s="957">
        <f>'4.Inki'!K367+'5.Önk.műk.'!K631</f>
        <v>873547</v>
      </c>
      <c r="H7" s="1091">
        <f>'4.Inki'!K369+'5.Önk.műk.'!K633</f>
        <v>917948</v>
      </c>
    </row>
    <row r="8" spans="1:8" ht="15">
      <c r="A8" s="395" t="s">
        <v>372</v>
      </c>
      <c r="B8" s="397" t="s">
        <v>381</v>
      </c>
      <c r="C8" s="957">
        <f>'1.Onbe'!J30+'1.Onbe'!J26</f>
        <v>1512384</v>
      </c>
      <c r="D8" s="401">
        <f>'1.Onbe'!L26+'1.Onbe'!L30</f>
        <v>1512384</v>
      </c>
      <c r="E8" s="396" t="s">
        <v>372</v>
      </c>
      <c r="F8" s="398" t="s">
        <v>209</v>
      </c>
      <c r="G8" s="957">
        <f>'4.Inki'!L367+'5.Önk.műk.'!L631</f>
        <v>5086695</v>
      </c>
      <c r="H8" s="1091">
        <f>'4.Inki'!L369+'5.Önk.műk.'!L633</f>
        <v>5623382</v>
      </c>
    </row>
    <row r="9" spans="1:8" ht="15">
      <c r="A9" s="395" t="s">
        <v>373</v>
      </c>
      <c r="B9" s="398" t="s">
        <v>461</v>
      </c>
      <c r="C9" s="957">
        <f>'1.Onbe'!J31+'1.Onbe'!J32</f>
        <v>84000</v>
      </c>
      <c r="D9" s="401">
        <f>'1.Onbe'!L31+'1.Onbe'!L32</f>
        <v>84000</v>
      </c>
      <c r="E9" s="399" t="s">
        <v>373</v>
      </c>
      <c r="F9" s="398" t="s">
        <v>517</v>
      </c>
      <c r="G9" s="957">
        <f>'4.Inki'!M367+'5.Önk.műk.'!M631</f>
        <v>122600</v>
      </c>
      <c r="H9" s="1091">
        <f>'4.Inki'!M369+'5.Önk.műk.'!M633</f>
        <v>122600</v>
      </c>
    </row>
    <row r="10" spans="1:8" ht="15">
      <c r="A10" s="395"/>
      <c r="B10" s="397"/>
      <c r="C10" s="957"/>
      <c r="D10" s="401"/>
      <c r="E10" s="399" t="s">
        <v>374</v>
      </c>
      <c r="F10" s="400" t="s">
        <v>518</v>
      </c>
      <c r="G10" s="973">
        <f>'4.Inki'!N367+'5.Önk.műk.'!N631</f>
        <v>1239164</v>
      </c>
      <c r="H10" s="1091">
        <f>'4.Inki'!N369+'5.Önk.műk.'!N633</f>
        <v>1661111</v>
      </c>
    </row>
    <row r="11" spans="1:8" ht="15">
      <c r="A11" s="395"/>
      <c r="B11" s="397"/>
      <c r="C11" s="957"/>
      <c r="D11" s="401"/>
      <c r="E11" s="399" t="s">
        <v>519</v>
      </c>
      <c r="F11" s="400" t="s">
        <v>520</v>
      </c>
      <c r="G11" s="973">
        <f>'2.Onki'!J16+'2.Onki'!J24</f>
        <v>256619</v>
      </c>
      <c r="H11" s="1091">
        <f>'2.Onki'!L16+'2.Onki'!L24</f>
        <v>253278</v>
      </c>
    </row>
    <row r="12" spans="1:8" s="391" customFormat="1" ht="24.75" customHeight="1">
      <c r="A12" s="402"/>
      <c r="B12" s="403" t="s">
        <v>521</v>
      </c>
      <c r="C12" s="958">
        <f>SUM(C6:C10)</f>
        <v>10476265</v>
      </c>
      <c r="D12" s="404">
        <f>SUM(D6:D10)</f>
        <v>10638567</v>
      </c>
      <c r="E12" s="405"/>
      <c r="F12" s="403" t="s">
        <v>522</v>
      </c>
      <c r="G12" s="974">
        <f>SUM(G6:G11)</f>
        <v>10785254</v>
      </c>
      <c r="H12" s="406">
        <f>SUM(H6:H11)</f>
        <v>11937896</v>
      </c>
    </row>
    <row r="13" spans="1:8" ht="23.25" customHeight="1">
      <c r="A13" s="407"/>
      <c r="B13" s="408" t="s">
        <v>523</v>
      </c>
      <c r="C13" s="959"/>
      <c r="D13" s="960"/>
      <c r="E13" s="409"/>
      <c r="F13" s="408" t="s">
        <v>524</v>
      </c>
      <c r="G13" s="961"/>
      <c r="H13" s="1092"/>
    </row>
    <row r="14" spans="1:8" ht="15">
      <c r="A14" s="410" t="s">
        <v>364</v>
      </c>
      <c r="B14" s="411" t="s">
        <v>525</v>
      </c>
      <c r="C14" s="961">
        <f>'1.Onbe'!J34</f>
        <v>1867624</v>
      </c>
      <c r="D14" s="962">
        <f>'1.Onbe'!L34</f>
        <v>4561833</v>
      </c>
      <c r="E14" s="412" t="s">
        <v>364</v>
      </c>
      <c r="F14" s="411" t="s">
        <v>526</v>
      </c>
      <c r="G14" s="961">
        <f>'2.Onki'!J11+'2.Onki'!J26</f>
        <v>1776728</v>
      </c>
      <c r="H14" s="1093">
        <f>'2.Onki'!L11+'2.Onki'!L26</f>
        <v>4846338</v>
      </c>
    </row>
    <row r="15" spans="1:8" ht="15">
      <c r="A15" s="410" t="s">
        <v>371</v>
      </c>
      <c r="B15" s="411" t="s">
        <v>469</v>
      </c>
      <c r="C15" s="961">
        <f>'1.Onbe'!J42+'1.Onbe'!J40</f>
        <v>502289</v>
      </c>
      <c r="D15" s="962">
        <f>'1.Onbe'!L40+'1.Onbe'!L42</f>
        <v>504672</v>
      </c>
      <c r="E15" s="412" t="s">
        <v>371</v>
      </c>
      <c r="F15" s="411" t="s">
        <v>527</v>
      </c>
      <c r="G15" s="961">
        <f>'2.Onki'!J12+'2.Onki'!J27</f>
        <v>586432</v>
      </c>
      <c r="H15" s="1093">
        <f>'2.Onki'!L12+'2.Onki'!L27</f>
        <v>654220</v>
      </c>
    </row>
    <row r="16" spans="1:8" ht="15">
      <c r="A16" s="410" t="s">
        <v>372</v>
      </c>
      <c r="B16" s="394" t="s">
        <v>472</v>
      </c>
      <c r="C16" s="961">
        <f>'1.Onbe'!J45+'1.Onbe'!J44+'1.Onbe'!J43</f>
        <v>2600</v>
      </c>
      <c r="D16" s="962">
        <f>'1.Onbe'!L44+'1.Onbe'!L46</f>
        <v>12600</v>
      </c>
      <c r="E16" s="412" t="s">
        <v>372</v>
      </c>
      <c r="F16" s="411" t="s">
        <v>413</v>
      </c>
      <c r="G16" s="961">
        <f>'2.Onki'!J28</f>
        <v>748630</v>
      </c>
      <c r="H16" s="1093">
        <f>'2.Onki'!L28</f>
        <v>758630</v>
      </c>
    </row>
    <row r="17" spans="1:8" ht="15">
      <c r="A17" s="410"/>
      <c r="C17" s="961"/>
      <c r="D17" s="962"/>
      <c r="E17" s="412" t="s">
        <v>373</v>
      </c>
      <c r="F17" s="411" t="s">
        <v>528</v>
      </c>
      <c r="G17" s="961">
        <f>'2.Onki'!J20</f>
        <v>0</v>
      </c>
      <c r="H17" s="1093">
        <f>'2.Onki'!L20</f>
        <v>329839</v>
      </c>
    </row>
    <row r="18" spans="1:8" s="391" customFormat="1" ht="24.75" customHeight="1" thickBot="1">
      <c r="A18" s="413"/>
      <c r="B18" s="414" t="s">
        <v>529</v>
      </c>
      <c r="C18" s="963">
        <f>SUM(C14:C16)</f>
        <v>2372513</v>
      </c>
      <c r="D18" s="430">
        <f>SUM(D14:D16)</f>
        <v>5079105</v>
      </c>
      <c r="E18" s="415"/>
      <c r="F18" s="414" t="s">
        <v>530</v>
      </c>
      <c r="G18" s="975">
        <f>SUM(G14:G17)</f>
        <v>3111790</v>
      </c>
      <c r="H18" s="416">
        <f>SUM(H14:H17)</f>
        <v>6589027</v>
      </c>
    </row>
    <row r="19" spans="1:8" s="391" customFormat="1" ht="24.75" customHeight="1" thickBot="1" thickTop="1">
      <c r="A19" s="417"/>
      <c r="B19" s="418" t="s">
        <v>475</v>
      </c>
      <c r="C19" s="964">
        <f>C12+C18</f>
        <v>12848778</v>
      </c>
      <c r="D19" s="965">
        <f>D12+D18</f>
        <v>15717672</v>
      </c>
      <c r="E19" s="419"/>
      <c r="F19" s="418" t="s">
        <v>504</v>
      </c>
      <c r="G19" s="964">
        <f>G12+G18</f>
        <v>13897044</v>
      </c>
      <c r="H19" s="984">
        <f>H12+H18</f>
        <v>18526923</v>
      </c>
    </row>
    <row r="20" spans="1:8" s="391" customFormat="1" ht="24.75" customHeight="1" thickTop="1">
      <c r="A20" s="420"/>
      <c r="B20" s="408" t="s">
        <v>531</v>
      </c>
      <c r="C20" s="966"/>
      <c r="D20" s="967"/>
      <c r="E20" s="421"/>
      <c r="F20" s="408" t="s">
        <v>532</v>
      </c>
      <c r="G20" s="966"/>
      <c r="H20" s="1094"/>
    </row>
    <row r="21" spans="1:8" s="391" customFormat="1" ht="15">
      <c r="A21" s="422" t="s">
        <v>364</v>
      </c>
      <c r="B21" s="391" t="s">
        <v>533</v>
      </c>
      <c r="C21" s="966">
        <f>'1.Onbe'!J64+'1.Onbe'!J65</f>
        <v>0</v>
      </c>
      <c r="D21" s="967"/>
      <c r="E21" s="421" t="s">
        <v>364</v>
      </c>
      <c r="F21" s="391" t="s">
        <v>534</v>
      </c>
      <c r="G21" s="966"/>
      <c r="H21" s="1094"/>
    </row>
    <row r="22" spans="1:8" s="391" customFormat="1" ht="15">
      <c r="A22" s="422" t="s">
        <v>371</v>
      </c>
      <c r="B22" s="391" t="s">
        <v>535</v>
      </c>
      <c r="C22" s="966">
        <f>'1.Onbe'!J56</f>
        <v>450000</v>
      </c>
      <c r="D22" s="967">
        <f>'1.Onbe'!L52</f>
        <v>1535072</v>
      </c>
      <c r="E22" s="421" t="s">
        <v>371</v>
      </c>
      <c r="F22" s="391" t="s">
        <v>1200</v>
      </c>
      <c r="G22" s="966"/>
      <c r="H22" s="1094">
        <f>'2.Onki'!L35</f>
        <v>84682</v>
      </c>
    </row>
    <row r="23" spans="1:8" s="391" customFormat="1" ht="24.75" customHeight="1">
      <c r="A23" s="420"/>
      <c r="B23" s="408" t="s">
        <v>536</v>
      </c>
      <c r="C23" s="966"/>
      <c r="D23" s="967"/>
      <c r="E23" s="421"/>
      <c r="F23" s="408" t="s">
        <v>537</v>
      </c>
      <c r="G23" s="966"/>
      <c r="H23" s="1094"/>
    </row>
    <row r="24" spans="1:8" s="391" customFormat="1" ht="15">
      <c r="A24" s="422" t="s">
        <v>372</v>
      </c>
      <c r="B24" s="423" t="s">
        <v>538</v>
      </c>
      <c r="C24" s="966"/>
      <c r="D24" s="967">
        <f>'1.Onbe'!L65</f>
        <v>760595</v>
      </c>
      <c r="E24" s="421" t="s">
        <v>371</v>
      </c>
      <c r="F24" s="423" t="s">
        <v>539</v>
      </c>
      <c r="G24" s="966">
        <f>'2.Onki'!J37</f>
        <v>51734</v>
      </c>
      <c r="H24" s="1094">
        <f>'2.Onki'!L37</f>
        <v>51734</v>
      </c>
    </row>
    <row r="25" spans="1:8" s="391" customFormat="1" ht="15">
      <c r="A25" s="422" t="s">
        <v>373</v>
      </c>
      <c r="B25" s="391" t="s">
        <v>533</v>
      </c>
      <c r="C25" s="966"/>
      <c r="D25" s="967"/>
      <c r="E25" s="421" t="s">
        <v>372</v>
      </c>
      <c r="F25" s="391" t="s">
        <v>534</v>
      </c>
      <c r="G25" s="966"/>
      <c r="H25" s="1094"/>
    </row>
    <row r="26" spans="1:8" s="391" customFormat="1" ht="15">
      <c r="A26" s="422" t="s">
        <v>374</v>
      </c>
      <c r="B26" s="391" t="s">
        <v>535</v>
      </c>
      <c r="C26" s="966">
        <f>'1.Onbe'!J58</f>
        <v>650000</v>
      </c>
      <c r="D26" s="967">
        <f>'1.Onbe'!L58</f>
        <v>650000</v>
      </c>
      <c r="E26" s="421"/>
      <c r="G26" s="966"/>
      <c r="H26" s="1094"/>
    </row>
    <row r="27" spans="1:37" s="428" customFormat="1" ht="15.75" thickBot="1">
      <c r="A27" s="424"/>
      <c r="B27" s="425" t="s">
        <v>540</v>
      </c>
      <c r="C27" s="968">
        <f>SUM(C21:C26)</f>
        <v>1100000</v>
      </c>
      <c r="D27" s="969">
        <f>SUM(D21:D26)</f>
        <v>2945667</v>
      </c>
      <c r="E27" s="426"/>
      <c r="F27" s="425" t="s">
        <v>541</v>
      </c>
      <c r="G27" s="968">
        <f>SUM(G20:G25)</f>
        <v>51734</v>
      </c>
      <c r="H27" s="427">
        <f>SUM(H20:H25)</f>
        <v>136416</v>
      </c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1"/>
    </row>
    <row r="28" spans="1:8" s="391" customFormat="1" ht="30" customHeight="1" thickBot="1" thickTop="1">
      <c r="A28" s="429"/>
      <c r="B28" s="425" t="s">
        <v>542</v>
      </c>
      <c r="C28" s="963">
        <f>SUM(C24:C25,C21:C21,C18,C12)+C22+C26</f>
        <v>13948778</v>
      </c>
      <c r="D28" s="430">
        <f>SUM(D24:D25,D21:D21,D18,D12)+D22+D26</f>
        <v>18663339</v>
      </c>
      <c r="E28" s="431"/>
      <c r="F28" s="425" t="s">
        <v>543</v>
      </c>
      <c r="G28" s="963">
        <f>SUM(G24:G25,G18,G21:G21,G12)</f>
        <v>13948778</v>
      </c>
      <c r="H28" s="432">
        <f>SUM(H24:H25,H18,H21:H21,H12)+H22</f>
        <v>18663339</v>
      </c>
    </row>
    <row r="29" spans="1:8" s="391" customFormat="1" ht="15.75" thickTop="1">
      <c r="A29" s="433"/>
      <c r="B29" s="434" t="s">
        <v>476</v>
      </c>
      <c r="C29" s="970">
        <f>C19-G19</f>
        <v>-1048266</v>
      </c>
      <c r="D29" s="970">
        <f>D19-H19</f>
        <v>-2809251</v>
      </c>
      <c r="E29" s="435"/>
      <c r="F29" s="436"/>
      <c r="G29" s="976"/>
      <c r="H29" s="1094"/>
    </row>
    <row r="30" spans="1:8" s="391" customFormat="1" ht="15">
      <c r="A30" s="437"/>
      <c r="B30" s="438" t="s">
        <v>544</v>
      </c>
      <c r="C30" s="971">
        <f>C12-G12</f>
        <v>-308989</v>
      </c>
      <c r="D30" s="971">
        <f>D12-H12</f>
        <v>-1299329</v>
      </c>
      <c r="E30" s="435"/>
      <c r="F30" s="436"/>
      <c r="G30" s="976"/>
      <c r="H30" s="1094"/>
    </row>
    <row r="31" spans="1:8" s="391" customFormat="1" ht="15">
      <c r="A31" s="437"/>
      <c r="B31" s="438" t="s">
        <v>545</v>
      </c>
      <c r="C31" s="971">
        <f>C18-G18</f>
        <v>-739277</v>
      </c>
      <c r="D31" s="971">
        <f>D18-H18</f>
        <v>-1509922</v>
      </c>
      <c r="E31" s="435"/>
      <c r="F31" s="436"/>
      <c r="G31" s="976"/>
      <c r="H31" s="1094"/>
    </row>
    <row r="32" spans="1:8" s="391" customFormat="1" ht="15">
      <c r="A32" s="437"/>
      <c r="B32" s="453" t="s">
        <v>546</v>
      </c>
      <c r="C32" s="971">
        <f>C29-G27</f>
        <v>-1100000</v>
      </c>
      <c r="D32" s="971">
        <f>D29-H27</f>
        <v>-2945667</v>
      </c>
      <c r="E32" s="435"/>
      <c r="F32" s="436"/>
      <c r="G32" s="976"/>
      <c r="H32" s="1094"/>
    </row>
    <row r="33" spans="1:8" s="391" customFormat="1" ht="30">
      <c r="A33" s="437"/>
      <c r="B33" s="1368" t="s">
        <v>552</v>
      </c>
      <c r="C33" s="971">
        <f>C32+C26+C22</f>
        <v>0</v>
      </c>
      <c r="D33" s="971">
        <f>D32+D26+D22</f>
        <v>-760595</v>
      </c>
      <c r="E33" s="435"/>
      <c r="F33" s="436"/>
      <c r="G33" s="976"/>
      <c r="H33" s="1094"/>
    </row>
    <row r="34" spans="1:8" s="391" customFormat="1" ht="30">
      <c r="A34" s="439"/>
      <c r="B34" s="451" t="s">
        <v>1164</v>
      </c>
      <c r="C34" s="972">
        <f>C32+C26+C22</f>
        <v>0</v>
      </c>
      <c r="D34" s="972">
        <f>D32+D26+D22+D24</f>
        <v>0</v>
      </c>
      <c r="E34" s="441"/>
      <c r="F34" s="440"/>
      <c r="G34" s="977"/>
      <c r="H34" s="1095"/>
    </row>
    <row r="35" spans="1:8" ht="19.5" customHeight="1">
      <c r="A35" s="442"/>
      <c r="B35" s="394" t="s">
        <v>547</v>
      </c>
      <c r="C35" s="443">
        <f>(C12+C22)/C28</f>
        <v>0.7833134199999455</v>
      </c>
      <c r="D35" s="443">
        <f>(D12+D22)/D28</f>
        <v>0.6522755119006304</v>
      </c>
      <c r="E35" s="444"/>
      <c r="F35" s="394" t="s">
        <v>548</v>
      </c>
      <c r="G35" s="443">
        <f>G12/G28</f>
        <v>0.7732042190362481</v>
      </c>
      <c r="H35" s="1366">
        <f>(H12+H22)/H28</f>
        <v>0.6441815154297953</v>
      </c>
    </row>
    <row r="36" spans="1:8" ht="19.5" customHeight="1" thickBot="1">
      <c r="A36" s="445"/>
      <c r="B36" s="446" t="s">
        <v>549</v>
      </c>
      <c r="C36" s="447">
        <f>(C18+C26)/C28</f>
        <v>0.21668658000005447</v>
      </c>
      <c r="D36" s="447">
        <f>(D18+D26+D24)/D28</f>
        <v>0.34772448809936957</v>
      </c>
      <c r="E36" s="448"/>
      <c r="F36" s="446" t="s">
        <v>550</v>
      </c>
      <c r="G36" s="447">
        <f>(G18+G24)/G28</f>
        <v>0.2267957809637518</v>
      </c>
      <c r="H36" s="1367">
        <f>(H18+H24)/H28</f>
        <v>0.3558184845702047</v>
      </c>
    </row>
    <row r="37" ht="15">
      <c r="F37" s="394" t="s">
        <v>551</v>
      </c>
    </row>
    <row r="38" ht="15">
      <c r="C38" s="223" t="s">
        <v>551</v>
      </c>
    </row>
  </sheetData>
  <sheetProtection/>
  <mergeCells count="4">
    <mergeCell ref="A1:B1"/>
    <mergeCell ref="A2:G2"/>
    <mergeCell ref="A3:G3"/>
    <mergeCell ref="G4:H4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Schumacher Judit</dc:creator>
  <cp:keywords/>
  <dc:description/>
  <cp:lastModifiedBy>Szabó Balázs</cp:lastModifiedBy>
  <cp:lastPrinted>2015-04-21T06:47:30Z</cp:lastPrinted>
  <dcterms:created xsi:type="dcterms:W3CDTF">2015-02-11T07:38:58Z</dcterms:created>
  <dcterms:modified xsi:type="dcterms:W3CDTF">2015-05-06T09:06:34Z</dcterms:modified>
  <cp:category/>
  <cp:version/>
  <cp:contentType/>
  <cp:contentStatus/>
</cp:coreProperties>
</file>